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总账相关资料\2025年预算\2024.9.20上交集团版\"/>
    </mc:Choice>
  </mc:AlternateContent>
  <bookViews>
    <workbookView xWindow="-105" yWindow="-105" windowWidth="21825" windowHeight="14025" tabRatio="902" firstSheet="4" activeTab="4"/>
  </bookViews>
  <sheets>
    <sheet name="Ls_XLB_WorkbookFile" sheetId="17" state="veryHidden" r:id="rId1"/>
    <sheet name="Ls_AgXLB_WorkbookFile" sheetId="16" state="veryHidden" r:id="rId2"/>
    <sheet name="Version" sheetId="115" state="hidden" r:id="rId3"/>
    <sheet name="Parameter" sheetId="59" state="hidden" r:id="rId4"/>
    <sheet name="Summary" sheetId="18" r:id="rId5"/>
    <sheet name="Rooms Summary" sheetId="132" r:id="rId6"/>
    <sheet name="Front Office" sheetId="127" r:id="rId7"/>
    <sheet name="HSKP" sheetId="130" r:id="rId8"/>
    <sheet name="Reservation" sheetId="131" state="hidden" r:id="rId9"/>
    <sheet name="ROOMS Admin" sheetId="144" state="hidden" r:id="rId10"/>
    <sheet name="F&amp;B Summary" sheetId="108" r:id="rId11"/>
    <sheet name="Lobby Lounge" sheetId="119" state="hidden" r:id="rId12"/>
    <sheet name="Royal Court" sheetId="123" state="hidden" r:id="rId13"/>
    <sheet name="MP Cafe" sheetId="124" state="hidden" r:id="rId14"/>
    <sheet name="MP Dining" sheetId="125" state="hidden" r:id="rId15"/>
    <sheet name="ADD-Mhub lounge" sheetId="122" r:id="rId16"/>
    <sheet name="Banquet" sheetId="121" r:id="rId17"/>
    <sheet name="Main Kitchen" sheetId="148" r:id="rId18"/>
    <sheet name="Room Service" sheetId="126" state="hidden" r:id="rId19"/>
    <sheet name="Minibar" sheetId="146" state="hidden" r:id="rId20"/>
    <sheet name="STW" sheetId="147" r:id="rId21"/>
    <sheet name="F&amp;B Admin" sheetId="149" state="hidden" r:id="rId22"/>
    <sheet name="OOD" sheetId="81" r:id="rId23"/>
    <sheet name="Health Club" sheetId="134" state="hidden" r:id="rId24"/>
    <sheet name="Telephone" sheetId="135" r:id="rId25"/>
    <sheet name="Guest Laundry" sheetId="138" r:id="rId26"/>
    <sheet name="BC" sheetId="150" state="hidden" r:id="rId27"/>
    <sheet name="DYT Galleria" sheetId="151" state="hidden" r:id="rId28"/>
    <sheet name="Apartment" sheetId="152" state="hidden" r:id="rId29"/>
    <sheet name="Transportation" sheetId="136" r:id="rId30"/>
    <sheet name="Garage Parking" sheetId="156" r:id="rId31"/>
    <sheet name="A&amp;G" sheetId="83" r:id="rId32"/>
    <sheet name="EO" sheetId="139" r:id="rId33"/>
    <sheet name="Finance" sheetId="140" r:id="rId34"/>
    <sheet name="HR" sheetId="141" r:id="rId35"/>
    <sheet name="Security" sheetId="142" r:id="rId36"/>
    <sheet name="IT" sheetId="143" r:id="rId37"/>
    <sheet name="R&amp;M" sheetId="90" r:id="rId38"/>
    <sheet name="Utilities" sheetId="91" r:id="rId39"/>
    <sheet name="S&amp;M" sheetId="93" r:id="rId40"/>
    <sheet name="Laundry" sheetId="153" r:id="rId41"/>
    <sheet name="Staff Canteen" sheetId="154" r:id="rId42"/>
    <sheet name="Fixed Charge" sheetId="155" r:id="rId43"/>
  </sheets>
  <externalReferences>
    <externalReference r:id="rId44"/>
    <externalReference r:id="rId45"/>
    <externalReference r:id="rId46"/>
    <externalReference r:id="rId47"/>
    <externalReference r:id="rId48"/>
    <externalReference r:id="rId49"/>
    <externalReference r:id="rId50"/>
  </externalReferences>
  <definedNames>
    <definedName name="_xlnm._FilterDatabase" localSheetId="4" hidden="1">Summary!$L$1:$M$70</definedName>
    <definedName name="BUCODE" localSheetId="28">[1]Parameter!$C$5</definedName>
    <definedName name="BUCODE" localSheetId="26">[1]Parameter!$C$5</definedName>
    <definedName name="BUCODE" localSheetId="27">[1]Parameter!$C$5</definedName>
    <definedName name="BUCODE" localSheetId="32">[2]Parameter!$C$5</definedName>
    <definedName name="BUCODE" localSheetId="21">[2]Parameter!$C$5</definedName>
    <definedName name="BUCODE" localSheetId="33">[2]Parameter!$C$5</definedName>
    <definedName name="BUCODE" localSheetId="42">[2]Parameter!$C$5</definedName>
    <definedName name="BUCODE" localSheetId="6">[1]Parameter!$C$5</definedName>
    <definedName name="BUCODE" localSheetId="30">[1]Parameter!$C$5</definedName>
    <definedName name="BUCODE" localSheetId="25">[1]Parameter!$C$5</definedName>
    <definedName name="BUCODE" localSheetId="23">[1]Parameter!$C$5</definedName>
    <definedName name="BUCODE" localSheetId="34">[2]Parameter!$C$5</definedName>
    <definedName name="BUCODE" localSheetId="7">[1]Parameter!$C$5</definedName>
    <definedName name="BUCODE" localSheetId="36">[2]Parameter!$C$5</definedName>
    <definedName name="BUCODE" localSheetId="40">[2]Parameter!$C$5</definedName>
    <definedName name="BUCODE" localSheetId="17">[2]Parameter!$C$5</definedName>
    <definedName name="BUCODE" localSheetId="19">[2]Parameter!$C$5</definedName>
    <definedName name="BUCODE" localSheetId="8">[1]Parameter!$C$5</definedName>
    <definedName name="BUCODE" localSheetId="9">[1]Parameter!$C$5</definedName>
    <definedName name="BUCODE" localSheetId="5">[1]Parameter!$C$5</definedName>
    <definedName name="BUCODE" localSheetId="35">[2]Parameter!$C$5</definedName>
    <definedName name="BUCODE" localSheetId="41">[2]Parameter!$C$5</definedName>
    <definedName name="BUCODE" localSheetId="20">[2]Parameter!$C$5</definedName>
    <definedName name="BUCODE" localSheetId="24">[1]Parameter!$C$5</definedName>
    <definedName name="BUCODE" localSheetId="29">[1]Parameter!$C$5</definedName>
    <definedName name="BUCODE">Parameter!$C$5</definedName>
    <definedName name="BUCODE_2" localSheetId="28">[3]Parameter!$C$6</definedName>
    <definedName name="BUCODE_2" localSheetId="26">[3]Parameter!$C$6</definedName>
    <definedName name="BUCODE_2" localSheetId="27">[3]Parameter!$C$6</definedName>
    <definedName name="BUCODE_2" localSheetId="30">[3]Parameter!$C$6</definedName>
    <definedName name="BUCODE_2" localSheetId="25">[3]Parameter!$C$6</definedName>
    <definedName name="BUCODE_2" localSheetId="23">[3]Parameter!$C$6</definedName>
    <definedName name="BUCODE_2" localSheetId="24">[3]Parameter!$C$6</definedName>
    <definedName name="BUCODE_2" localSheetId="29">[3]Parameter!$C$6</definedName>
    <definedName name="BUCODE_2">[4]Parameter!$C$6</definedName>
    <definedName name="CP" localSheetId="28">[1]Parameter!$C$7</definedName>
    <definedName name="CP" localSheetId="26">[1]Parameter!$C$7</definedName>
    <definedName name="CP" localSheetId="27">[1]Parameter!$C$7</definedName>
    <definedName name="CP" localSheetId="32">[2]Parameter!$C$7</definedName>
    <definedName name="CP" localSheetId="21">[2]Parameter!$C$7</definedName>
    <definedName name="CP" localSheetId="33">[2]Parameter!$C$7</definedName>
    <definedName name="CP" localSheetId="42">[2]Parameter!$C$7</definedName>
    <definedName name="CP" localSheetId="6">[1]Parameter!$C$7</definedName>
    <definedName name="CP" localSheetId="30">[1]Parameter!$C$7</definedName>
    <definedName name="CP" localSheetId="25">[1]Parameter!$C$7</definedName>
    <definedName name="CP" localSheetId="23">[1]Parameter!$C$7</definedName>
    <definedName name="CP" localSheetId="34">[2]Parameter!$C$7</definedName>
    <definedName name="CP" localSheetId="7">[1]Parameter!$C$7</definedName>
    <definedName name="CP" localSheetId="36">[2]Parameter!$C$7</definedName>
    <definedName name="CP" localSheetId="40">[2]Parameter!$C$7</definedName>
    <definedName name="CP" localSheetId="17">[2]Parameter!$C$7</definedName>
    <definedName name="CP" localSheetId="19">[2]Parameter!$C$7</definedName>
    <definedName name="CP" localSheetId="8">[1]Parameter!$C$7</definedName>
    <definedName name="CP" localSheetId="9">[1]Parameter!$C$7</definedName>
    <definedName name="CP" localSheetId="5">[1]Parameter!$C$7</definedName>
    <definedName name="CP" localSheetId="35">[2]Parameter!$C$7</definedName>
    <definedName name="CP" localSheetId="41">[2]Parameter!$C$7</definedName>
    <definedName name="CP" localSheetId="20">[2]Parameter!$C$7</definedName>
    <definedName name="CP" localSheetId="24">[1]Parameter!$C$7</definedName>
    <definedName name="CP" localSheetId="29">[1]Parameter!$C$7</definedName>
    <definedName name="CP">Parameter!$C$7</definedName>
    <definedName name="HotelnameC">Parameter!$C$3</definedName>
    <definedName name="HotelnameE">Parameter!$C$2</definedName>
    <definedName name="LEDGER" localSheetId="28">[1]Parameter!$C$15</definedName>
    <definedName name="LEDGER" localSheetId="26">[1]Parameter!$C$15</definedName>
    <definedName name="LEDGER" localSheetId="27">[1]Parameter!$C$15</definedName>
    <definedName name="LEDGER" localSheetId="32">[2]Parameter!$C$15</definedName>
    <definedName name="LEDGER" localSheetId="21">[2]Parameter!$C$15</definedName>
    <definedName name="LEDGER" localSheetId="33">[2]Parameter!$C$15</definedName>
    <definedName name="LEDGER" localSheetId="42">[2]Parameter!$C$15</definedName>
    <definedName name="LEDGER" localSheetId="6">[1]Parameter!$C$15</definedName>
    <definedName name="LEDGER" localSheetId="30">[1]Parameter!$C$15</definedName>
    <definedName name="LEDGER" localSheetId="25">[1]Parameter!$C$15</definedName>
    <definedName name="LEDGER" localSheetId="23">[1]Parameter!$C$15</definedName>
    <definedName name="LEDGER" localSheetId="34">[2]Parameter!$C$15</definedName>
    <definedName name="LEDGER" localSheetId="7">[1]Parameter!$C$15</definedName>
    <definedName name="LEDGER" localSheetId="36">[2]Parameter!$C$15</definedName>
    <definedName name="LEDGER" localSheetId="40">[2]Parameter!$C$15</definedName>
    <definedName name="LEDGER" localSheetId="17">[2]Parameter!$C$15</definedName>
    <definedName name="LEDGER" localSheetId="19">[2]Parameter!$C$15</definedName>
    <definedName name="LEDGER" localSheetId="8">[1]Parameter!$C$15</definedName>
    <definedName name="LEDGER" localSheetId="9">[1]Parameter!$C$15</definedName>
    <definedName name="LEDGER" localSheetId="5">[1]Parameter!$C$15</definedName>
    <definedName name="LEDGER" localSheetId="35">[2]Parameter!$C$15</definedName>
    <definedName name="LEDGER" localSheetId="41">[2]Parameter!$C$15</definedName>
    <definedName name="LEDGER" localSheetId="20">[2]Parameter!$C$15</definedName>
    <definedName name="LEDGER" localSheetId="24">[1]Parameter!$C$15</definedName>
    <definedName name="LEDGER" localSheetId="29">[1]Parameter!$C$15</definedName>
    <definedName name="LEDGER">Parameter!$C$15</definedName>
    <definedName name="LEDGER_K">Parameter!$C$16</definedName>
    <definedName name="_xlnm.Print_Area" localSheetId="31">'A&amp;G'!$D$1:$Q$198</definedName>
    <definedName name="_xlnm.Print_Area" localSheetId="15">'ADD-Mhub lounge'!$D$1:$Q$165</definedName>
    <definedName name="_xlnm.Print_Area" localSheetId="28">Apartment!$D$4:$R$143</definedName>
    <definedName name="_xlnm.Print_Area" localSheetId="16">Banquet!$D$1:$Q$166</definedName>
    <definedName name="_xlnm.Print_Area" localSheetId="26">BC!$D$4:$Q$92</definedName>
    <definedName name="_xlnm.Print_Area" localSheetId="27">'DYT Galleria'!$D$4:$Q$70</definedName>
    <definedName name="_xlnm.Print_Area" localSheetId="32">EO!$D$1:$Q$197</definedName>
    <definedName name="_xlnm.Print_Area" localSheetId="21">'F&amp;B Admin'!$D$4:$Q$122</definedName>
    <definedName name="_xlnm.Print_Area" localSheetId="10">'F&amp;B Summary'!$D$1:$Q$205</definedName>
    <definedName name="_xlnm.Print_Area" localSheetId="33">Finance!$A$1:$Q$197</definedName>
    <definedName name="_xlnm.Print_Area" localSheetId="42">'Fixed Charge'!$D$4:$Q$27</definedName>
    <definedName name="_xlnm.Print_Area" localSheetId="6">'Front Office'!$A$1:$Q$16</definedName>
    <definedName name="_xlnm.Print_Area" localSheetId="30">'Garage Parking'!$D$1:$Q$134</definedName>
    <definedName name="_xlnm.Print_Area" localSheetId="25">'Guest Laundry'!$D$4:$Q$79</definedName>
    <definedName name="_xlnm.Print_Area" localSheetId="23">'Health Club'!$D$4:$Q$99</definedName>
    <definedName name="_xlnm.Print_Area" localSheetId="34">HR!$E$4:$P$5</definedName>
    <definedName name="_xlnm.Print_Area" localSheetId="7">HSKP!$D$3:$T$120</definedName>
    <definedName name="_xlnm.Print_Area" localSheetId="36">IT!$D$1:$Q$197</definedName>
    <definedName name="_xlnm.Print_Area" localSheetId="40">Laundry!$D$4:$R$195</definedName>
    <definedName name="_xlnm.Print_Area" localSheetId="11">'Lobby Lounge'!$D$4:$R$163</definedName>
    <definedName name="_xlnm.Print_Area" localSheetId="17">'Main Kitchen'!$D$1:$Q$125</definedName>
    <definedName name="_xlnm.Print_Area" localSheetId="19">Minibar!$D$4:$R$134</definedName>
    <definedName name="_xlnm.Print_Area" localSheetId="13">'MP Cafe'!$D$4:$R$163</definedName>
    <definedName name="_xlnm.Print_Area" localSheetId="14">'MP Dining'!$D$4:$R$163</definedName>
    <definedName name="_xlnm.Print_Area" localSheetId="22">OOD!$B$1:$Q$100</definedName>
    <definedName name="_xlnm.Print_Area" localSheetId="37">'R&amp;M'!$D$1:$Q$197</definedName>
    <definedName name="_xlnm.Print_Area" localSheetId="8">Reservation!$D$4:$Q$118</definedName>
    <definedName name="_xlnm.Print_Area" localSheetId="18">'Room Service'!$D$4:$R$163</definedName>
    <definedName name="_xlnm.Print_Area" localSheetId="9">'ROOMS Admin'!$D$4:$Q$118</definedName>
    <definedName name="_xlnm.Print_Area" localSheetId="5">'Rooms Summary'!$D$4:$Q$159</definedName>
    <definedName name="_xlnm.Print_Area" localSheetId="12">'Royal Court'!$D$4:$R$163</definedName>
    <definedName name="_xlnm.Print_Area" localSheetId="39">'S&amp;M'!$D$1:$Q$196</definedName>
    <definedName name="_xlnm.Print_Area" localSheetId="35">Security!$D$1:$Q$197</definedName>
    <definedName name="_xlnm.Print_Area" localSheetId="41">'Staff Canteen'!$D$4:$Q$194</definedName>
    <definedName name="_xlnm.Print_Area" localSheetId="20">STW!$D$1:$Q$124</definedName>
    <definedName name="_xlnm.Print_Area" localSheetId="4">Summary!$D$1:$S$76</definedName>
    <definedName name="_xlnm.Print_Area" localSheetId="24">Telephone!$D$1:$Q$137</definedName>
    <definedName name="_xlnm.Print_Area" localSheetId="29">Transportation!$D$1:$Q$131</definedName>
    <definedName name="_xlnm.Print_Area" localSheetId="38">Utilities!$A$1:$Q$27</definedName>
    <definedName name="_xlnm.Print_Titles" localSheetId="31">'A&amp;G'!$4:$10</definedName>
    <definedName name="_xlnm.Print_Titles" localSheetId="15">'ADD-Mhub lounge'!$1:$10</definedName>
    <definedName name="_xlnm.Print_Titles" localSheetId="28">Apartment!$1:$10</definedName>
    <definedName name="_xlnm.Print_Titles" localSheetId="16">Banquet!$1:$10</definedName>
    <definedName name="_xlnm.Print_Titles" localSheetId="26">BC!$1:$10</definedName>
    <definedName name="_xlnm.Print_Titles" localSheetId="27">'DYT Galleria'!$1:$10</definedName>
    <definedName name="_xlnm.Print_Titles" localSheetId="32">EO!$1:$10</definedName>
    <definedName name="_xlnm.Print_Titles" localSheetId="21">'F&amp;B Admin'!$1:$10</definedName>
    <definedName name="_xlnm.Print_Titles" localSheetId="10">'F&amp;B Summary'!$4:$10</definedName>
    <definedName name="_xlnm.Print_Titles" localSheetId="33">Finance!$1:$10</definedName>
    <definedName name="_xlnm.Print_Titles" localSheetId="42">'Fixed Charge'!$4:$10</definedName>
    <definedName name="_xlnm.Print_Titles" localSheetId="6">'Front Office'!$1:$10</definedName>
    <definedName name="_xlnm.Print_Titles" localSheetId="30">'Garage Parking'!$1:$10</definedName>
    <definedName name="_xlnm.Print_Titles" localSheetId="25">'Guest Laundry'!$1:$10</definedName>
    <definedName name="_xlnm.Print_Titles" localSheetId="23">'Health Club'!$1:$10</definedName>
    <definedName name="_xlnm.Print_Titles" localSheetId="34">HR!$1:$10</definedName>
    <definedName name="_xlnm.Print_Titles" localSheetId="7">HSKP!$1:$10</definedName>
    <definedName name="_xlnm.Print_Titles" localSheetId="36">IT!$1:$10</definedName>
    <definedName name="_xlnm.Print_Titles" localSheetId="40">Laundry!$1:$10</definedName>
    <definedName name="_xlnm.Print_Titles" localSheetId="11">'Lobby Lounge'!$1:$10</definedName>
    <definedName name="_xlnm.Print_Titles" localSheetId="17">'Main Kitchen'!$1:$10</definedName>
    <definedName name="_xlnm.Print_Titles" localSheetId="19">Minibar!$1:$10</definedName>
    <definedName name="_xlnm.Print_Titles" localSheetId="13">'MP Cafe'!$1:$10</definedName>
    <definedName name="_xlnm.Print_Titles" localSheetId="14">'MP Dining'!$1:$10</definedName>
    <definedName name="_xlnm.Print_Titles" localSheetId="22">OOD!$4:$10</definedName>
    <definedName name="_xlnm.Print_Titles" localSheetId="37">'R&amp;M'!$4:$10</definedName>
    <definedName name="_xlnm.Print_Titles" localSheetId="8">Reservation!$1:$10</definedName>
    <definedName name="_xlnm.Print_Titles" localSheetId="18">'Room Service'!$1:$10</definedName>
    <definedName name="_xlnm.Print_Titles" localSheetId="9">'ROOMS Admin'!$1:$10</definedName>
    <definedName name="_xlnm.Print_Titles" localSheetId="5">'Rooms Summary'!$4:$10</definedName>
    <definedName name="_xlnm.Print_Titles" localSheetId="12">'Royal Court'!$1:$10</definedName>
    <definedName name="_xlnm.Print_Titles" localSheetId="39">'S&amp;M'!$4:$10</definedName>
    <definedName name="_xlnm.Print_Titles" localSheetId="35">Security!$1:$10</definedName>
    <definedName name="_xlnm.Print_Titles" localSheetId="41">'Staff Canteen'!$1:$10</definedName>
    <definedName name="_xlnm.Print_Titles" localSheetId="20">STW!$1:$10</definedName>
    <definedName name="_xlnm.Print_Titles" localSheetId="24">Telephone!$1:$10</definedName>
    <definedName name="_xlnm.Print_Titles" localSheetId="29">Transportation!$1:$10</definedName>
    <definedName name="_xlnm.Print_Titles" localSheetId="38">Utilities!$4:$10</definedName>
    <definedName name="YEAR" localSheetId="28">[1]Parameter!$C$8</definedName>
    <definedName name="YEAR" localSheetId="26">[1]Parameter!$C$8</definedName>
    <definedName name="YEAR" localSheetId="27">[1]Parameter!$C$8</definedName>
    <definedName name="YEAR" localSheetId="6">[1]Parameter!$C$8</definedName>
    <definedName name="YEAR" localSheetId="30">[1]Parameter!$C$8</definedName>
    <definedName name="YEAR" localSheetId="25">[1]Parameter!$C$8</definedName>
    <definedName name="YEAR" localSheetId="23">[1]Parameter!$C$8</definedName>
    <definedName name="YEAR" localSheetId="7">[1]Parameter!$C$8</definedName>
    <definedName name="YEAR" localSheetId="8">[1]Parameter!$C$8</definedName>
    <definedName name="YEAR" localSheetId="9">[1]Parameter!$C$8</definedName>
    <definedName name="YEAR" localSheetId="5">[1]Parameter!$C$8</definedName>
    <definedName name="YEAR" localSheetId="24">[1]Parameter!$C$8</definedName>
    <definedName name="YEAR" localSheetId="29">[1]Parameter!$C$8</definedName>
    <definedName name="YEAR">Parameter!$C$8</definedName>
    <definedName name="Z_06305A94_F293_4CE3_8C98_A35E374FB03C_.wvu.Cols" localSheetId="31" hidden="1">'A&amp;G'!#REF!,'A&amp;G'!#REF!</definedName>
    <definedName name="Z_06305A94_F293_4CE3_8C98_A35E374FB03C_.wvu.Cols" localSheetId="15" hidden="1">'ADD-Mhub lounge'!#REF!,'ADD-Mhub lounge'!#REF!</definedName>
    <definedName name="Z_06305A94_F293_4CE3_8C98_A35E374FB03C_.wvu.Cols" localSheetId="28" hidden="1">Apartment!#REF!,Apartment!#REF!</definedName>
    <definedName name="Z_06305A94_F293_4CE3_8C98_A35E374FB03C_.wvu.Cols" localSheetId="16" hidden="1">Banquet!#REF!,Banquet!#REF!</definedName>
    <definedName name="Z_06305A94_F293_4CE3_8C98_A35E374FB03C_.wvu.Cols" localSheetId="26" hidden="1">BC!#REF!,BC!#REF!</definedName>
    <definedName name="Z_06305A94_F293_4CE3_8C98_A35E374FB03C_.wvu.Cols" localSheetId="27" hidden="1">'DYT Galleria'!#REF!,'DYT Galleria'!#REF!</definedName>
    <definedName name="Z_06305A94_F293_4CE3_8C98_A35E374FB03C_.wvu.Cols" localSheetId="32" hidden="1">EO!#REF!,EO!#REF!</definedName>
    <definedName name="Z_06305A94_F293_4CE3_8C98_A35E374FB03C_.wvu.Cols" localSheetId="21" hidden="1">'F&amp;B Admin'!#REF!,'F&amp;B Admin'!#REF!</definedName>
    <definedName name="Z_06305A94_F293_4CE3_8C98_A35E374FB03C_.wvu.Cols" localSheetId="10" hidden="1">'F&amp;B Summary'!#REF!,'F&amp;B Summary'!#REF!</definedName>
    <definedName name="Z_06305A94_F293_4CE3_8C98_A35E374FB03C_.wvu.Cols" localSheetId="33" hidden="1">Finance!#REF!,Finance!#REF!</definedName>
    <definedName name="Z_06305A94_F293_4CE3_8C98_A35E374FB03C_.wvu.Cols" localSheetId="42" hidden="1">'Fixed Charge'!#REF!,'Fixed Charge'!#REF!</definedName>
    <definedName name="Z_06305A94_F293_4CE3_8C98_A35E374FB03C_.wvu.Cols" localSheetId="6" hidden="1">'Front Office'!#REF!,'Front Office'!#REF!</definedName>
    <definedName name="Z_06305A94_F293_4CE3_8C98_A35E374FB03C_.wvu.Cols" localSheetId="30" hidden="1">'Garage Parking'!#REF!,'Garage Parking'!#REF!</definedName>
    <definedName name="Z_06305A94_F293_4CE3_8C98_A35E374FB03C_.wvu.Cols" localSheetId="25" hidden="1">'Guest Laundry'!#REF!,'Guest Laundry'!#REF!</definedName>
    <definedName name="Z_06305A94_F293_4CE3_8C98_A35E374FB03C_.wvu.Cols" localSheetId="23" hidden="1">'Health Club'!#REF!,'Health Club'!#REF!</definedName>
    <definedName name="Z_06305A94_F293_4CE3_8C98_A35E374FB03C_.wvu.Cols" localSheetId="34" hidden="1">HR!#REF!,HR!#REF!</definedName>
    <definedName name="Z_06305A94_F293_4CE3_8C98_A35E374FB03C_.wvu.Cols" localSheetId="7" hidden="1">HSKP!#REF!,HSKP!#REF!</definedName>
    <definedName name="Z_06305A94_F293_4CE3_8C98_A35E374FB03C_.wvu.Cols" localSheetId="36" hidden="1">IT!#REF!,IT!#REF!</definedName>
    <definedName name="Z_06305A94_F293_4CE3_8C98_A35E374FB03C_.wvu.Cols" localSheetId="40" hidden="1">Laundry!#REF!,Laundry!#REF!</definedName>
    <definedName name="Z_06305A94_F293_4CE3_8C98_A35E374FB03C_.wvu.Cols" localSheetId="11" hidden="1">'Lobby Lounge'!#REF!,'Lobby Lounge'!#REF!</definedName>
    <definedName name="Z_06305A94_F293_4CE3_8C98_A35E374FB03C_.wvu.Cols" localSheetId="17" hidden="1">'Main Kitchen'!#REF!,'Main Kitchen'!#REF!</definedName>
    <definedName name="Z_06305A94_F293_4CE3_8C98_A35E374FB03C_.wvu.Cols" localSheetId="19" hidden="1">Minibar!#REF!,Minibar!#REF!</definedName>
    <definedName name="Z_06305A94_F293_4CE3_8C98_A35E374FB03C_.wvu.Cols" localSheetId="13" hidden="1">'MP Cafe'!#REF!,'MP Cafe'!#REF!</definedName>
    <definedName name="Z_06305A94_F293_4CE3_8C98_A35E374FB03C_.wvu.Cols" localSheetId="14" hidden="1">'MP Dining'!#REF!,'MP Dining'!#REF!</definedName>
    <definedName name="Z_06305A94_F293_4CE3_8C98_A35E374FB03C_.wvu.Cols" localSheetId="22" hidden="1">OOD!#REF!,OOD!#REF!</definedName>
    <definedName name="Z_06305A94_F293_4CE3_8C98_A35E374FB03C_.wvu.Cols" localSheetId="37" hidden="1">'R&amp;M'!#REF!,'R&amp;M'!#REF!</definedName>
    <definedName name="Z_06305A94_F293_4CE3_8C98_A35E374FB03C_.wvu.Cols" localSheetId="8" hidden="1">Reservation!#REF!,Reservation!#REF!</definedName>
    <definedName name="Z_06305A94_F293_4CE3_8C98_A35E374FB03C_.wvu.Cols" localSheetId="18" hidden="1">'Room Service'!#REF!,'Room Service'!#REF!</definedName>
    <definedName name="Z_06305A94_F293_4CE3_8C98_A35E374FB03C_.wvu.Cols" localSheetId="9" hidden="1">'ROOMS Admin'!#REF!,'ROOMS Admin'!#REF!</definedName>
    <definedName name="Z_06305A94_F293_4CE3_8C98_A35E374FB03C_.wvu.Cols" localSheetId="5" hidden="1">'Rooms Summary'!#REF!,'Rooms Summary'!#REF!</definedName>
    <definedName name="Z_06305A94_F293_4CE3_8C98_A35E374FB03C_.wvu.Cols" localSheetId="12" hidden="1">'Royal Court'!#REF!,'Royal Court'!#REF!</definedName>
    <definedName name="Z_06305A94_F293_4CE3_8C98_A35E374FB03C_.wvu.Cols" localSheetId="39" hidden="1">'S&amp;M'!#REF!,'S&amp;M'!#REF!</definedName>
    <definedName name="Z_06305A94_F293_4CE3_8C98_A35E374FB03C_.wvu.Cols" localSheetId="35" hidden="1">Security!#REF!,Security!#REF!</definedName>
    <definedName name="Z_06305A94_F293_4CE3_8C98_A35E374FB03C_.wvu.Cols" localSheetId="41" hidden="1">'Staff Canteen'!#REF!,'Staff Canteen'!#REF!</definedName>
    <definedName name="Z_06305A94_F293_4CE3_8C98_A35E374FB03C_.wvu.Cols" localSheetId="20" hidden="1">STW!#REF!,STW!#REF!</definedName>
    <definedName name="Z_06305A94_F293_4CE3_8C98_A35E374FB03C_.wvu.Cols" localSheetId="24" hidden="1">Telephone!#REF!,Telephone!#REF!</definedName>
    <definedName name="Z_06305A94_F293_4CE3_8C98_A35E374FB03C_.wvu.Cols" localSheetId="29" hidden="1">Transportation!#REF!,Transportation!#REF!</definedName>
    <definedName name="Z_06305A94_F293_4CE3_8C98_A35E374FB03C_.wvu.Cols" localSheetId="38" hidden="1">Utilities!#REF!,Utilities!#REF!</definedName>
    <definedName name="Z_06305A94_F293_4CE3_8C98_A35E374FB03C_.wvu.FilterData" localSheetId="31" hidden="1">'A&amp;G'!#REF!</definedName>
    <definedName name="Z_06305A94_F293_4CE3_8C98_A35E374FB03C_.wvu.FilterData" localSheetId="15" hidden="1">'ADD-Mhub lounge'!#REF!</definedName>
    <definedName name="Z_06305A94_F293_4CE3_8C98_A35E374FB03C_.wvu.FilterData" localSheetId="28" hidden="1">Apartment!#REF!</definedName>
    <definedName name="Z_06305A94_F293_4CE3_8C98_A35E374FB03C_.wvu.FilterData" localSheetId="16" hidden="1">Banquet!#REF!</definedName>
    <definedName name="Z_06305A94_F293_4CE3_8C98_A35E374FB03C_.wvu.FilterData" localSheetId="26" hidden="1">BC!#REF!</definedName>
    <definedName name="Z_06305A94_F293_4CE3_8C98_A35E374FB03C_.wvu.FilterData" localSheetId="27" hidden="1">'DYT Galleria'!#REF!</definedName>
    <definedName name="Z_06305A94_F293_4CE3_8C98_A35E374FB03C_.wvu.FilterData" localSheetId="32" hidden="1">EO!#REF!</definedName>
    <definedName name="Z_06305A94_F293_4CE3_8C98_A35E374FB03C_.wvu.FilterData" localSheetId="21" hidden="1">'F&amp;B Admin'!#REF!</definedName>
    <definedName name="Z_06305A94_F293_4CE3_8C98_A35E374FB03C_.wvu.FilterData" localSheetId="10" hidden="1">'F&amp;B Summary'!#REF!</definedName>
    <definedName name="Z_06305A94_F293_4CE3_8C98_A35E374FB03C_.wvu.FilterData" localSheetId="33" hidden="1">Finance!#REF!</definedName>
    <definedName name="Z_06305A94_F293_4CE3_8C98_A35E374FB03C_.wvu.FilterData" localSheetId="42" hidden="1">'Fixed Charge'!#REF!</definedName>
    <definedName name="Z_06305A94_F293_4CE3_8C98_A35E374FB03C_.wvu.FilterData" localSheetId="6" hidden="1">'Front Office'!#REF!</definedName>
    <definedName name="Z_06305A94_F293_4CE3_8C98_A35E374FB03C_.wvu.FilterData" localSheetId="30" hidden="1">'Garage Parking'!#REF!</definedName>
    <definedName name="Z_06305A94_F293_4CE3_8C98_A35E374FB03C_.wvu.FilterData" localSheetId="25" hidden="1">'Guest Laundry'!#REF!</definedName>
    <definedName name="Z_06305A94_F293_4CE3_8C98_A35E374FB03C_.wvu.FilterData" localSheetId="23" hidden="1">'Health Club'!#REF!</definedName>
    <definedName name="Z_06305A94_F293_4CE3_8C98_A35E374FB03C_.wvu.FilterData" localSheetId="34" hidden="1">HR!#REF!</definedName>
    <definedName name="Z_06305A94_F293_4CE3_8C98_A35E374FB03C_.wvu.FilterData" localSheetId="7" hidden="1">HSKP!#REF!</definedName>
    <definedName name="Z_06305A94_F293_4CE3_8C98_A35E374FB03C_.wvu.FilterData" localSheetId="36" hidden="1">IT!#REF!</definedName>
    <definedName name="Z_06305A94_F293_4CE3_8C98_A35E374FB03C_.wvu.FilterData" localSheetId="40" hidden="1">Laundry!#REF!</definedName>
    <definedName name="Z_06305A94_F293_4CE3_8C98_A35E374FB03C_.wvu.FilterData" localSheetId="11" hidden="1">'Lobby Lounge'!#REF!</definedName>
    <definedName name="Z_06305A94_F293_4CE3_8C98_A35E374FB03C_.wvu.FilterData" localSheetId="17" hidden="1">'Main Kitchen'!#REF!</definedName>
    <definedName name="Z_06305A94_F293_4CE3_8C98_A35E374FB03C_.wvu.FilterData" localSheetId="19" hidden="1">Minibar!#REF!</definedName>
    <definedName name="Z_06305A94_F293_4CE3_8C98_A35E374FB03C_.wvu.FilterData" localSheetId="13" hidden="1">'MP Cafe'!#REF!</definedName>
    <definedName name="Z_06305A94_F293_4CE3_8C98_A35E374FB03C_.wvu.FilterData" localSheetId="14" hidden="1">'MP Dining'!#REF!</definedName>
    <definedName name="Z_06305A94_F293_4CE3_8C98_A35E374FB03C_.wvu.FilterData" localSheetId="22" hidden="1">OOD!#REF!</definedName>
    <definedName name="Z_06305A94_F293_4CE3_8C98_A35E374FB03C_.wvu.FilterData" localSheetId="37" hidden="1">'R&amp;M'!#REF!</definedName>
    <definedName name="Z_06305A94_F293_4CE3_8C98_A35E374FB03C_.wvu.FilterData" localSheetId="8" hidden="1">Reservation!#REF!</definedName>
    <definedName name="Z_06305A94_F293_4CE3_8C98_A35E374FB03C_.wvu.FilterData" localSheetId="18" hidden="1">'Room Service'!#REF!</definedName>
    <definedName name="Z_06305A94_F293_4CE3_8C98_A35E374FB03C_.wvu.FilterData" localSheetId="9" hidden="1">'ROOMS Admin'!#REF!</definedName>
    <definedName name="Z_06305A94_F293_4CE3_8C98_A35E374FB03C_.wvu.FilterData" localSheetId="5" hidden="1">'Rooms Summary'!#REF!</definedName>
    <definedName name="Z_06305A94_F293_4CE3_8C98_A35E374FB03C_.wvu.FilterData" localSheetId="12" hidden="1">'Royal Court'!#REF!</definedName>
    <definedName name="Z_06305A94_F293_4CE3_8C98_A35E374FB03C_.wvu.FilterData" localSheetId="39" hidden="1">'S&amp;M'!#REF!</definedName>
    <definedName name="Z_06305A94_F293_4CE3_8C98_A35E374FB03C_.wvu.FilterData" localSheetId="35" hidden="1">Security!#REF!</definedName>
    <definedName name="Z_06305A94_F293_4CE3_8C98_A35E374FB03C_.wvu.FilterData" localSheetId="41" hidden="1">'Staff Canteen'!#REF!</definedName>
    <definedName name="Z_06305A94_F293_4CE3_8C98_A35E374FB03C_.wvu.FilterData" localSheetId="20" hidden="1">STW!#REF!</definedName>
    <definedName name="Z_06305A94_F293_4CE3_8C98_A35E374FB03C_.wvu.FilterData" localSheetId="24" hidden="1">Telephone!#REF!</definedName>
    <definedName name="Z_06305A94_F293_4CE3_8C98_A35E374FB03C_.wvu.FilterData" localSheetId="29" hidden="1">Transportation!#REF!</definedName>
    <definedName name="Z_06305A94_F293_4CE3_8C98_A35E374FB03C_.wvu.FilterData" localSheetId="38" hidden="1">Utilities!#REF!</definedName>
    <definedName name="Z_06305A94_F293_4CE3_8C98_A35E374FB03C_.wvu.PrintTitles" localSheetId="31" hidden="1">'A&amp;G'!$1:$10</definedName>
    <definedName name="Z_06305A94_F293_4CE3_8C98_A35E374FB03C_.wvu.PrintTitles" localSheetId="15" hidden="1">'ADD-Mhub lounge'!$1:$10</definedName>
    <definedName name="Z_06305A94_F293_4CE3_8C98_A35E374FB03C_.wvu.PrintTitles" localSheetId="28" hidden="1">Apartment!$1:$10</definedName>
    <definedName name="Z_06305A94_F293_4CE3_8C98_A35E374FB03C_.wvu.PrintTitles" localSheetId="16" hidden="1">Banquet!$1:$10</definedName>
    <definedName name="Z_06305A94_F293_4CE3_8C98_A35E374FB03C_.wvu.PrintTitles" localSheetId="26" hidden="1">BC!$1:$10</definedName>
    <definedName name="Z_06305A94_F293_4CE3_8C98_A35E374FB03C_.wvu.PrintTitles" localSheetId="27" hidden="1">'DYT Galleria'!$1:$10</definedName>
    <definedName name="Z_06305A94_F293_4CE3_8C98_A35E374FB03C_.wvu.PrintTitles" localSheetId="32" hidden="1">EO!$1:$10</definedName>
    <definedName name="Z_06305A94_F293_4CE3_8C98_A35E374FB03C_.wvu.PrintTitles" localSheetId="21" hidden="1">'F&amp;B Admin'!$1:$10</definedName>
    <definedName name="Z_06305A94_F293_4CE3_8C98_A35E374FB03C_.wvu.PrintTitles" localSheetId="10" hidden="1">'F&amp;B Summary'!$1:$10</definedName>
    <definedName name="Z_06305A94_F293_4CE3_8C98_A35E374FB03C_.wvu.PrintTitles" localSheetId="33" hidden="1">Finance!$1:$10</definedName>
    <definedName name="Z_06305A94_F293_4CE3_8C98_A35E374FB03C_.wvu.PrintTitles" localSheetId="42" hidden="1">'Fixed Charge'!$1:$10</definedName>
    <definedName name="Z_06305A94_F293_4CE3_8C98_A35E374FB03C_.wvu.PrintTitles" localSheetId="6" hidden="1">'Front Office'!$1:$10</definedName>
    <definedName name="Z_06305A94_F293_4CE3_8C98_A35E374FB03C_.wvu.PrintTitles" localSheetId="30" hidden="1">'Garage Parking'!$1:$10</definedName>
    <definedName name="Z_06305A94_F293_4CE3_8C98_A35E374FB03C_.wvu.PrintTitles" localSheetId="25" hidden="1">'Guest Laundry'!$1:$10</definedName>
    <definedName name="Z_06305A94_F293_4CE3_8C98_A35E374FB03C_.wvu.PrintTitles" localSheetId="23" hidden="1">'Health Club'!$1:$10</definedName>
    <definedName name="Z_06305A94_F293_4CE3_8C98_A35E374FB03C_.wvu.PrintTitles" localSheetId="34" hidden="1">HR!$1:$10</definedName>
    <definedName name="Z_06305A94_F293_4CE3_8C98_A35E374FB03C_.wvu.PrintTitles" localSheetId="7" hidden="1">HSKP!$1:$10</definedName>
    <definedName name="Z_06305A94_F293_4CE3_8C98_A35E374FB03C_.wvu.PrintTitles" localSheetId="36" hidden="1">IT!$1:$10</definedName>
    <definedName name="Z_06305A94_F293_4CE3_8C98_A35E374FB03C_.wvu.PrintTitles" localSheetId="40" hidden="1">Laundry!$1:$10</definedName>
    <definedName name="Z_06305A94_F293_4CE3_8C98_A35E374FB03C_.wvu.PrintTitles" localSheetId="11" hidden="1">'Lobby Lounge'!$1:$10</definedName>
    <definedName name="Z_06305A94_F293_4CE3_8C98_A35E374FB03C_.wvu.PrintTitles" localSheetId="17" hidden="1">'Main Kitchen'!$1:$10</definedName>
    <definedName name="Z_06305A94_F293_4CE3_8C98_A35E374FB03C_.wvu.PrintTitles" localSheetId="19" hidden="1">Minibar!$1:$10</definedName>
    <definedName name="Z_06305A94_F293_4CE3_8C98_A35E374FB03C_.wvu.PrintTitles" localSheetId="13" hidden="1">'MP Cafe'!$1:$10</definedName>
    <definedName name="Z_06305A94_F293_4CE3_8C98_A35E374FB03C_.wvu.PrintTitles" localSheetId="14" hidden="1">'MP Dining'!$1:$10</definedName>
    <definedName name="Z_06305A94_F293_4CE3_8C98_A35E374FB03C_.wvu.PrintTitles" localSheetId="22" hidden="1">OOD!$1:$10</definedName>
    <definedName name="Z_06305A94_F293_4CE3_8C98_A35E374FB03C_.wvu.PrintTitles" localSheetId="37" hidden="1">'R&amp;M'!$1:$10</definedName>
    <definedName name="Z_06305A94_F293_4CE3_8C98_A35E374FB03C_.wvu.PrintTitles" localSheetId="8" hidden="1">Reservation!$1:$10</definedName>
    <definedName name="Z_06305A94_F293_4CE3_8C98_A35E374FB03C_.wvu.PrintTitles" localSheetId="18" hidden="1">'Room Service'!$1:$10</definedName>
    <definedName name="Z_06305A94_F293_4CE3_8C98_A35E374FB03C_.wvu.PrintTitles" localSheetId="9" hidden="1">'ROOMS Admin'!$1:$10</definedName>
    <definedName name="Z_06305A94_F293_4CE3_8C98_A35E374FB03C_.wvu.PrintTitles" localSheetId="5" hidden="1">'Rooms Summary'!$1:$10</definedName>
    <definedName name="Z_06305A94_F293_4CE3_8C98_A35E374FB03C_.wvu.PrintTitles" localSheetId="12" hidden="1">'Royal Court'!$1:$10</definedName>
    <definedName name="Z_06305A94_F293_4CE3_8C98_A35E374FB03C_.wvu.PrintTitles" localSheetId="39" hidden="1">'S&amp;M'!$1:$10</definedName>
    <definedName name="Z_06305A94_F293_4CE3_8C98_A35E374FB03C_.wvu.PrintTitles" localSheetId="35" hidden="1">Security!$1:$10</definedName>
    <definedName name="Z_06305A94_F293_4CE3_8C98_A35E374FB03C_.wvu.PrintTitles" localSheetId="41" hidden="1">'Staff Canteen'!$1:$10</definedName>
    <definedName name="Z_06305A94_F293_4CE3_8C98_A35E374FB03C_.wvu.PrintTitles" localSheetId="20" hidden="1">STW!$1:$10</definedName>
    <definedName name="Z_06305A94_F293_4CE3_8C98_A35E374FB03C_.wvu.PrintTitles" localSheetId="24" hidden="1">Telephone!$1:$10</definedName>
    <definedName name="Z_06305A94_F293_4CE3_8C98_A35E374FB03C_.wvu.PrintTitles" localSheetId="29" hidden="1">Transportation!$1:$10</definedName>
    <definedName name="Z_06305A94_F293_4CE3_8C98_A35E374FB03C_.wvu.PrintTitles" localSheetId="38" hidden="1">Utilities!$1:$10</definedName>
    <definedName name="Z_06305A94_F293_4CE3_8C98_A35E374FB03C_.wvu.Rows" localSheetId="31" hidden="1">'A&amp;G'!#REF!,'A&amp;G'!$1:$2,'A&amp;G'!#REF!,'A&amp;G'!#REF!,'A&amp;G'!$12:$77,'A&amp;G'!#REF!,'A&amp;G'!#REF!,'A&amp;G'!#REF!,'A&amp;G'!#REF!,'A&amp;G'!#REF!,'A&amp;G'!$160:$198,'A&amp;G'!#REF!,'A&amp;G'!#REF!,'A&amp;G'!#REF!,'A&amp;G'!#REF!,'A&amp;G'!#REF!,'A&amp;G'!#REF!,'A&amp;G'!#REF!,'A&amp;G'!#REF!,'A&amp;G'!#REF!,'A&amp;G'!#REF!,'A&amp;G'!#REF!,'A&amp;G'!#REF!,'A&amp;G'!#REF!,'A&amp;G'!#REF!,'A&amp;G'!#REF!,'A&amp;G'!#REF!,'A&amp;G'!#REF!,'A&amp;G'!#REF!,'A&amp;G'!$162:$198</definedName>
    <definedName name="Z_06305A94_F293_4CE3_8C98_A35E374FB03C_.wvu.Rows" localSheetId="15" hidden="1">'ADD-Mhub lounge'!#REF!,'ADD-Mhub lounge'!$1:$2,'ADD-Mhub lounge'!#REF!,'ADD-Mhub lounge'!#REF!,'ADD-Mhub lounge'!$12:$106,'ADD-Mhub lounge'!#REF!,'ADD-Mhub lounge'!#REF!,'ADD-Mhub lounge'!#REF!,'ADD-Mhub lounge'!#REF!,'ADD-Mhub lounge'!#REF!,'ADD-Mhub lounge'!$111:$165,'ADD-Mhub lounge'!#REF!,'ADD-Mhub lounge'!#REF!,'ADD-Mhub lounge'!#REF!,'ADD-Mhub lounge'!#REF!,'ADD-Mhub lounge'!#REF!,'ADD-Mhub lounge'!#REF!,'ADD-Mhub lounge'!#REF!,'ADD-Mhub lounge'!#REF!,'ADD-Mhub lounge'!#REF!,'ADD-Mhub lounge'!#REF!,'ADD-Mhub lounge'!#REF!,'ADD-Mhub lounge'!#REF!,'ADD-Mhub lounge'!#REF!,'ADD-Mhub lounge'!#REF!,'ADD-Mhub lounge'!#REF!,'ADD-Mhub lounge'!#REF!,'ADD-Mhub lounge'!#REF!,'ADD-Mhub lounge'!#REF!,'ADD-Mhub lounge'!$112:$165</definedName>
    <definedName name="Z_06305A94_F293_4CE3_8C98_A35E374FB03C_.wvu.Rows" localSheetId="28" hidden="1">Apartment!#REF!,Apartment!$1:$2,Apartment!#REF!,Apartment!#REF!,Apartment!$12:$32,Apartment!#REF!,Apartment!#REF!,Apartment!#REF!,Apartment!#REF!,Apartment!#REF!,Apartment!$52:$85,Apartment!#REF!,Apartment!#REF!,Apartment!#REF!,Apartment!#REF!,Apartment!#REF!,Apartment!#REF!,Apartment!#REF!,Apartment!#REF!,Apartment!#REF!,Apartment!#REF!,Apartment!#REF!,Apartment!#REF!,Apartment!#REF!,Apartment!#REF!,Apartment!#REF!,Apartment!#REF!,Apartment!#REF!,Apartment!#REF!,Apartment!$52:$85</definedName>
    <definedName name="Z_06305A94_F293_4CE3_8C98_A35E374FB03C_.wvu.Rows" localSheetId="16" hidden="1">Banquet!#REF!,Banquet!$1:$2,Banquet!#REF!,Banquet!#REF!,Banquet!$12:$107,Banquet!#REF!,Banquet!#REF!,Banquet!#REF!,Banquet!#REF!,Banquet!#REF!,Banquet!$112:$166,Banquet!#REF!,Banquet!#REF!,Banquet!#REF!,Banquet!#REF!,Banquet!#REF!,Banquet!#REF!,Banquet!#REF!,Banquet!#REF!,Banquet!#REF!,Banquet!#REF!,Banquet!#REF!,Banquet!#REF!,Banquet!#REF!,Banquet!#REF!,Banquet!#REF!,Banquet!#REF!,Banquet!#REF!,Banquet!#REF!,Banquet!$113:$166</definedName>
    <definedName name="Z_06305A94_F293_4CE3_8C98_A35E374FB03C_.wvu.Rows" localSheetId="26" hidden="1">BC!#REF!,BC!$1:$2,BC!#REF!,BC!#REF!,BC!$12:$38,BC!#REF!,BC!#REF!,BC!#REF!,BC!#REF!,BC!#REF!,BC!$59:$92,BC!#REF!,BC!#REF!,BC!#REF!,BC!#REF!,BC!#REF!,BC!#REF!,BC!#REF!,BC!#REF!,BC!#REF!,BC!#REF!,BC!#REF!,BC!#REF!,BC!#REF!,BC!#REF!,BC!#REF!,BC!#REF!,BC!#REF!,BC!#REF!,BC!$59:$92</definedName>
    <definedName name="Z_06305A94_F293_4CE3_8C98_A35E374FB03C_.wvu.Rows" localSheetId="27" hidden="1">'DYT Galleria'!#REF!,'DYT Galleria'!$1:$2,'DYT Galleria'!#REF!,'DYT Galleria'!#REF!,'DYT Galleria'!$12:$17,'DYT Galleria'!#REF!,'DYT Galleria'!#REF!,'DYT Galleria'!#REF!,'DYT Galleria'!#REF!,'DYT Galleria'!#REF!,'DYT Galleria'!$37:$70,'DYT Galleria'!#REF!,'DYT Galleria'!#REF!,'DYT Galleria'!#REF!,'DYT Galleria'!#REF!,'DYT Galleria'!#REF!,'DYT Galleria'!#REF!,'DYT Galleria'!#REF!,'DYT Galleria'!#REF!,'DYT Galleria'!#REF!,'DYT Galleria'!#REF!,'DYT Galleria'!#REF!,'DYT Galleria'!#REF!,'DYT Galleria'!#REF!,'DYT Galleria'!#REF!,'DYT Galleria'!#REF!,'DYT Galleria'!#REF!,'DYT Galleria'!#REF!,'DYT Galleria'!#REF!,'DYT Galleria'!$37:$70</definedName>
    <definedName name="Z_06305A94_F293_4CE3_8C98_A35E374FB03C_.wvu.Rows" localSheetId="32" hidden="1">EO!#REF!,EO!$1:$2,EO!#REF!,EO!#REF!,EO!$12:$77,EO!#REF!,EO!#REF!,EO!#REF!,EO!#REF!,EO!#REF!,EO!$160:$197,EO!#REF!,EO!#REF!,EO!#REF!,EO!#REF!,EO!#REF!,EO!#REF!,EO!#REF!,EO!#REF!,EO!#REF!,EO!#REF!,EO!#REF!,EO!#REF!,EO!#REF!,EO!#REF!,EO!#REF!,EO!#REF!,EO!#REF!,EO!#REF!,EO!$162:$197</definedName>
    <definedName name="Z_06305A94_F293_4CE3_8C98_A35E374FB03C_.wvu.Rows" localSheetId="21" hidden="1">'F&amp;B Admin'!#REF!,'F&amp;B Admin'!$1:$2,'F&amp;B Admin'!#REF!,'F&amp;B Admin'!#REF!,'F&amp;B Admin'!$12:$78,'F&amp;B Admin'!#REF!,'F&amp;B Admin'!#REF!,'F&amp;B Admin'!#REF!,'F&amp;B Admin'!#REF!,'F&amp;B Admin'!#REF!,'F&amp;B Admin'!$85:$123,'F&amp;B Admin'!#REF!,'F&amp;B Admin'!#REF!,'F&amp;B Admin'!#REF!,'F&amp;B Admin'!#REF!,'F&amp;B Admin'!#REF!,'F&amp;B Admin'!#REF!,'F&amp;B Admin'!#REF!,'F&amp;B Admin'!#REF!,'F&amp;B Admin'!#REF!,'F&amp;B Admin'!#REF!,'F&amp;B Admin'!#REF!,'F&amp;B Admin'!#REF!,'F&amp;B Admin'!#REF!,'F&amp;B Admin'!#REF!,'F&amp;B Admin'!#REF!,'F&amp;B Admin'!#REF!,'F&amp;B Admin'!#REF!,'F&amp;B Admin'!#REF!,'F&amp;B Admin'!$88:$123</definedName>
    <definedName name="Z_06305A94_F293_4CE3_8C98_A35E374FB03C_.wvu.Rows" localSheetId="10" hidden="1">'F&amp;B Summary'!#REF!,'F&amp;B Summary'!$1:$2,'F&amp;B Summary'!#REF!,'F&amp;B Summary'!#REF!,'F&amp;B Summary'!$12:$129,'F&amp;B Summary'!#REF!,'F&amp;B Summary'!#REF!,'F&amp;B Summary'!#REF!,'F&amp;B Summary'!#REF!,'F&amp;B Summary'!#REF!,'F&amp;B Summary'!$133:$205,'F&amp;B Summary'!#REF!,'F&amp;B Summary'!#REF!,'F&amp;B Summary'!#REF!,'F&amp;B Summary'!#REF!,'F&amp;B Summary'!#REF!,'F&amp;B Summary'!#REF!,'F&amp;B Summary'!#REF!,'F&amp;B Summary'!#REF!,'F&amp;B Summary'!#REF!,'F&amp;B Summary'!#REF!,'F&amp;B Summary'!#REF!,'F&amp;B Summary'!#REF!,'F&amp;B Summary'!#REF!,'F&amp;B Summary'!#REF!,'F&amp;B Summary'!#REF!,'F&amp;B Summary'!#REF!,'F&amp;B Summary'!#REF!,'F&amp;B Summary'!#REF!,'F&amp;B Summary'!$134:$205</definedName>
    <definedName name="Z_06305A94_F293_4CE3_8C98_A35E374FB03C_.wvu.Rows" localSheetId="33" hidden="1">Finance!#REF!,Finance!$1:$2,Finance!#REF!,Finance!#REF!,Finance!$12:$77,Finance!#REF!,Finance!#REF!,Finance!#REF!,Finance!#REF!,Finance!#REF!,Finance!$160:$197,Finance!#REF!,Finance!#REF!,Finance!#REF!,Finance!#REF!,Finance!#REF!,Finance!#REF!,Finance!#REF!,Finance!#REF!,Finance!#REF!,Finance!#REF!,Finance!#REF!,Finance!#REF!,Finance!#REF!,Finance!#REF!,Finance!#REF!,Finance!#REF!,Finance!#REF!,Finance!#REF!,Finance!$162:$197</definedName>
    <definedName name="Z_06305A94_F293_4CE3_8C98_A35E374FB03C_.wvu.Rows" localSheetId="42" hidden="1">'Fixed Charge'!#REF!,'Fixed Charge'!$1:$2,'Fixed Charge'!#REF!,'Fixed Charge'!#REF!,'Fixed Charge'!$12:$27,'Fixed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Charge'!#REF!,'Fixed Charge'!#REF!</definedName>
    <definedName name="Z_06305A94_F293_4CE3_8C98_A35E374FB03C_.wvu.Rows" localSheetId="6" hidden="1">'Front Office'!#REF!,'Front Office'!$1:$2,'Front Office'!#REF!,'Front Office'!#REF!,'Front Office'!$11:$80,'Front Office'!#REF!,'Front Office'!#REF!,'Front Office'!#REF!,'Front Office'!#REF!,'Front Office'!#REF!,'Front Office'!$83:$120,'Front Office'!#REF!,'Front Office'!#REF!,'Front Office'!#REF!,'Front Office'!#REF!,'Front Office'!#REF!,'Front Office'!#REF!,'Front Office'!#REF!,'Front Office'!#REF!,'Front Office'!#REF!,'Front Office'!#REF!,'Front Office'!#REF!,'Front Office'!#REF!,'Front Office'!#REF!,'Front Office'!#REF!,'Front Office'!#REF!,'Front Office'!#REF!,'Front Office'!#REF!,'Front Office'!#REF!,'Front Office'!$83:$120</definedName>
    <definedName name="Z_06305A94_F293_4CE3_8C98_A35E374FB03C_.wvu.Rows" localSheetId="30" hidden="1">'Garage Parking'!#REF!,'Garage Parking'!$1:$2,'Garage Parking'!#REF!,'Garage Parking'!#REF!,'Garage Parking'!$12:$23,'Garage Parking'!#REF!,'Garage Parking'!#REF!,'Garage Parking'!#REF!,'Garage Parking'!#REF!,'Garage Parking'!#REF!,'Garage Parking'!$43:$76,'Garage Parking'!#REF!,'Garage Parking'!#REF!,'Garage Parking'!#REF!,'Garage Parking'!#REF!,'Garage Parking'!#REF!,'Garage Parking'!#REF!,'Garage Parking'!#REF!,'Garage Parking'!#REF!,'Garage Parking'!#REF!,'Garage Parking'!#REF!,'Garage Parking'!#REF!,'Garage Parking'!#REF!,'Garage Parking'!#REF!,'Garage Parking'!#REF!,'Garage Parking'!#REF!,'Garage Parking'!#REF!,'Garage Parking'!#REF!,'Garage Parking'!#REF!,'Garage Parking'!$43:$76</definedName>
    <definedName name="Z_06305A94_F293_4CE3_8C98_A35E374FB03C_.wvu.Rows" localSheetId="25" hidden="1">'Guest Laundry'!#REF!,'Guest Laundry'!$1:$2,'Guest Laundry'!#REF!,'Guest Laundry'!#REF!,'Guest Laundry'!$12:$26,'Guest Laundry'!#REF!,'Guest Laundry'!#REF!,'Guest Laundry'!#REF!,'Guest Laundry'!#REF!,'Guest Laundry'!#REF!,'Guest Laundry'!$46:$79,'Guest Laundry'!#REF!,'Guest Laundry'!#REF!,'Guest Laundry'!#REF!,'Guest Laundry'!#REF!,'Guest Laundry'!#REF!,'Guest Laundry'!#REF!,'Guest Laundry'!#REF!,'Guest Laundry'!#REF!,'Guest Laundry'!#REF!,'Guest Laundry'!#REF!,'Guest Laundry'!#REF!,'Guest Laundry'!#REF!,'Guest Laundry'!#REF!,'Guest Laundry'!#REF!,'Guest Laundry'!#REF!,'Guest Laundry'!#REF!,'Guest Laundry'!#REF!,'Guest Laundry'!#REF!,'Guest Laundry'!$46:$79</definedName>
    <definedName name="Z_06305A94_F293_4CE3_8C98_A35E374FB03C_.wvu.Rows" localSheetId="23" hidden="1">'Health Club'!#REF!,'Health Club'!$1:$2,'Health Club'!#REF!,'Health Club'!#REF!,'Health Club'!$12:$45,'Health Club'!#REF!,'Health Club'!#REF!,'Health Club'!#REF!,'Health Club'!#REF!,'Health Club'!#REF!,'Health Club'!$66:$99,'Health Club'!#REF!,'Health Club'!#REF!,'Health Club'!#REF!,'Health Club'!#REF!,'Health Club'!#REF!,'Health Club'!#REF!,'Health Club'!#REF!,'Health Club'!#REF!,'Health Club'!#REF!,'Health Club'!#REF!,'Health Club'!#REF!,'Health Club'!#REF!,'Health Club'!#REF!,'Health Club'!#REF!,'Health Club'!#REF!,'Health Club'!#REF!,'Health Club'!#REF!,'Health Club'!#REF!,'Health Club'!$66:$99</definedName>
    <definedName name="Z_06305A94_F293_4CE3_8C98_A35E374FB03C_.wvu.Rows" localSheetId="34" hidden="1">HR!#REF!,HR!$1:$2,HR!#REF!,HR!#REF!,HR!$12:$77,HR!#REF!,HR!#REF!,HR!#REF!,HR!#REF!,HR!#REF!,HR!$160:$198,HR!#REF!,HR!#REF!,HR!#REF!,HR!#REF!,HR!#REF!,HR!#REF!,HR!#REF!,HR!#REF!,HR!#REF!,HR!#REF!,HR!#REF!,HR!#REF!,HR!#REF!,HR!#REF!,HR!#REF!,HR!#REF!,HR!#REF!,HR!#REF!,HR!$162:$198</definedName>
    <definedName name="Z_06305A94_F293_4CE3_8C98_A35E374FB03C_.wvu.Rows" localSheetId="7" hidden="1">HSKP!#REF!,HSKP!$1:$2,HSKP!#REF!,HSKP!#REF!,HSKP!$11:$80,HSKP!#REF!,HSKP!#REF!,HSKP!#REF!,HSKP!#REF!,HSKP!#REF!,HSKP!$83:$120,HSKP!#REF!,HSKP!#REF!,HSKP!#REF!,HSKP!#REF!,HSKP!#REF!,HSKP!#REF!,HSKP!#REF!,HSKP!#REF!,HSKP!#REF!,HSKP!#REF!,HSKP!#REF!,HSKP!#REF!,HSKP!#REF!,HSKP!#REF!,HSKP!#REF!,HSKP!#REF!,HSKP!#REF!,HSKP!#REF!,HSKP!$83:$120</definedName>
    <definedName name="Z_06305A94_F293_4CE3_8C98_A35E374FB03C_.wvu.Rows" localSheetId="36" hidden="1">IT!#REF!,IT!$1:$2,IT!#REF!,IT!#REF!,IT!$12:$77,IT!#REF!,IT!#REF!,IT!#REF!,IT!#REF!,IT!#REF!,IT!$160:$197,IT!#REF!,IT!#REF!,IT!#REF!,IT!#REF!,IT!#REF!,IT!#REF!,IT!#REF!,IT!#REF!,IT!#REF!,IT!#REF!,IT!#REF!,IT!#REF!,IT!#REF!,IT!#REF!,IT!#REF!,IT!#REF!,IT!#REF!,IT!#REF!,IT!$162:$197</definedName>
    <definedName name="Z_06305A94_F293_4CE3_8C98_A35E374FB03C_.wvu.Rows" localSheetId="40" hidden="1">Laundry!#REF!,Laundry!$1:$2,Laundry!#REF!,Laundry!#REF!,Laundry!$12:$77,Laundry!#REF!,Laundry!#REF!,Laundry!#REF!,Laundry!#REF!,Laundry!#REF!,Laundry!$159:$195,Laundry!#REF!,Laundry!#REF!,Laundry!#REF!,Laundry!#REF!,Laundry!#REF!,Laundry!#REF!,Laundry!#REF!,Laundry!#REF!,Laundry!#REF!,Laundry!#REF!,Laundry!#REF!,Laundry!#REF!,Laundry!#REF!,Laundry!#REF!,Laundry!#REF!,Laundry!#REF!,Laundry!#REF!,Laundry!#REF!,Laundry!$159:$195</definedName>
    <definedName name="Z_06305A94_F293_4CE3_8C98_A35E374FB03C_.wvu.Rows" localSheetId="11" hidden="1">'Lobby Lounge'!#REF!,'Lobby Lounge'!$1:$2,'Lobby Lounge'!#REF!,'Lobby Lounge'!#REF!,'Lobby Lounge'!$12:$106,'Lobby Lounge'!#REF!,'Lobby Lounge'!#REF!,'Lobby Lounge'!#REF!,'Lobby Lounge'!#REF!,'Lobby Lounge'!#REF!,'Lobby Lounge'!$111:$163,'Lobby Lounge'!#REF!,'Lobby Lounge'!#REF!,'Lobby Lounge'!#REF!,'Lobby Lounge'!#REF!,'Lobby Lounge'!#REF!,'Lobby Lounge'!#REF!,'Lobby Lounge'!#REF!,'Lobby Lounge'!#REF!,'Lobby Lounge'!#REF!,'Lobby Lounge'!#REF!,'Lobby Lounge'!#REF!,'Lobby Lounge'!#REF!,'Lobby Lounge'!#REF!,'Lobby Lounge'!#REF!,'Lobby Lounge'!#REF!,'Lobby Lounge'!#REF!,'Lobby Lounge'!#REF!,'Lobby Lounge'!#REF!,'Lobby Lounge'!$112:$163</definedName>
    <definedName name="Z_06305A94_F293_4CE3_8C98_A35E374FB03C_.wvu.Rows" localSheetId="17" hidden="1">'Main Kitchen'!#REF!,'Main Kitchen'!$1:$2,'Main Kitchen'!#REF!,'Main Kitchen'!#REF!,'Main Kitchen'!$12:$78,'Main Kitchen'!#REF!,'Main Kitchen'!#REF!,'Main Kitchen'!#REF!,'Main Kitchen'!#REF!,'Main Kitchen'!#REF!,'Main Kitchen'!$85:$125,'Main Kitchen'!#REF!,'Main Kitchen'!#REF!,'Main Kitchen'!#REF!,'Main Kitchen'!#REF!,'Main Kitchen'!#REF!,'Main Kitchen'!#REF!,'Main Kitchen'!#REF!,'Main Kitchen'!#REF!,'Main Kitchen'!#REF!,'Main Kitchen'!#REF!,'Main Kitchen'!#REF!,'Main Kitchen'!#REF!,'Main Kitchen'!#REF!,'Main Kitchen'!#REF!,'Main Kitchen'!#REF!,'Main Kitchen'!#REF!,'Main Kitchen'!#REF!,'Main Kitchen'!#REF!,'Main Kitchen'!$88:$125</definedName>
    <definedName name="Z_06305A94_F293_4CE3_8C98_A35E374FB03C_.wvu.Rows" localSheetId="19" hidden="1">Minibar!#REF!,Minibar!$1:$2,Minibar!#REF!,Minibar!#REF!,Minibar!$12:$94,Minibar!#REF!,Minibar!#REF!,Minibar!#REF!,Minibar!#REF!,Minibar!#REF!,Minibar!$99:$134,Minibar!#REF!,Minibar!#REF!,Minibar!#REF!,Minibar!#REF!,Minibar!#REF!,Minibar!#REF!,Minibar!#REF!,Minibar!#REF!,Minibar!#REF!,Minibar!#REF!,Minibar!#REF!,Minibar!#REF!,Minibar!#REF!,Minibar!#REF!,Minibar!#REF!,Minibar!#REF!,Minibar!#REF!,Minibar!#REF!,Minibar!$99:$134</definedName>
    <definedName name="Z_06305A94_F293_4CE3_8C98_A35E374FB03C_.wvu.Rows" localSheetId="13" hidden="1">'MP Cafe'!#REF!,'MP Cafe'!$1:$2,'MP Cafe'!#REF!,'MP Cafe'!#REF!,'MP Cafe'!$12:$106,'MP Cafe'!#REF!,'MP Cafe'!#REF!,'MP Cafe'!#REF!,'MP Cafe'!#REF!,'MP Cafe'!#REF!,'MP Cafe'!$111:$163,'MP Cafe'!#REF!,'MP Cafe'!#REF!,'MP Cafe'!#REF!,'MP Cafe'!#REF!,'MP Cafe'!#REF!,'MP Cafe'!#REF!,'MP Cafe'!#REF!,'MP Cafe'!#REF!,'MP Cafe'!#REF!,'MP Cafe'!#REF!,'MP Cafe'!#REF!,'MP Cafe'!#REF!,'MP Cafe'!#REF!,'MP Cafe'!#REF!,'MP Cafe'!#REF!,'MP Cafe'!#REF!,'MP Cafe'!#REF!,'MP Cafe'!#REF!,'MP Cafe'!$112:$163</definedName>
    <definedName name="Z_06305A94_F293_4CE3_8C98_A35E374FB03C_.wvu.Rows" localSheetId="14" hidden="1">'MP Dining'!#REF!,'MP Dining'!$1:$2,'MP Dining'!#REF!,'MP Dining'!#REF!,'MP Dining'!$12:$106,'MP Dining'!#REF!,'MP Dining'!#REF!,'MP Dining'!#REF!,'MP Dining'!#REF!,'MP Dining'!#REF!,'MP Dining'!$111:$163,'MP Dining'!#REF!,'MP Dining'!#REF!,'MP Dining'!#REF!,'MP Dining'!#REF!,'MP Dining'!#REF!,'MP Dining'!#REF!,'MP Dining'!#REF!,'MP Dining'!#REF!,'MP Dining'!#REF!,'MP Dining'!#REF!,'MP Dining'!#REF!,'MP Dining'!#REF!,'MP Dining'!#REF!,'MP Dining'!#REF!,'MP Dining'!#REF!,'MP Dining'!#REF!,'MP Dining'!#REF!,'MP Dining'!#REF!,'MP Dining'!$112:$163</definedName>
    <definedName name="Z_06305A94_F293_4CE3_8C98_A35E374FB03C_.wvu.Rows" localSheetId="22" hidden="1">OOD!#REF!,OOD!$1:$2,OOD!#REF!,OOD!#REF!,OOD!$12:$45,OOD!#REF!,OOD!#REF!,OOD!#REF!,OOD!#REF!,OOD!#REF!,OOD!$65:$100,OOD!#REF!,OOD!#REF!,OOD!#REF!,OOD!#REF!,OOD!#REF!,OOD!#REF!,OOD!#REF!,OOD!#REF!,OOD!#REF!,OOD!#REF!,OOD!#REF!,OOD!#REF!,OOD!#REF!,OOD!#REF!,OOD!#REF!,OOD!#REF!,OOD!#REF!,OOD!#REF!,OOD!$65:$100</definedName>
    <definedName name="Z_06305A94_F293_4CE3_8C98_A35E374FB03C_.wvu.Rows" localSheetId="37" hidden="1">'R&amp;M'!#REF!,'R&amp;M'!$1:$2,'R&amp;M'!#REF!,'R&amp;M'!#REF!,'R&amp;M'!$12:$77,'R&amp;M'!#REF!,'R&amp;M'!#REF!,'R&amp;M'!#REF!,'R&amp;M'!#REF!,'R&amp;M'!#REF!,'R&amp;M'!$160:$197,'R&amp;M'!#REF!,'R&amp;M'!#REF!,'R&amp;M'!#REF!,'R&amp;M'!#REF!,'R&amp;M'!#REF!,'R&amp;M'!#REF!,'R&amp;M'!#REF!,'R&amp;M'!#REF!,'R&amp;M'!#REF!,'R&amp;M'!#REF!,'R&amp;M'!#REF!,'R&amp;M'!#REF!,'R&amp;M'!#REF!,'R&amp;M'!#REF!,'R&amp;M'!#REF!,'R&amp;M'!#REF!,'R&amp;M'!#REF!,'R&amp;M'!#REF!,'R&amp;M'!$162:$197</definedName>
    <definedName name="Z_06305A94_F293_4CE3_8C98_A35E374FB03C_.wvu.Rows" localSheetId="8" hidden="1">Reservation!#REF!,Reservation!$1:$2,Reservation!#REF!,Reservation!#REF!,Reservation!$11:$80,Reservation!#REF!,Reservation!#REF!,Reservation!#REF!,Reservation!#REF!,Reservation!#REF!,Reservation!$83:$118,Reservation!#REF!,Reservation!#REF!,Reservation!#REF!,Reservation!#REF!,Reservation!#REF!,Reservation!#REF!,Reservation!#REF!,Reservation!#REF!,Reservation!#REF!,Reservation!#REF!,Reservation!#REF!,Reservation!#REF!,Reservation!#REF!,Reservation!#REF!,Reservation!#REF!,Reservation!#REF!,Reservation!#REF!,Reservation!#REF!,Reservation!$83:$118</definedName>
    <definedName name="Z_06305A94_F293_4CE3_8C98_A35E374FB03C_.wvu.Rows" localSheetId="18" hidden="1">'Room Service'!#REF!,'Room Service'!$1:$2,'Room Service'!#REF!,'Room Service'!#REF!,'Room Service'!$12:$106,'Room Service'!#REF!,'Room Service'!#REF!,'Room Service'!#REF!,'Room Service'!#REF!,'Room Service'!#REF!,'Room Service'!$111:$163,'Room Service'!#REF!,'Room Service'!#REF!,'Room Service'!#REF!,'Room Service'!#REF!,'Room Service'!#REF!,'Room Service'!#REF!,'Room Service'!#REF!,'Room Service'!#REF!,'Room Service'!#REF!,'Room Service'!#REF!,'Room Service'!#REF!,'Room Service'!#REF!,'Room Service'!#REF!,'Room Service'!#REF!,'Room Service'!#REF!,'Room Service'!#REF!,'Room Service'!#REF!,'Room Service'!#REF!,'Room Service'!$112:$163</definedName>
    <definedName name="Z_06305A94_F293_4CE3_8C98_A35E374FB03C_.wvu.Rows" localSheetId="9" hidden="1">'ROOMS Admin'!#REF!,'ROOMS Admin'!$1:$2,'ROOMS Admin'!#REF!,'ROOMS Admin'!#REF!,'ROOMS Admin'!$11:$80,'ROOMS Admin'!#REF!,'ROOMS Admin'!#REF!,'ROOMS Admin'!#REF!,'ROOMS Admin'!#REF!,'ROOMS Admin'!#REF!,'ROOMS Admin'!$83:$118,'ROOMS Admin'!#REF!,'ROOMS Admin'!#REF!,'ROOMS Admin'!#REF!,'ROOMS Admin'!#REF!,'ROOMS Admin'!#REF!,'ROOMS Admin'!#REF!,'ROOMS Admin'!#REF!,'ROOMS Admin'!#REF!,'ROOMS Admin'!#REF!,'ROOMS Admin'!#REF!,'ROOMS Admin'!#REF!,'ROOMS Admin'!#REF!,'ROOMS Admin'!#REF!,'ROOMS Admin'!#REF!,'ROOMS Admin'!#REF!,'ROOMS Admin'!#REF!,'ROOMS Admin'!#REF!,'ROOMS Admin'!#REF!,'ROOMS Admin'!$83:$118</definedName>
    <definedName name="Z_06305A94_F293_4CE3_8C98_A35E374FB03C_.wvu.Rows" localSheetId="5" hidden="1">'Rooms Summary'!#REF!,'Rooms Summary'!$1:$2,'Rooms Summary'!#REF!,'Rooms Summary'!#REF!,'Rooms Summary'!$12:$102,'Rooms Summary'!#REF!,'Rooms Summary'!#REF!,'Rooms Summary'!#REF!,'Rooms Summary'!#REF!,'Rooms Summary'!#REF!,'Rooms Summary'!$120:$159,'Rooms Summary'!#REF!,'Rooms Summary'!#REF!,'Rooms Summary'!#REF!,'Rooms Summary'!#REF!,'Rooms Summary'!#REF!,'Rooms Summary'!#REF!,'Rooms Summary'!#REF!,'Rooms Summary'!#REF!,'Rooms Summary'!#REF!,'Rooms Summary'!#REF!,'Rooms Summary'!#REF!,'Rooms Summary'!#REF!,'Rooms Summary'!#REF!,'Rooms Summary'!#REF!,'Rooms Summary'!#REF!,'Rooms Summary'!#REF!,'Rooms Summary'!#REF!,'Rooms Summary'!#REF!,'Rooms Summary'!$120:$159</definedName>
    <definedName name="Z_06305A94_F293_4CE3_8C98_A35E374FB03C_.wvu.Rows" localSheetId="12" hidden="1">'Royal Court'!#REF!,'Royal Court'!$1:$2,'Royal Court'!#REF!,'Royal Court'!#REF!,'Royal Court'!$12:$106,'Royal Court'!#REF!,'Royal Court'!#REF!,'Royal Court'!#REF!,'Royal Court'!#REF!,'Royal Court'!#REF!,'Royal Court'!$111:$163,'Royal Court'!#REF!,'Royal Court'!#REF!,'Royal Court'!#REF!,'Royal Court'!#REF!,'Royal Court'!#REF!,'Royal Court'!#REF!,'Royal Court'!#REF!,'Royal Court'!#REF!,'Royal Court'!#REF!,'Royal Court'!#REF!,'Royal Court'!#REF!,'Royal Court'!#REF!,'Royal Court'!#REF!,'Royal Court'!#REF!,'Royal Court'!#REF!,'Royal Court'!#REF!,'Royal Court'!#REF!,'Royal Court'!#REF!,'Royal Court'!$112:$163</definedName>
    <definedName name="Z_06305A94_F293_4CE3_8C98_A35E374FB03C_.wvu.Rows" localSheetId="39" hidden="1">'S&amp;M'!#REF!,'S&amp;M'!$1:$2,'S&amp;M'!#REF!,'S&amp;M'!#REF!,'S&amp;M'!$12:$77,'S&amp;M'!#REF!,'S&amp;M'!#REF!,'S&amp;M'!#REF!,'S&amp;M'!#REF!,'S&amp;M'!#REF!,'S&amp;M'!$159:$196,'S&amp;M'!#REF!,'S&amp;M'!#REF!,'S&amp;M'!#REF!,'S&amp;M'!#REF!,'S&amp;M'!#REF!,'S&amp;M'!#REF!,'S&amp;M'!#REF!,'S&amp;M'!#REF!,'S&amp;M'!#REF!,'S&amp;M'!#REF!,'S&amp;M'!#REF!,'S&amp;M'!#REF!,'S&amp;M'!#REF!,'S&amp;M'!#REF!,'S&amp;M'!#REF!,'S&amp;M'!#REF!,'S&amp;M'!#REF!,'S&amp;M'!#REF!,'S&amp;M'!$160:$196</definedName>
    <definedName name="Z_06305A94_F293_4CE3_8C98_A35E374FB03C_.wvu.Rows" localSheetId="35" hidden="1">Security!#REF!,Security!$1:$2,Security!#REF!,Security!#REF!,Security!$12:$77,Security!#REF!,Security!#REF!,Security!#REF!,Security!#REF!,Security!#REF!,Security!$160:$197,Security!#REF!,Security!#REF!,Security!#REF!,Security!#REF!,Security!#REF!,Security!#REF!,Security!#REF!,Security!#REF!,Security!#REF!,Security!#REF!,Security!#REF!,Security!#REF!,Security!#REF!,Security!#REF!,Security!#REF!,Security!#REF!,Security!#REF!,Security!#REF!,Security!$162:$197</definedName>
    <definedName name="Z_06305A94_F293_4CE3_8C98_A35E374FB03C_.wvu.Rows" localSheetId="41" hidden="1">'Staff Canteen'!#REF!,'Staff Canteen'!$1:$2,'Staff Canteen'!#REF!,'Staff Canteen'!#REF!,'Staff Canteen'!$12:$77,'Staff Canteen'!#REF!,'Staff Canteen'!#REF!,'Staff Canteen'!#REF!,'Staff Canteen'!#REF!,'Staff Canteen'!#REF!,'Staff Canteen'!$159:$194,'Staff Canteen'!#REF!,'Staff Canteen'!#REF!,'Staff Canteen'!#REF!,'Staff Canteen'!#REF!,'Staff Canteen'!#REF!,'Staff Canteen'!#REF!,'Staff Canteen'!#REF!,'Staff Canteen'!#REF!,'Staff Canteen'!#REF!,'Staff Canteen'!#REF!,'Staff Canteen'!#REF!,'Staff Canteen'!#REF!,'Staff Canteen'!#REF!,'Staff Canteen'!#REF!,'Staff Canteen'!#REF!,'Staff Canteen'!#REF!,'Staff Canteen'!#REF!,'Staff Canteen'!#REF!,'Staff Canteen'!$159:$194</definedName>
    <definedName name="Z_06305A94_F293_4CE3_8C98_A35E374FB03C_.wvu.Rows" localSheetId="20" hidden="1">STW!#REF!,STW!$1:$2,STW!#REF!,STW!#REF!,STW!$12:$78,STW!#REF!,STW!#REF!,STW!#REF!,STW!#REF!,STW!#REF!,STW!$85:$124,STW!#REF!,STW!#REF!,STW!#REF!,STW!#REF!,STW!#REF!,STW!#REF!,STW!#REF!,STW!#REF!,STW!#REF!,STW!#REF!,STW!#REF!,STW!#REF!,STW!#REF!,STW!#REF!,STW!#REF!,STW!#REF!,STW!#REF!,STW!#REF!,STW!$88:$124</definedName>
    <definedName name="Z_06305A94_F293_4CE3_8C98_A35E374FB03C_.wvu.Rows" localSheetId="24" hidden="1">Telephone!#REF!,Telephone!$1:$2,Telephone!#REF!,Telephone!#REF!,Telephone!$12:$24,Telephone!#REF!,Telephone!#REF!,Telephone!#REF!,Telephone!#REF!,Telephone!#REF!,Telephone!$44:$77,Telephone!#REF!,Telephone!#REF!,Telephone!#REF!,Telephone!#REF!,Telephone!#REF!,Telephone!#REF!,Telephone!#REF!,Telephone!#REF!,Telephone!#REF!,Telephone!#REF!,Telephone!#REF!,Telephone!#REF!,Telephone!#REF!,Telephone!#REF!,Telephone!#REF!,Telephone!#REF!,Telephone!#REF!,Telephone!#REF!,Telephone!$44:$77</definedName>
    <definedName name="Z_06305A94_F293_4CE3_8C98_A35E374FB03C_.wvu.Rows" localSheetId="29" hidden="1">Transportation!#REF!,Transportation!$1:$2,Transportation!#REF!,Transportation!#REF!,Transportation!$12:$20,Transportation!#REF!,Transportation!#REF!,Transportation!#REF!,Transportation!#REF!,Transportation!#REF!,Transportation!$40:$73,Transportation!#REF!,Transportation!#REF!,Transportation!#REF!,Transportation!#REF!,Transportation!#REF!,Transportation!#REF!,Transportation!#REF!,Transportation!#REF!,Transportation!#REF!,Transportation!#REF!,Transportation!#REF!,Transportation!#REF!,Transportation!#REF!,Transportation!#REF!,Transportation!#REF!,Transportation!#REF!,Transportation!#REF!,Transportation!#REF!,Transportation!$40:$73</definedName>
    <definedName name="Z_06305A94_F293_4CE3_8C98_A35E374FB03C_.wvu.Rows" localSheetId="38" hidden="1">Utilities!#REF!,Utilities!$1:$2,Utilities!#REF!,Utilities!#REF!,Utilities!$12:$12,Utilities!#REF!,Utilities!#REF!,Utilities!#REF!,Utilities!#REF!,Utilities!#REF!,Utilities!#REF!,Utilities!#REF!,Utilities!#REF!,Utilities!#REF!,Utilities!#REF!,Utilities!#REF!,Utilities!#REF!,Utilities!#REF!,Utilities!#REF!,Utilities!#REF!,Utilities!#REF!,Utilities!#REF!,Utilities!#REF!,Utilities!#REF!,Utilities!#REF!,Utilities!#REF!,Utilities!#REF!,Utilities!#REF!,Utilities!#REF!,Utilities!#REF!</definedName>
  </definedNames>
  <calcPr calcId="152511" calcOnSave="0"/>
</workbook>
</file>

<file path=xl/calcChain.xml><?xml version="1.0" encoding="utf-8"?>
<calcChain xmlns="http://schemas.openxmlformats.org/spreadsheetml/2006/main">
  <c r="E115" i="132" l="1"/>
  <c r="K56" i="18" l="1"/>
  <c r="F31" i="122" l="1"/>
  <c r="G31" i="122"/>
  <c r="H31" i="122"/>
  <c r="I31" i="122"/>
  <c r="J31" i="122"/>
  <c r="K31" i="122"/>
  <c r="L31" i="122"/>
  <c r="M31" i="122"/>
  <c r="N31" i="122"/>
  <c r="O31" i="122"/>
  <c r="P31" i="122"/>
  <c r="E31" i="122"/>
  <c r="J15" i="18" l="1"/>
  <c r="N212" i="154"/>
  <c r="J212" i="154"/>
  <c r="I212" i="154"/>
  <c r="H212" i="154"/>
  <c r="G212" i="154"/>
  <c r="F212" i="154"/>
  <c r="E212" i="154"/>
  <c r="P202" i="153"/>
  <c r="L202" i="153"/>
  <c r="K202" i="153"/>
  <c r="J202" i="153"/>
  <c r="I202" i="153"/>
  <c r="H202" i="153"/>
  <c r="F202" i="153"/>
  <c r="G202" i="153"/>
  <c r="M202" i="153"/>
  <c r="N202" i="153"/>
  <c r="O202" i="153"/>
  <c r="E202" i="153"/>
  <c r="F70" i="18"/>
  <c r="G70" i="18"/>
  <c r="H70" i="18"/>
  <c r="I70" i="18"/>
  <c r="J70" i="18"/>
  <c r="K70" i="18"/>
  <c r="L70" i="18"/>
  <c r="M70" i="18"/>
  <c r="N70" i="18"/>
  <c r="O70" i="18"/>
  <c r="P70" i="18"/>
  <c r="E70" i="18"/>
  <c r="F32" i="121" l="1"/>
  <c r="G32" i="121"/>
  <c r="H32" i="121"/>
  <c r="I32" i="121"/>
  <c r="J32" i="121"/>
  <c r="K32" i="121"/>
  <c r="L32" i="121"/>
  <c r="M32" i="121"/>
  <c r="N32" i="121"/>
  <c r="O32" i="121"/>
  <c r="P32" i="121"/>
  <c r="E32" i="121"/>
  <c r="P44" i="18"/>
  <c r="F167" i="154"/>
  <c r="G167" i="154"/>
  <c r="H167" i="154"/>
  <c r="I167" i="154"/>
  <c r="J167" i="154"/>
  <c r="K167" i="154"/>
  <c r="L167" i="154"/>
  <c r="M167" i="154"/>
  <c r="N167" i="154"/>
  <c r="O167" i="154"/>
  <c r="P167" i="154"/>
  <c r="E167" i="154"/>
  <c r="E167" i="153"/>
  <c r="G167" i="153"/>
  <c r="H167" i="153"/>
  <c r="I167" i="153"/>
  <c r="J167" i="153"/>
  <c r="K167" i="153"/>
  <c r="L167" i="153"/>
  <c r="M167" i="153"/>
  <c r="N167" i="153"/>
  <c r="O167" i="153"/>
  <c r="P167" i="153"/>
  <c r="F167" i="153"/>
  <c r="E182" i="93"/>
  <c r="F182" i="93"/>
  <c r="G182" i="93"/>
  <c r="H182" i="93"/>
  <c r="I182" i="93"/>
  <c r="J182" i="93"/>
  <c r="K182" i="93"/>
  <c r="L182" i="93"/>
  <c r="M182" i="93"/>
  <c r="N182" i="93"/>
  <c r="O182" i="93"/>
  <c r="P182" i="93"/>
  <c r="F168" i="93"/>
  <c r="G168" i="93"/>
  <c r="H168" i="93"/>
  <c r="I168" i="93"/>
  <c r="J168" i="93"/>
  <c r="E168" i="93"/>
  <c r="F169" i="90"/>
  <c r="G169" i="90"/>
  <c r="H169" i="90"/>
  <c r="I169" i="90"/>
  <c r="J169" i="90"/>
  <c r="E169" i="90"/>
  <c r="F169" i="143"/>
  <c r="G169" i="143"/>
  <c r="H169" i="143"/>
  <c r="I169" i="143"/>
  <c r="J169" i="143"/>
  <c r="K169" i="143"/>
  <c r="L169" i="143"/>
  <c r="M169" i="143"/>
  <c r="N169" i="143"/>
  <c r="O169" i="143"/>
  <c r="P169" i="143"/>
  <c r="E169" i="143"/>
  <c r="F183" i="142"/>
  <c r="G183" i="142"/>
  <c r="H183" i="142"/>
  <c r="I183" i="142"/>
  <c r="J183" i="142"/>
  <c r="K183" i="142"/>
  <c r="L183" i="142"/>
  <c r="M183" i="142"/>
  <c r="N183" i="142"/>
  <c r="O183" i="142"/>
  <c r="P183" i="142"/>
  <c r="F169" i="142"/>
  <c r="G169" i="142"/>
  <c r="H169" i="142"/>
  <c r="I169" i="142"/>
  <c r="J169" i="142"/>
  <c r="K169" i="142"/>
  <c r="L169" i="142"/>
  <c r="M169" i="142"/>
  <c r="N169" i="142"/>
  <c r="O169" i="142"/>
  <c r="P169" i="142"/>
  <c r="E169" i="142"/>
  <c r="F169" i="141"/>
  <c r="G169" i="141"/>
  <c r="H169" i="141"/>
  <c r="I169" i="141"/>
  <c r="J169" i="141"/>
  <c r="K169" i="141"/>
  <c r="L169" i="141"/>
  <c r="M169" i="141"/>
  <c r="N169" i="141"/>
  <c r="O169" i="141"/>
  <c r="P169" i="141"/>
  <c r="E169" i="141"/>
  <c r="F169" i="140"/>
  <c r="G169" i="140"/>
  <c r="H169" i="140"/>
  <c r="I169" i="140"/>
  <c r="J169" i="140"/>
  <c r="K169" i="140"/>
  <c r="L169" i="140"/>
  <c r="M169" i="140"/>
  <c r="N169" i="140"/>
  <c r="O169" i="140"/>
  <c r="P169" i="140"/>
  <c r="E169" i="140"/>
  <c r="F169" i="139"/>
  <c r="G169" i="139"/>
  <c r="H169" i="139"/>
  <c r="I169" i="139"/>
  <c r="J169" i="139"/>
  <c r="E169" i="139"/>
  <c r="F109" i="135"/>
  <c r="G109" i="135"/>
  <c r="H109" i="135"/>
  <c r="I109" i="135"/>
  <c r="J109" i="135"/>
  <c r="E109" i="135"/>
  <c r="E27" i="18"/>
  <c r="L109" i="147" l="1"/>
  <c r="M109" i="147"/>
  <c r="N109" i="147"/>
  <c r="O109" i="147"/>
  <c r="P109" i="147"/>
  <c r="F95" i="147"/>
  <c r="G95" i="147"/>
  <c r="H95" i="147"/>
  <c r="I95" i="147"/>
  <c r="J95" i="147"/>
  <c r="K95" i="147"/>
  <c r="L95" i="147"/>
  <c r="M95" i="147"/>
  <c r="N95" i="147"/>
  <c r="O95" i="147"/>
  <c r="P95" i="147"/>
  <c r="E95" i="147"/>
  <c r="N99" i="148"/>
  <c r="M99" i="148"/>
  <c r="J99" i="148"/>
  <c r="I99" i="148"/>
  <c r="H99" i="148"/>
  <c r="F99" i="148"/>
  <c r="E99" i="148"/>
  <c r="G138" i="121" l="1"/>
  <c r="H138" i="121"/>
  <c r="I138" i="121"/>
  <c r="J138" i="121"/>
  <c r="K138" i="121"/>
  <c r="L138" i="121"/>
  <c r="M138" i="121"/>
  <c r="N138" i="121"/>
  <c r="O138" i="121"/>
  <c r="P138" i="121"/>
  <c r="F138" i="121"/>
  <c r="Q141" i="122"/>
  <c r="K15" i="18" l="1"/>
  <c r="L15" i="18"/>
  <c r="M15" i="18"/>
  <c r="N15" i="18"/>
  <c r="O15" i="18"/>
  <c r="P15" i="18"/>
  <c r="E157" i="154" l="1"/>
  <c r="Q147" i="93" l="1"/>
  <c r="O166" i="140" l="1"/>
  <c r="F123" i="135" l="1"/>
  <c r="G123" i="135"/>
  <c r="H123" i="135"/>
  <c r="I123" i="135"/>
  <c r="J123" i="135"/>
  <c r="F14" i="127" l="1"/>
  <c r="G14" i="127"/>
  <c r="H14" i="127"/>
  <c r="I14" i="127"/>
  <c r="J14" i="127"/>
  <c r="K14" i="127"/>
  <c r="L14" i="127"/>
  <c r="M14" i="127"/>
  <c r="N14" i="127"/>
  <c r="O14" i="127"/>
  <c r="P14" i="127"/>
  <c r="E14" i="127"/>
  <c r="Q170" i="154" l="1"/>
  <c r="E172" i="154"/>
  <c r="U170" i="154" l="1"/>
  <c r="P29" i="132" l="1"/>
  <c r="O29" i="132"/>
  <c r="N29" i="132"/>
  <c r="M29" i="132"/>
  <c r="L29" i="132"/>
  <c r="K29" i="132"/>
  <c r="J29" i="132"/>
  <c r="I29" i="132"/>
  <c r="H29" i="132"/>
  <c r="G29" i="132"/>
  <c r="F29" i="132"/>
  <c r="E29" i="132"/>
  <c r="P28" i="132"/>
  <c r="O28" i="132"/>
  <c r="N28" i="132"/>
  <c r="M28" i="132"/>
  <c r="L28" i="132"/>
  <c r="K28" i="132"/>
  <c r="J28" i="132"/>
  <c r="I28" i="132"/>
  <c r="H28" i="132"/>
  <c r="G28" i="132"/>
  <c r="F28" i="132"/>
  <c r="E28" i="132"/>
  <c r="E30" i="132" l="1"/>
  <c r="I30" i="132"/>
  <c r="M30" i="132"/>
  <c r="F30" i="132"/>
  <c r="J30" i="132"/>
  <c r="N30" i="132"/>
  <c r="G30" i="132"/>
  <c r="K30" i="132"/>
  <c r="O30" i="132"/>
  <c r="H30" i="132"/>
  <c r="L30" i="132"/>
  <c r="P30" i="132"/>
  <c r="Q43" i="90" l="1"/>
  <c r="E27" i="122" l="1"/>
  <c r="F27" i="18" l="1"/>
  <c r="G27" i="18"/>
  <c r="H27" i="18"/>
  <c r="I27" i="18"/>
  <c r="Q123" i="130"/>
  <c r="Q194" i="154" l="1"/>
  <c r="Q69" i="136" l="1"/>
  <c r="Q70" i="136"/>
  <c r="Q71" i="136"/>
  <c r="Q72" i="136"/>
  <c r="Q73" i="136"/>
  <c r="Q74" i="136"/>
  <c r="Q75" i="136"/>
  <c r="Q76" i="136"/>
  <c r="Q77" i="136"/>
  <c r="Q78" i="136"/>
  <c r="Q79" i="136"/>
  <c r="Q80" i="136"/>
  <c r="Q81" i="136"/>
  <c r="Q82" i="136"/>
  <c r="Q83" i="136"/>
  <c r="Q84" i="136"/>
  <c r="Q85" i="136"/>
  <c r="Q86" i="136"/>
  <c r="Q87" i="136"/>
  <c r="Q88" i="136"/>
  <c r="Q89" i="136"/>
  <c r="Q90" i="136"/>
  <c r="Q91" i="136"/>
  <c r="Q92" i="136"/>
  <c r="Q93" i="136"/>
  <c r="P27" i="18" l="1"/>
  <c r="O27" i="18"/>
  <c r="N27" i="18"/>
  <c r="M27" i="18"/>
  <c r="L27" i="18"/>
  <c r="K27" i="18"/>
  <c r="J27" i="18"/>
  <c r="Q168" i="140" l="1"/>
  <c r="Q170" i="140"/>
  <c r="Q171" i="140"/>
  <c r="Q172" i="140"/>
  <c r="Q173" i="140"/>
  <c r="Q174" i="140"/>
  <c r="Q21" i="156" l="1"/>
  <c r="T21" i="156" s="1"/>
  <c r="Q13" i="156"/>
  <c r="T13" i="156" s="1"/>
  <c r="Q14" i="156"/>
  <c r="T14" i="156" s="1"/>
  <c r="T134" i="156" l="1"/>
  <c r="P131" i="156"/>
  <c r="O131" i="156"/>
  <c r="N131" i="156"/>
  <c r="M131" i="156"/>
  <c r="L131" i="156"/>
  <c r="K131" i="156"/>
  <c r="J131" i="156"/>
  <c r="I131" i="156"/>
  <c r="H131" i="156"/>
  <c r="G131" i="156"/>
  <c r="F131" i="156"/>
  <c r="E131" i="156"/>
  <c r="Q130" i="156"/>
  <c r="T130" i="156" s="1"/>
  <c r="Q129" i="156"/>
  <c r="T129" i="156" s="1"/>
  <c r="Q128" i="156"/>
  <c r="T128" i="156" s="1"/>
  <c r="Q127" i="156"/>
  <c r="T127" i="156" s="1"/>
  <c r="Q126" i="156"/>
  <c r="T126" i="156" s="1"/>
  <c r="Q125" i="156"/>
  <c r="T125" i="156" s="1"/>
  <c r="Q124" i="156"/>
  <c r="T124" i="156" s="1"/>
  <c r="P122" i="156"/>
  <c r="O122" i="156"/>
  <c r="N122" i="156"/>
  <c r="M122" i="156"/>
  <c r="L122" i="156"/>
  <c r="K122" i="156"/>
  <c r="J122" i="156"/>
  <c r="I122" i="156"/>
  <c r="H122" i="156"/>
  <c r="G122" i="156"/>
  <c r="F122" i="156"/>
  <c r="E122" i="156"/>
  <c r="Q121" i="156"/>
  <c r="T121" i="156" s="1"/>
  <c r="Q120" i="156"/>
  <c r="T120" i="156" s="1"/>
  <c r="Q119" i="156"/>
  <c r="T119" i="156" s="1"/>
  <c r="Q118" i="156"/>
  <c r="T118" i="156" s="1"/>
  <c r="Q117" i="156"/>
  <c r="T117" i="156" s="1"/>
  <c r="Q116" i="156"/>
  <c r="T116" i="156" s="1"/>
  <c r="Q115" i="156"/>
  <c r="T115" i="156" s="1"/>
  <c r="Q114" i="156"/>
  <c r="Q122" i="156" s="1"/>
  <c r="T122" i="156" s="1"/>
  <c r="P111" i="156"/>
  <c r="P112" i="156" s="1"/>
  <c r="O111" i="156"/>
  <c r="O112" i="156" s="1"/>
  <c r="N111" i="156"/>
  <c r="N112" i="156" s="1"/>
  <c r="M111" i="156"/>
  <c r="M112" i="156" s="1"/>
  <c r="L111" i="156"/>
  <c r="L112" i="156" s="1"/>
  <c r="K111" i="156"/>
  <c r="K112" i="156" s="1"/>
  <c r="J111" i="156"/>
  <c r="J112" i="156" s="1"/>
  <c r="I111" i="156"/>
  <c r="I112" i="156" s="1"/>
  <c r="H111" i="156"/>
  <c r="H112" i="156" s="1"/>
  <c r="G111" i="156"/>
  <c r="G112" i="156" s="1"/>
  <c r="F111" i="156"/>
  <c r="F112" i="156" s="1"/>
  <c r="E111" i="156"/>
  <c r="Q110" i="156"/>
  <c r="T110" i="156" s="1"/>
  <c r="Q109" i="156"/>
  <c r="T109" i="156" s="1"/>
  <c r="Q108" i="156"/>
  <c r="T108" i="156" s="1"/>
  <c r="Q107" i="156"/>
  <c r="T107" i="156" s="1"/>
  <c r="P105" i="156"/>
  <c r="O105" i="156"/>
  <c r="N105" i="156"/>
  <c r="M105" i="156"/>
  <c r="M132" i="156" s="1"/>
  <c r="M26" i="156" s="1"/>
  <c r="L105" i="156"/>
  <c r="K105" i="156"/>
  <c r="J105" i="156"/>
  <c r="I105" i="156"/>
  <c r="I132" i="156" s="1"/>
  <c r="I26" i="156" s="1"/>
  <c r="H105" i="156"/>
  <c r="G105" i="156"/>
  <c r="F105" i="156"/>
  <c r="E105" i="156"/>
  <c r="Q104" i="156"/>
  <c r="T104" i="156" s="1"/>
  <c r="Q103" i="156"/>
  <c r="T103" i="156" s="1"/>
  <c r="P97" i="156"/>
  <c r="O97" i="156"/>
  <c r="N97" i="156"/>
  <c r="M97" i="156"/>
  <c r="L97" i="156"/>
  <c r="K97" i="156"/>
  <c r="J97" i="156"/>
  <c r="I97" i="156"/>
  <c r="H97" i="156"/>
  <c r="G97" i="156"/>
  <c r="F97" i="156"/>
  <c r="E97" i="156"/>
  <c r="Q96" i="156"/>
  <c r="T96" i="156" s="1"/>
  <c r="Q95" i="156"/>
  <c r="T95" i="156" s="1"/>
  <c r="Q94" i="156"/>
  <c r="T94" i="156" s="1"/>
  <c r="Q93" i="156"/>
  <c r="T93" i="156" s="1"/>
  <c r="Q92" i="156"/>
  <c r="T92" i="156" s="1"/>
  <c r="Q91" i="156"/>
  <c r="T91" i="156" s="1"/>
  <c r="Q90" i="156"/>
  <c r="T90" i="156" s="1"/>
  <c r="Q89" i="156"/>
  <c r="T89" i="156" s="1"/>
  <c r="Q88" i="156"/>
  <c r="T88" i="156" s="1"/>
  <c r="Q87" i="156"/>
  <c r="T87" i="156" s="1"/>
  <c r="Q86" i="156"/>
  <c r="T86" i="156" s="1"/>
  <c r="Q85" i="156"/>
  <c r="T85" i="156" s="1"/>
  <c r="Q84" i="156"/>
  <c r="T84" i="156" s="1"/>
  <c r="Q83" i="156"/>
  <c r="T83" i="156" s="1"/>
  <c r="Q82" i="156"/>
  <c r="T82" i="156" s="1"/>
  <c r="Q81" i="156"/>
  <c r="T81" i="156" s="1"/>
  <c r="Q80" i="156"/>
  <c r="T80" i="156" s="1"/>
  <c r="Q79" i="156"/>
  <c r="T79" i="156" s="1"/>
  <c r="Q78" i="156"/>
  <c r="T78" i="156" s="1"/>
  <c r="Q77" i="156"/>
  <c r="T77" i="156" s="1"/>
  <c r="Q76" i="156"/>
  <c r="T76" i="156" s="1"/>
  <c r="Q75" i="156"/>
  <c r="T75" i="156" s="1"/>
  <c r="Q74" i="156"/>
  <c r="T74" i="156" s="1"/>
  <c r="Q73" i="156"/>
  <c r="T73" i="156" s="1"/>
  <c r="Q72" i="156"/>
  <c r="T72" i="156" s="1"/>
  <c r="T71" i="156"/>
  <c r="Q71" i="156"/>
  <c r="Q70" i="156"/>
  <c r="T70" i="156" s="1"/>
  <c r="Q69" i="156"/>
  <c r="T69" i="156" s="1"/>
  <c r="Q68" i="156"/>
  <c r="T68" i="156" s="1"/>
  <c r="Q67" i="156"/>
  <c r="T67" i="156" s="1"/>
  <c r="Q66" i="156"/>
  <c r="T66" i="156" s="1"/>
  <c r="Q65" i="156"/>
  <c r="T65" i="156" s="1"/>
  <c r="Q64" i="156"/>
  <c r="T64" i="156" s="1"/>
  <c r="Q63" i="156"/>
  <c r="T63" i="156" s="1"/>
  <c r="Q62" i="156"/>
  <c r="T62" i="156" s="1"/>
  <c r="Q61" i="156"/>
  <c r="T61" i="156" s="1"/>
  <c r="Q60" i="156"/>
  <c r="T60" i="156" s="1"/>
  <c r="Q59" i="156"/>
  <c r="T59" i="156" s="1"/>
  <c r="Q58" i="156"/>
  <c r="T58" i="156" s="1"/>
  <c r="Q57" i="156"/>
  <c r="T57" i="156" s="1"/>
  <c r="Q56" i="156"/>
  <c r="T56" i="156" s="1"/>
  <c r="Q55" i="156"/>
  <c r="T55" i="156" s="1"/>
  <c r="Q54" i="156"/>
  <c r="T54" i="156" s="1"/>
  <c r="Q53" i="156"/>
  <c r="T53" i="156" s="1"/>
  <c r="Q52" i="156"/>
  <c r="T52" i="156" s="1"/>
  <c r="Q51" i="156"/>
  <c r="T51" i="156" s="1"/>
  <c r="Q50" i="156"/>
  <c r="T50" i="156" s="1"/>
  <c r="Q49" i="156"/>
  <c r="T49" i="156" s="1"/>
  <c r="Q48" i="156"/>
  <c r="T48" i="156" s="1"/>
  <c r="Q47" i="156"/>
  <c r="T47" i="156" s="1"/>
  <c r="Q46" i="156"/>
  <c r="T46" i="156" s="1"/>
  <c r="Q45" i="156"/>
  <c r="T45" i="156" s="1"/>
  <c r="Q44" i="156"/>
  <c r="T44" i="156" s="1"/>
  <c r="Q43" i="156"/>
  <c r="T43" i="156" s="1"/>
  <c r="Q42" i="156"/>
  <c r="T42" i="156" s="1"/>
  <c r="Q41" i="156"/>
  <c r="T41" i="156" s="1"/>
  <c r="Q40" i="156"/>
  <c r="T40" i="156" s="1"/>
  <c r="Q39" i="156"/>
  <c r="T39" i="156" s="1"/>
  <c r="Q38" i="156"/>
  <c r="T38" i="156" s="1"/>
  <c r="Q37" i="156"/>
  <c r="T37" i="156" s="1"/>
  <c r="Q36" i="156"/>
  <c r="T36" i="156" s="1"/>
  <c r="Q35" i="156"/>
  <c r="T35" i="156" s="1"/>
  <c r="Q34" i="156"/>
  <c r="T34" i="156" s="1"/>
  <c r="Q33" i="156"/>
  <c r="T33" i="156" s="1"/>
  <c r="Q32" i="156"/>
  <c r="T32" i="156" s="1"/>
  <c r="Q31" i="156"/>
  <c r="T31" i="156" s="1"/>
  <c r="Q30" i="156"/>
  <c r="T30" i="156" s="1"/>
  <c r="Q29" i="156"/>
  <c r="T29" i="156" s="1"/>
  <c r="P24" i="156"/>
  <c r="O24" i="156"/>
  <c r="N24" i="156"/>
  <c r="M24" i="156"/>
  <c r="L24" i="156"/>
  <c r="K24" i="156"/>
  <c r="J24" i="156"/>
  <c r="I24" i="156"/>
  <c r="H24" i="156"/>
  <c r="G24" i="156"/>
  <c r="F24" i="156"/>
  <c r="E24" i="156"/>
  <c r="Q23" i="156"/>
  <c r="T23" i="156" s="1"/>
  <c r="Q22" i="156"/>
  <c r="T22" i="156" s="1"/>
  <c r="Q20" i="156"/>
  <c r="T20" i="156" s="1"/>
  <c r="T19" i="156"/>
  <c r="P17" i="156"/>
  <c r="P21" i="81" s="1"/>
  <c r="O17" i="156"/>
  <c r="N17" i="156"/>
  <c r="N21" i="81" s="1"/>
  <c r="M17" i="156"/>
  <c r="M21" i="81" s="1"/>
  <c r="L17" i="156"/>
  <c r="L21" i="81" s="1"/>
  <c r="K17" i="156"/>
  <c r="J17" i="156"/>
  <c r="J21" i="81" s="1"/>
  <c r="I17" i="156"/>
  <c r="I21" i="81" s="1"/>
  <c r="H17" i="156"/>
  <c r="H21" i="81" s="1"/>
  <c r="G17" i="156"/>
  <c r="F17" i="156"/>
  <c r="F21" i="81" s="1"/>
  <c r="E17" i="156"/>
  <c r="E21" i="81" s="1"/>
  <c r="Q16" i="156"/>
  <c r="T16" i="156" s="1"/>
  <c r="Q15" i="156"/>
  <c r="Q12" i="156"/>
  <c r="T12" i="156" s="1"/>
  <c r="D5" i="156"/>
  <c r="D4" i="156"/>
  <c r="Q24" i="156" l="1"/>
  <c r="T24" i="156" s="1"/>
  <c r="G21" i="81"/>
  <c r="K21" i="81"/>
  <c r="O21" i="81"/>
  <c r="F132" i="156"/>
  <c r="F26" i="156" s="1"/>
  <c r="J132" i="156"/>
  <c r="J26" i="156" s="1"/>
  <c r="J98" i="156" s="1"/>
  <c r="J100" i="156" s="1"/>
  <c r="N132" i="156"/>
  <c r="N26" i="156" s="1"/>
  <c r="G132" i="156"/>
  <c r="G26" i="156" s="1"/>
  <c r="G98" i="156" s="1"/>
  <c r="G100" i="156" s="1"/>
  <c r="K132" i="156"/>
  <c r="K26" i="156" s="1"/>
  <c r="K98" i="156" s="1"/>
  <c r="K100" i="156" s="1"/>
  <c r="O132" i="156"/>
  <c r="O26" i="156" s="1"/>
  <c r="O98" i="156" s="1"/>
  <c r="O100" i="156" s="1"/>
  <c r="Q131" i="156"/>
  <c r="T131" i="156" s="1"/>
  <c r="I98" i="156"/>
  <c r="I100" i="156" s="1"/>
  <c r="M98" i="156"/>
  <c r="H132" i="156"/>
  <c r="H26" i="156" s="1"/>
  <c r="H98" i="156" s="1"/>
  <c r="H100" i="156" s="1"/>
  <c r="L132" i="156"/>
  <c r="L26" i="156" s="1"/>
  <c r="L98" i="156" s="1"/>
  <c r="L100" i="156" s="1"/>
  <c r="P132" i="156"/>
  <c r="P26" i="156" s="1"/>
  <c r="P98" i="156" s="1"/>
  <c r="P100" i="156" s="1"/>
  <c r="Q111" i="156"/>
  <c r="T111" i="156" s="1"/>
  <c r="F98" i="156"/>
  <c r="F100" i="156" s="1"/>
  <c r="N98" i="156"/>
  <c r="N100" i="156" s="1"/>
  <c r="Q17" i="156"/>
  <c r="R95" i="156" s="1"/>
  <c r="Q105" i="156"/>
  <c r="T15" i="156"/>
  <c r="E112" i="156"/>
  <c r="E132" i="156" s="1"/>
  <c r="E26" i="156" s="1"/>
  <c r="Q112" i="156"/>
  <c r="T112" i="156" s="1"/>
  <c r="T114" i="156"/>
  <c r="Q97" i="156"/>
  <c r="T97" i="156" s="1"/>
  <c r="M100" i="156"/>
  <c r="F22" i="138"/>
  <c r="G22" i="138"/>
  <c r="H22" i="138"/>
  <c r="I22" i="138"/>
  <c r="J22" i="138"/>
  <c r="K22" i="138"/>
  <c r="L22" i="138"/>
  <c r="M22" i="138"/>
  <c r="N22" i="138"/>
  <c r="O22" i="138"/>
  <c r="P22" i="138"/>
  <c r="E22" i="138"/>
  <c r="R89" i="156" l="1"/>
  <c r="R76" i="156"/>
  <c r="R90" i="156"/>
  <c r="R82" i="156"/>
  <c r="T17" i="156"/>
  <c r="R78" i="156"/>
  <c r="R80" i="156"/>
  <c r="R75" i="156"/>
  <c r="R73" i="156"/>
  <c r="R92" i="156"/>
  <c r="R83" i="156"/>
  <c r="R81" i="156"/>
  <c r="R72" i="156"/>
  <c r="R96" i="156"/>
  <c r="R87" i="156"/>
  <c r="R74" i="156"/>
  <c r="R85" i="156"/>
  <c r="R86" i="156"/>
  <c r="R88" i="156"/>
  <c r="R94" i="156"/>
  <c r="R111" i="156"/>
  <c r="R91" i="156"/>
  <c r="R77" i="156"/>
  <c r="R93" i="156"/>
  <c r="R24" i="156"/>
  <c r="R84" i="156"/>
  <c r="R112" i="156"/>
  <c r="R79" i="156"/>
  <c r="R97" i="156"/>
  <c r="Q26" i="156"/>
  <c r="R26" i="156" s="1"/>
  <c r="E98" i="156"/>
  <c r="E100" i="156" s="1"/>
  <c r="Q132" i="156"/>
  <c r="T132" i="156" s="1"/>
  <c r="T105" i="156"/>
  <c r="F33" i="122"/>
  <c r="G33" i="122"/>
  <c r="H33" i="122"/>
  <c r="I33" i="122"/>
  <c r="J33" i="122"/>
  <c r="K33" i="122"/>
  <c r="L33" i="122"/>
  <c r="M33" i="122"/>
  <c r="N33" i="122"/>
  <c r="O33" i="122"/>
  <c r="P33" i="122"/>
  <c r="E33" i="122"/>
  <c r="F27" i="122"/>
  <c r="G27" i="122"/>
  <c r="H27" i="122"/>
  <c r="I27" i="122"/>
  <c r="J27" i="122"/>
  <c r="K27" i="122"/>
  <c r="L27" i="122"/>
  <c r="M27" i="122"/>
  <c r="N27" i="122"/>
  <c r="O27" i="122"/>
  <c r="P27" i="122"/>
  <c r="T26" i="156" l="1"/>
  <c r="Q98" i="156"/>
  <c r="T98" i="156" l="1"/>
  <c r="R98" i="156"/>
  <c r="Q100" i="156"/>
  <c r="T100" i="156" s="1"/>
  <c r="F43" i="18" l="1"/>
  <c r="G43" i="18"/>
  <c r="H43" i="18"/>
  <c r="I43" i="18"/>
  <c r="J43" i="18"/>
  <c r="K43" i="18"/>
  <c r="L43" i="18"/>
  <c r="M43" i="18"/>
  <c r="N43" i="18"/>
  <c r="O43" i="18"/>
  <c r="P43" i="18"/>
  <c r="E43" i="18" l="1"/>
  <c r="D212" i="153" l="1"/>
  <c r="E44" i="132" l="1"/>
  <c r="F44" i="132"/>
  <c r="G44" i="132"/>
  <c r="H44" i="132"/>
  <c r="I44" i="132"/>
  <c r="J44" i="132"/>
  <c r="K44" i="132"/>
  <c r="L44" i="132"/>
  <c r="M44" i="132"/>
  <c r="N44" i="132"/>
  <c r="O44" i="132"/>
  <c r="P44" i="132"/>
  <c r="H36" i="132"/>
  <c r="L36" i="132"/>
  <c r="P36" i="132"/>
  <c r="N51" i="132"/>
  <c r="N157" i="153"/>
  <c r="N41" i="132"/>
  <c r="N43" i="132"/>
  <c r="N40" i="132"/>
  <c r="N36" i="132"/>
  <c r="N135" i="132"/>
  <c r="O51" i="132"/>
  <c r="O157" i="153"/>
  <c r="O41" i="132"/>
  <c r="O43" i="132"/>
  <c r="O40" i="132"/>
  <c r="O36" i="132"/>
  <c r="O135" i="132"/>
  <c r="P51" i="132"/>
  <c r="P157" i="153"/>
  <c r="P41" i="132"/>
  <c r="P43" i="132"/>
  <c r="P40" i="132"/>
  <c r="P135" i="132"/>
  <c r="M51" i="132"/>
  <c r="M157" i="153"/>
  <c r="M41" i="132"/>
  <c r="M43" i="132"/>
  <c r="M40" i="132"/>
  <c r="M36" i="132"/>
  <c r="M135" i="132"/>
  <c r="E51" i="132"/>
  <c r="E157" i="153"/>
  <c r="E41" i="132"/>
  <c r="E43" i="132"/>
  <c r="E39" i="132"/>
  <c r="E40" i="132"/>
  <c r="E36" i="132"/>
  <c r="E135" i="132"/>
  <c r="F51" i="132"/>
  <c r="F157" i="153"/>
  <c r="F41" i="132"/>
  <c r="F43" i="132"/>
  <c r="F40" i="132"/>
  <c r="F36" i="132"/>
  <c r="F135" i="132"/>
  <c r="G51" i="132"/>
  <c r="G157" i="153"/>
  <c r="G41" i="132"/>
  <c r="G43" i="132"/>
  <c r="G40" i="132"/>
  <c r="G36" i="132"/>
  <c r="G135" i="132"/>
  <c r="H51" i="132"/>
  <c r="H157" i="153"/>
  <c r="H41" i="132"/>
  <c r="H43" i="132"/>
  <c r="H40" i="132"/>
  <c r="H135" i="132"/>
  <c r="I51" i="132"/>
  <c r="I157" i="153"/>
  <c r="I41" i="132"/>
  <c r="I43" i="132"/>
  <c r="I40" i="132"/>
  <c r="I36" i="132"/>
  <c r="I135" i="132"/>
  <c r="J51" i="132"/>
  <c r="J157" i="153"/>
  <c r="J41" i="132"/>
  <c r="J43" i="132"/>
  <c r="J40" i="132"/>
  <c r="J36" i="132"/>
  <c r="J135" i="132"/>
  <c r="K51" i="132"/>
  <c r="K157" i="153"/>
  <c r="K41" i="132"/>
  <c r="K43" i="132"/>
  <c r="K40" i="132"/>
  <c r="K36" i="132"/>
  <c r="K135" i="132"/>
  <c r="L51" i="132"/>
  <c r="L157" i="153"/>
  <c r="L41" i="132"/>
  <c r="L43" i="132"/>
  <c r="L40" i="132"/>
  <c r="L135" i="132"/>
  <c r="U35" i="18"/>
  <c r="Q33" i="122"/>
  <c r="T67" i="18"/>
  <c r="T68" i="18" s="1"/>
  <c r="T66" i="18"/>
  <c r="U52" i="18"/>
  <c r="U47" i="18"/>
  <c r="U21" i="18"/>
  <c r="U16" i="18"/>
  <c r="X34" i="18" s="1"/>
  <c r="U28" i="18"/>
  <c r="U36" i="18" s="1"/>
  <c r="T52" i="18"/>
  <c r="T47" i="18"/>
  <c r="T35" i="18"/>
  <c r="T24" i="18"/>
  <c r="T25" i="18"/>
  <c r="T23" i="18"/>
  <c r="T27" i="18"/>
  <c r="T21" i="18"/>
  <c r="T16" i="18"/>
  <c r="D207" i="153"/>
  <c r="D202" i="153"/>
  <c r="D211" i="153"/>
  <c r="D210" i="153"/>
  <c r="D209" i="153"/>
  <c r="D208" i="153"/>
  <c r="Q170" i="153"/>
  <c r="Q169" i="153"/>
  <c r="U196" i="93"/>
  <c r="Q171" i="93"/>
  <c r="U171" i="93" s="1"/>
  <c r="Q170" i="93"/>
  <c r="U170" i="93" s="1"/>
  <c r="Q172" i="90"/>
  <c r="Q171" i="90"/>
  <c r="E170" i="83"/>
  <c r="F170" i="83"/>
  <c r="G170" i="83"/>
  <c r="H170" i="83"/>
  <c r="I170" i="83"/>
  <c r="J170" i="83"/>
  <c r="K170" i="83"/>
  <c r="L170" i="83"/>
  <c r="M170" i="83"/>
  <c r="N170" i="83"/>
  <c r="O170" i="83"/>
  <c r="P170" i="83"/>
  <c r="E171" i="83"/>
  <c r="F171" i="83"/>
  <c r="G171" i="83"/>
  <c r="H171" i="83"/>
  <c r="I171" i="83"/>
  <c r="J171" i="83"/>
  <c r="K171" i="83"/>
  <c r="L171" i="83"/>
  <c r="M171" i="83"/>
  <c r="N171" i="83"/>
  <c r="O171" i="83"/>
  <c r="P171" i="83"/>
  <c r="E172" i="83"/>
  <c r="F172" i="83"/>
  <c r="G172" i="83"/>
  <c r="H172" i="83"/>
  <c r="I172" i="83"/>
  <c r="J172" i="83"/>
  <c r="K172" i="83"/>
  <c r="L172" i="83"/>
  <c r="M172" i="83"/>
  <c r="N172" i="83"/>
  <c r="O172" i="83"/>
  <c r="P172" i="83"/>
  <c r="E173" i="83"/>
  <c r="F173" i="83"/>
  <c r="G173" i="83"/>
  <c r="H173" i="83"/>
  <c r="I173" i="83"/>
  <c r="J173" i="83"/>
  <c r="K173" i="83"/>
  <c r="L173" i="83"/>
  <c r="M173" i="83"/>
  <c r="N173" i="83"/>
  <c r="O173" i="83"/>
  <c r="P173" i="83"/>
  <c r="E174" i="83"/>
  <c r="F174" i="83"/>
  <c r="G174" i="83"/>
  <c r="H174" i="83"/>
  <c r="I174" i="83"/>
  <c r="J174" i="83"/>
  <c r="K174" i="83"/>
  <c r="L174" i="83"/>
  <c r="M174" i="83"/>
  <c r="N174" i="83"/>
  <c r="O174" i="83"/>
  <c r="P174" i="83"/>
  <c r="Q172" i="143"/>
  <c r="T172" i="143" s="1"/>
  <c r="Q171" i="143"/>
  <c r="Q172" i="142"/>
  <c r="Q171" i="142"/>
  <c r="Q172" i="141"/>
  <c r="R172" i="141" s="1"/>
  <c r="T171" i="143"/>
  <c r="S172" i="140"/>
  <c r="S171" i="140"/>
  <c r="T171" i="140" s="1"/>
  <c r="Q172" i="139"/>
  <c r="T172" i="139" s="1"/>
  <c r="Q171" i="139"/>
  <c r="T171" i="139" s="1"/>
  <c r="E77" i="81"/>
  <c r="F77" i="81"/>
  <c r="G77" i="81"/>
  <c r="H77" i="81"/>
  <c r="I77" i="81"/>
  <c r="J77" i="81"/>
  <c r="K77" i="81"/>
  <c r="L77" i="81"/>
  <c r="M77" i="81"/>
  <c r="N77" i="81"/>
  <c r="O77" i="81"/>
  <c r="P77" i="81"/>
  <c r="E131" i="132"/>
  <c r="F131" i="132"/>
  <c r="G131" i="132"/>
  <c r="H131" i="132"/>
  <c r="I131" i="132"/>
  <c r="J131" i="132"/>
  <c r="K131" i="132"/>
  <c r="L131" i="132"/>
  <c r="M131" i="132"/>
  <c r="N131" i="132"/>
  <c r="O131" i="132"/>
  <c r="P131" i="132"/>
  <c r="E132" i="132"/>
  <c r="F132" i="132"/>
  <c r="G132" i="132"/>
  <c r="H132" i="132"/>
  <c r="I132" i="132"/>
  <c r="J132" i="132"/>
  <c r="K132" i="132"/>
  <c r="L132" i="132"/>
  <c r="M132" i="132"/>
  <c r="N132" i="132"/>
  <c r="O132" i="132"/>
  <c r="P132" i="132"/>
  <c r="E133" i="132"/>
  <c r="F133" i="132"/>
  <c r="G133" i="132"/>
  <c r="H133" i="132"/>
  <c r="I133" i="132"/>
  <c r="J133" i="132"/>
  <c r="K133" i="132"/>
  <c r="L133" i="132"/>
  <c r="M133" i="132"/>
  <c r="N133" i="132"/>
  <c r="O133" i="132"/>
  <c r="P133" i="132"/>
  <c r="Q112" i="135"/>
  <c r="T112" i="135" s="1"/>
  <c r="Q111" i="135"/>
  <c r="T111" i="135" s="1"/>
  <c r="Q98" i="147"/>
  <c r="S98" i="147" s="1"/>
  <c r="Q98" i="148"/>
  <c r="U98" i="148" s="1"/>
  <c r="Q97" i="148"/>
  <c r="U97" i="148" s="1"/>
  <c r="T166" i="121"/>
  <c r="Q141" i="121"/>
  <c r="T141" i="121" s="1"/>
  <c r="Q140" i="121"/>
  <c r="Q140" i="122"/>
  <c r="Q94" i="130"/>
  <c r="V94" i="130" s="1"/>
  <c r="Q95" i="130"/>
  <c r="V95" i="130" s="1"/>
  <c r="T140" i="121"/>
  <c r="Q94" i="127"/>
  <c r="T94" i="127" s="1"/>
  <c r="Q95" i="127"/>
  <c r="T95" i="127" s="1"/>
  <c r="E37" i="132"/>
  <c r="F37" i="132"/>
  <c r="G37" i="132"/>
  <c r="H37" i="132"/>
  <c r="I37" i="132"/>
  <c r="J37" i="132"/>
  <c r="K37" i="132"/>
  <c r="L37" i="132"/>
  <c r="M37" i="132"/>
  <c r="N37" i="132"/>
  <c r="O37" i="132"/>
  <c r="P37" i="132"/>
  <c r="E38" i="132"/>
  <c r="F38" i="132"/>
  <c r="G38" i="132"/>
  <c r="H38" i="132"/>
  <c r="I38" i="132"/>
  <c r="J38" i="132"/>
  <c r="K38" i="132"/>
  <c r="L38" i="132"/>
  <c r="M38" i="132"/>
  <c r="N38" i="132"/>
  <c r="O38" i="132"/>
  <c r="P38" i="132"/>
  <c r="F39" i="132"/>
  <c r="G39" i="132"/>
  <c r="H39" i="132"/>
  <c r="I39" i="132"/>
  <c r="J39" i="132"/>
  <c r="K39" i="132"/>
  <c r="L39" i="132"/>
  <c r="M39" i="132"/>
  <c r="N39" i="132"/>
  <c r="O39" i="132"/>
  <c r="P39" i="132"/>
  <c r="E42" i="132"/>
  <c r="F42" i="132"/>
  <c r="G42" i="132"/>
  <c r="H42" i="132"/>
  <c r="I42" i="132"/>
  <c r="J42" i="132"/>
  <c r="K42" i="132"/>
  <c r="L42" i="132"/>
  <c r="M42" i="132"/>
  <c r="N42" i="132"/>
  <c r="O42" i="132"/>
  <c r="P42" i="132"/>
  <c r="E45" i="132"/>
  <c r="F45" i="132"/>
  <c r="G45" i="132"/>
  <c r="H45" i="132"/>
  <c r="I45" i="132"/>
  <c r="J45" i="132"/>
  <c r="K45" i="132"/>
  <c r="L45" i="132"/>
  <c r="M45" i="132"/>
  <c r="N45" i="132"/>
  <c r="O45" i="132"/>
  <c r="P45" i="132"/>
  <c r="E46" i="132"/>
  <c r="F46" i="132"/>
  <c r="G46" i="132"/>
  <c r="H46" i="132"/>
  <c r="I46" i="132"/>
  <c r="J46" i="132"/>
  <c r="K46" i="132"/>
  <c r="L46" i="132"/>
  <c r="M46" i="132"/>
  <c r="N46" i="132"/>
  <c r="O46" i="132"/>
  <c r="P46" i="132"/>
  <c r="E47" i="132"/>
  <c r="F47" i="132"/>
  <c r="G47" i="132"/>
  <c r="H47" i="132"/>
  <c r="I47" i="132"/>
  <c r="J47" i="132"/>
  <c r="K47" i="132"/>
  <c r="L47" i="132"/>
  <c r="M47" i="132"/>
  <c r="N47" i="132"/>
  <c r="O47" i="132"/>
  <c r="P47" i="132"/>
  <c r="E48" i="132"/>
  <c r="F48" i="132"/>
  <c r="G48" i="132"/>
  <c r="H48" i="132"/>
  <c r="I48" i="132"/>
  <c r="J48" i="132"/>
  <c r="K48" i="132"/>
  <c r="L48" i="132"/>
  <c r="M48" i="132"/>
  <c r="N48" i="132"/>
  <c r="O48" i="132"/>
  <c r="P48" i="132"/>
  <c r="E49" i="132"/>
  <c r="F49" i="132"/>
  <c r="G49" i="132"/>
  <c r="H49" i="132"/>
  <c r="I49" i="132"/>
  <c r="J49" i="132"/>
  <c r="K49" i="132"/>
  <c r="L49" i="132"/>
  <c r="M49" i="132"/>
  <c r="N49" i="132"/>
  <c r="O49" i="132"/>
  <c r="P49" i="132"/>
  <c r="E50" i="132"/>
  <c r="F50" i="132"/>
  <c r="G50" i="132"/>
  <c r="H50" i="132"/>
  <c r="I50" i="132"/>
  <c r="J50" i="132"/>
  <c r="K50" i="132"/>
  <c r="L50" i="132"/>
  <c r="M50" i="132"/>
  <c r="N50" i="132"/>
  <c r="O50" i="132"/>
  <c r="P50" i="132"/>
  <c r="E52" i="132"/>
  <c r="F52" i="132"/>
  <c r="G52" i="132"/>
  <c r="H52" i="132"/>
  <c r="I52" i="132"/>
  <c r="J52" i="132"/>
  <c r="K52" i="132"/>
  <c r="L52" i="132"/>
  <c r="M52" i="132"/>
  <c r="N52" i="132"/>
  <c r="O52" i="132"/>
  <c r="P52" i="132"/>
  <c r="E53" i="132"/>
  <c r="F53" i="132"/>
  <c r="G53" i="132"/>
  <c r="H53" i="132"/>
  <c r="I53" i="132"/>
  <c r="J53" i="132"/>
  <c r="K53" i="132"/>
  <c r="L53" i="132"/>
  <c r="M53" i="132"/>
  <c r="N53" i="132"/>
  <c r="O53" i="132"/>
  <c r="P53" i="132"/>
  <c r="E54" i="132"/>
  <c r="F54" i="132"/>
  <c r="G54" i="132"/>
  <c r="H54" i="132"/>
  <c r="I54" i="132"/>
  <c r="J54" i="132"/>
  <c r="K54" i="132"/>
  <c r="L54" i="132"/>
  <c r="M54" i="132"/>
  <c r="N54" i="132"/>
  <c r="O54" i="132"/>
  <c r="P54" i="132"/>
  <c r="E55" i="132"/>
  <c r="F55" i="132"/>
  <c r="G55" i="132"/>
  <c r="H55" i="132"/>
  <c r="I55" i="132"/>
  <c r="J55" i="132"/>
  <c r="K55" i="132"/>
  <c r="L55" i="132"/>
  <c r="M55" i="132"/>
  <c r="N55" i="132"/>
  <c r="O55" i="132"/>
  <c r="P55" i="132"/>
  <c r="E56" i="132"/>
  <c r="F56" i="132"/>
  <c r="G56" i="132"/>
  <c r="H56" i="132"/>
  <c r="I56" i="132"/>
  <c r="J56" i="132"/>
  <c r="K56" i="132"/>
  <c r="L56" i="132"/>
  <c r="M56" i="132"/>
  <c r="N56" i="132"/>
  <c r="O56" i="132"/>
  <c r="P56" i="132"/>
  <c r="E57" i="132"/>
  <c r="F57" i="132"/>
  <c r="G57" i="132"/>
  <c r="H57" i="132"/>
  <c r="I57" i="132"/>
  <c r="J57" i="132"/>
  <c r="K57" i="132"/>
  <c r="L57" i="132"/>
  <c r="M57" i="132"/>
  <c r="N57" i="132"/>
  <c r="O57" i="132"/>
  <c r="P57" i="132"/>
  <c r="E58" i="132"/>
  <c r="F58" i="132"/>
  <c r="G58" i="132"/>
  <c r="H58" i="132"/>
  <c r="I58" i="132"/>
  <c r="J58" i="132"/>
  <c r="K58" i="132"/>
  <c r="L58" i="132"/>
  <c r="M58" i="132"/>
  <c r="N58" i="132"/>
  <c r="O58" i="132"/>
  <c r="P58" i="132"/>
  <c r="E59" i="132"/>
  <c r="Q59" i="132" s="1"/>
  <c r="F59" i="132"/>
  <c r="G59" i="132"/>
  <c r="H59" i="132"/>
  <c r="I59" i="132"/>
  <c r="J59" i="132"/>
  <c r="K59" i="132"/>
  <c r="L59" i="132"/>
  <c r="M59" i="132"/>
  <c r="N59" i="132"/>
  <c r="O59" i="132"/>
  <c r="P59" i="132"/>
  <c r="E60" i="132"/>
  <c r="F60" i="132"/>
  <c r="G60" i="132"/>
  <c r="H60" i="132"/>
  <c r="I60" i="132"/>
  <c r="J60" i="132"/>
  <c r="K60" i="132"/>
  <c r="L60" i="132"/>
  <c r="M60" i="132"/>
  <c r="N60" i="132"/>
  <c r="O60" i="132"/>
  <c r="P60" i="132"/>
  <c r="E61" i="132"/>
  <c r="F61" i="132"/>
  <c r="G61" i="132"/>
  <c r="H61" i="132"/>
  <c r="I61" i="132"/>
  <c r="J61" i="132"/>
  <c r="K61" i="132"/>
  <c r="L61" i="132"/>
  <c r="M61" i="132"/>
  <c r="N61" i="132"/>
  <c r="O61" i="132"/>
  <c r="P61" i="132"/>
  <c r="E62" i="132"/>
  <c r="F62" i="132"/>
  <c r="G62" i="132"/>
  <c r="H62" i="132"/>
  <c r="I62" i="132"/>
  <c r="J62" i="132"/>
  <c r="K62" i="132"/>
  <c r="L62" i="132"/>
  <c r="M62" i="132"/>
  <c r="N62" i="132"/>
  <c r="O62" i="132"/>
  <c r="P62" i="132"/>
  <c r="E63" i="132"/>
  <c r="F63" i="132"/>
  <c r="G63" i="132"/>
  <c r="H63" i="132"/>
  <c r="I63" i="132"/>
  <c r="J63" i="132"/>
  <c r="K63" i="132"/>
  <c r="L63" i="132"/>
  <c r="M63" i="132"/>
  <c r="N63" i="132"/>
  <c r="O63" i="132"/>
  <c r="P63" i="132"/>
  <c r="E64" i="132"/>
  <c r="F64" i="132"/>
  <c r="G64" i="132"/>
  <c r="H64" i="132"/>
  <c r="I64" i="132"/>
  <c r="J64" i="132"/>
  <c r="K64" i="132"/>
  <c r="L64" i="132"/>
  <c r="M64" i="132"/>
  <c r="N64" i="132"/>
  <c r="O64" i="132"/>
  <c r="P64" i="132"/>
  <c r="E65" i="132"/>
  <c r="F65" i="132"/>
  <c r="G65" i="132"/>
  <c r="H65" i="132"/>
  <c r="I65" i="132"/>
  <c r="J65" i="132"/>
  <c r="K65" i="132"/>
  <c r="L65" i="132"/>
  <c r="M65" i="132"/>
  <c r="N65" i="132"/>
  <c r="O65" i="132"/>
  <c r="P65" i="132"/>
  <c r="E66" i="132"/>
  <c r="F66" i="132"/>
  <c r="G66" i="132"/>
  <c r="H66" i="132"/>
  <c r="I66" i="132"/>
  <c r="J66" i="132"/>
  <c r="K66" i="132"/>
  <c r="L66" i="132"/>
  <c r="M66" i="132"/>
  <c r="N66" i="132"/>
  <c r="O66" i="132"/>
  <c r="P66" i="132"/>
  <c r="E67" i="132"/>
  <c r="F67" i="132"/>
  <c r="G67" i="132"/>
  <c r="H67" i="132"/>
  <c r="I67" i="132"/>
  <c r="J67" i="132"/>
  <c r="K67" i="132"/>
  <c r="L67" i="132"/>
  <c r="M67" i="132"/>
  <c r="N67" i="132"/>
  <c r="O67" i="132"/>
  <c r="P67" i="132"/>
  <c r="E68" i="132"/>
  <c r="F68" i="132"/>
  <c r="G68" i="132"/>
  <c r="H68" i="132"/>
  <c r="I68" i="132"/>
  <c r="J68" i="132"/>
  <c r="K68" i="132"/>
  <c r="L68" i="132"/>
  <c r="M68" i="132"/>
  <c r="N68" i="132"/>
  <c r="O68" i="132"/>
  <c r="P68" i="132"/>
  <c r="E69" i="132"/>
  <c r="F69" i="132"/>
  <c r="G69" i="132"/>
  <c r="H69" i="132"/>
  <c r="I69" i="132"/>
  <c r="J69" i="132"/>
  <c r="K69" i="132"/>
  <c r="L69" i="132"/>
  <c r="M69" i="132"/>
  <c r="N69" i="132"/>
  <c r="O69" i="132"/>
  <c r="P69" i="132"/>
  <c r="E70" i="132"/>
  <c r="F70" i="132"/>
  <c r="G70" i="132"/>
  <c r="H70" i="132"/>
  <c r="I70" i="132"/>
  <c r="J70" i="132"/>
  <c r="K70" i="132"/>
  <c r="L70" i="132"/>
  <c r="M70" i="132"/>
  <c r="N70" i="132"/>
  <c r="O70" i="132"/>
  <c r="P70" i="132"/>
  <c r="E71" i="132"/>
  <c r="F71" i="132"/>
  <c r="G71" i="132"/>
  <c r="H71" i="132"/>
  <c r="I71" i="132"/>
  <c r="J71" i="132"/>
  <c r="K71" i="132"/>
  <c r="L71" i="132"/>
  <c r="M71" i="132"/>
  <c r="N71" i="132"/>
  <c r="O71" i="132"/>
  <c r="P71" i="132"/>
  <c r="E72" i="132"/>
  <c r="F72" i="132"/>
  <c r="G72" i="132"/>
  <c r="H72" i="132"/>
  <c r="I72" i="132"/>
  <c r="J72" i="132"/>
  <c r="K72" i="132"/>
  <c r="L72" i="132"/>
  <c r="M72" i="132"/>
  <c r="N72" i="132"/>
  <c r="O72" i="132"/>
  <c r="P72" i="132"/>
  <c r="E73" i="132"/>
  <c r="F73" i="132"/>
  <c r="G73" i="132"/>
  <c r="H73" i="132"/>
  <c r="I73" i="132"/>
  <c r="J73" i="132"/>
  <c r="K73" i="132"/>
  <c r="L73" i="132"/>
  <c r="M73" i="132"/>
  <c r="N73" i="132"/>
  <c r="O73" i="132"/>
  <c r="P73" i="132"/>
  <c r="E74" i="132"/>
  <c r="F74" i="132"/>
  <c r="G74" i="132"/>
  <c r="H74" i="132"/>
  <c r="I74" i="132"/>
  <c r="J74" i="132"/>
  <c r="K74" i="132"/>
  <c r="L74" i="132"/>
  <c r="M74" i="132"/>
  <c r="N74" i="132"/>
  <c r="O74" i="132"/>
  <c r="P74" i="132"/>
  <c r="E75" i="132"/>
  <c r="F75" i="132"/>
  <c r="G75" i="132"/>
  <c r="H75" i="132"/>
  <c r="I75" i="132"/>
  <c r="J75" i="132"/>
  <c r="K75" i="132"/>
  <c r="L75" i="132"/>
  <c r="M75" i="132"/>
  <c r="N75" i="132"/>
  <c r="O75" i="132"/>
  <c r="P75" i="132"/>
  <c r="E76" i="132"/>
  <c r="F76" i="132"/>
  <c r="G76" i="132"/>
  <c r="H76" i="132"/>
  <c r="I76" i="132"/>
  <c r="J76" i="132"/>
  <c r="K76" i="132"/>
  <c r="L76" i="132"/>
  <c r="M76" i="132"/>
  <c r="N76" i="132"/>
  <c r="O76" i="132"/>
  <c r="P76" i="132"/>
  <c r="E77" i="132"/>
  <c r="F77" i="132"/>
  <c r="G77" i="132"/>
  <c r="H77" i="132"/>
  <c r="I77" i="132"/>
  <c r="J77" i="132"/>
  <c r="K77" i="132"/>
  <c r="L77" i="132"/>
  <c r="M77" i="132"/>
  <c r="N77" i="132"/>
  <c r="O77" i="132"/>
  <c r="P77" i="132"/>
  <c r="E78" i="132"/>
  <c r="F78" i="132"/>
  <c r="G78" i="132"/>
  <c r="H78" i="132"/>
  <c r="I78" i="132"/>
  <c r="J78" i="132"/>
  <c r="K78" i="132"/>
  <c r="L78" i="132"/>
  <c r="M78" i="132"/>
  <c r="N78" i="132"/>
  <c r="O78" i="132"/>
  <c r="P78" i="132"/>
  <c r="E79" i="132"/>
  <c r="F79" i="132"/>
  <c r="G79" i="132"/>
  <c r="H79" i="132"/>
  <c r="I79" i="132"/>
  <c r="J79" i="132"/>
  <c r="K79" i="132"/>
  <c r="L79" i="132"/>
  <c r="M79" i="132"/>
  <c r="N79" i="132"/>
  <c r="O79" i="132"/>
  <c r="P79" i="132"/>
  <c r="E80" i="132"/>
  <c r="F80" i="132"/>
  <c r="G80" i="132"/>
  <c r="H80" i="132"/>
  <c r="I80" i="132"/>
  <c r="J80" i="132"/>
  <c r="K80" i="132"/>
  <c r="L80" i="132"/>
  <c r="M80" i="132"/>
  <c r="N80" i="132"/>
  <c r="O80" i="132"/>
  <c r="P80" i="132"/>
  <c r="E81" i="132"/>
  <c r="F81" i="132"/>
  <c r="G81" i="132"/>
  <c r="H81" i="132"/>
  <c r="I81" i="132"/>
  <c r="J81" i="132"/>
  <c r="K81" i="132"/>
  <c r="L81" i="132"/>
  <c r="M81" i="132"/>
  <c r="N81" i="132"/>
  <c r="O81" i="132"/>
  <c r="P81" i="132"/>
  <c r="E82" i="132"/>
  <c r="F82" i="132"/>
  <c r="G82" i="132"/>
  <c r="H82" i="132"/>
  <c r="I82" i="132"/>
  <c r="J82" i="132"/>
  <c r="K82" i="132"/>
  <c r="L82" i="132"/>
  <c r="M82" i="132"/>
  <c r="N82" i="132"/>
  <c r="O82" i="132"/>
  <c r="P82" i="132"/>
  <c r="E83" i="132"/>
  <c r="F83" i="132"/>
  <c r="G83" i="132"/>
  <c r="H83" i="132"/>
  <c r="I83" i="132"/>
  <c r="J83" i="132"/>
  <c r="K83" i="132"/>
  <c r="L83" i="132"/>
  <c r="M83" i="132"/>
  <c r="N83" i="132"/>
  <c r="O83" i="132"/>
  <c r="P83" i="132"/>
  <c r="E84" i="132"/>
  <c r="F84" i="132"/>
  <c r="G84" i="132"/>
  <c r="H84" i="132"/>
  <c r="I84" i="132"/>
  <c r="J84" i="132"/>
  <c r="K84" i="132"/>
  <c r="L84" i="132"/>
  <c r="M84" i="132"/>
  <c r="N84" i="132"/>
  <c r="O84" i="132"/>
  <c r="P84" i="132"/>
  <c r="E85" i="132"/>
  <c r="F85" i="132"/>
  <c r="G85" i="132"/>
  <c r="H85" i="132"/>
  <c r="I85" i="132"/>
  <c r="J85" i="132"/>
  <c r="K85" i="132"/>
  <c r="L85" i="132"/>
  <c r="M85" i="132"/>
  <c r="N85" i="132"/>
  <c r="O85" i="132"/>
  <c r="P85" i="132"/>
  <c r="E86" i="132"/>
  <c r="F86" i="132"/>
  <c r="G86" i="132"/>
  <c r="H86" i="132"/>
  <c r="I86" i="132"/>
  <c r="J86" i="132"/>
  <c r="K86" i="132"/>
  <c r="L86" i="132"/>
  <c r="M86" i="132"/>
  <c r="N86" i="132"/>
  <c r="O86" i="132"/>
  <c r="P86" i="132"/>
  <c r="E87" i="132"/>
  <c r="F87" i="132"/>
  <c r="G87" i="132"/>
  <c r="H87" i="132"/>
  <c r="I87" i="132"/>
  <c r="J87" i="132"/>
  <c r="K87" i="132"/>
  <c r="L87" i="132"/>
  <c r="M87" i="132"/>
  <c r="N87" i="132"/>
  <c r="O87" i="132"/>
  <c r="P87" i="132"/>
  <c r="E88" i="132"/>
  <c r="F88" i="132"/>
  <c r="G88" i="132"/>
  <c r="H88" i="132"/>
  <c r="I88" i="132"/>
  <c r="J88" i="132"/>
  <c r="K88" i="132"/>
  <c r="L88" i="132"/>
  <c r="M88" i="132"/>
  <c r="N88" i="132"/>
  <c r="O88" i="132"/>
  <c r="P88" i="132"/>
  <c r="E89" i="132"/>
  <c r="F89" i="132"/>
  <c r="G89" i="132"/>
  <c r="H89" i="132"/>
  <c r="I89" i="132"/>
  <c r="J89" i="132"/>
  <c r="K89" i="132"/>
  <c r="L89" i="132"/>
  <c r="M89" i="132"/>
  <c r="N89" i="132"/>
  <c r="O89" i="132"/>
  <c r="P89" i="132"/>
  <c r="E90" i="132"/>
  <c r="F90" i="132"/>
  <c r="G90" i="132"/>
  <c r="H90" i="132"/>
  <c r="I90" i="132"/>
  <c r="J90" i="132"/>
  <c r="K90" i="132"/>
  <c r="L90" i="132"/>
  <c r="M90" i="132"/>
  <c r="N90" i="132"/>
  <c r="O90" i="132"/>
  <c r="P90" i="132"/>
  <c r="E92" i="132"/>
  <c r="F92" i="132"/>
  <c r="G92" i="132"/>
  <c r="H92" i="132"/>
  <c r="I92" i="132"/>
  <c r="J92" i="132"/>
  <c r="K92" i="132"/>
  <c r="L92" i="132"/>
  <c r="M92" i="132"/>
  <c r="N92" i="132"/>
  <c r="O92" i="132"/>
  <c r="P92" i="132"/>
  <c r="E93" i="132"/>
  <c r="F93" i="132"/>
  <c r="G93" i="132"/>
  <c r="H93" i="132"/>
  <c r="I93" i="132"/>
  <c r="J93" i="132"/>
  <c r="K93" i="132"/>
  <c r="L93" i="132"/>
  <c r="M93" i="132"/>
  <c r="N93" i="132"/>
  <c r="O93" i="132"/>
  <c r="P93" i="132"/>
  <c r="E94" i="132"/>
  <c r="F94" i="132"/>
  <c r="G94" i="132"/>
  <c r="H94" i="132"/>
  <c r="I94" i="132"/>
  <c r="J94" i="132"/>
  <c r="K94" i="132"/>
  <c r="L94" i="132"/>
  <c r="M94" i="132"/>
  <c r="N94" i="132"/>
  <c r="O94" i="132"/>
  <c r="P94" i="132"/>
  <c r="E95" i="132"/>
  <c r="F95" i="132"/>
  <c r="G95" i="132"/>
  <c r="H95" i="132"/>
  <c r="I95" i="132"/>
  <c r="J95" i="132"/>
  <c r="K95" i="132"/>
  <c r="L95" i="132"/>
  <c r="M95" i="132"/>
  <c r="N95" i="132"/>
  <c r="O95" i="132"/>
  <c r="P95" i="132"/>
  <c r="E96" i="132"/>
  <c r="F96" i="132"/>
  <c r="G96" i="132"/>
  <c r="H96" i="132"/>
  <c r="I96" i="132"/>
  <c r="J96" i="132"/>
  <c r="K96" i="132"/>
  <c r="L96" i="132"/>
  <c r="M96" i="132"/>
  <c r="N96" i="132"/>
  <c r="O96" i="132"/>
  <c r="P96" i="132"/>
  <c r="E97" i="132"/>
  <c r="F97" i="132"/>
  <c r="G97" i="132"/>
  <c r="H97" i="132"/>
  <c r="I97" i="132"/>
  <c r="J97" i="132"/>
  <c r="K97" i="132"/>
  <c r="L97" i="132"/>
  <c r="M97" i="132"/>
  <c r="N97" i="132"/>
  <c r="O97" i="132"/>
  <c r="P97" i="132"/>
  <c r="E98" i="132"/>
  <c r="F98" i="132"/>
  <c r="G98" i="132"/>
  <c r="H98" i="132"/>
  <c r="I98" i="132"/>
  <c r="J98" i="132"/>
  <c r="K98" i="132"/>
  <c r="L98" i="132"/>
  <c r="M98" i="132"/>
  <c r="N98" i="132"/>
  <c r="O98" i="132"/>
  <c r="P98" i="132"/>
  <c r="E99" i="132"/>
  <c r="F99" i="132"/>
  <c r="G99" i="132"/>
  <c r="H99" i="132"/>
  <c r="I99" i="132"/>
  <c r="J99" i="132"/>
  <c r="K99" i="132"/>
  <c r="L99" i="132"/>
  <c r="M99" i="132"/>
  <c r="N99" i="132"/>
  <c r="O99" i="132"/>
  <c r="P99" i="132"/>
  <c r="E100" i="132"/>
  <c r="F100" i="132"/>
  <c r="G100" i="132"/>
  <c r="H100" i="132"/>
  <c r="I100" i="132"/>
  <c r="J100" i="132"/>
  <c r="K100" i="132"/>
  <c r="L100" i="132"/>
  <c r="M100" i="132"/>
  <c r="N100" i="132"/>
  <c r="O100" i="132"/>
  <c r="P100" i="132"/>
  <c r="E101" i="132"/>
  <c r="F101" i="132"/>
  <c r="G101" i="132"/>
  <c r="H101" i="132"/>
  <c r="I101" i="132"/>
  <c r="J101" i="132"/>
  <c r="K101" i="132"/>
  <c r="L101" i="132"/>
  <c r="M101" i="132"/>
  <c r="N101" i="132"/>
  <c r="O101" i="132"/>
  <c r="P101" i="132"/>
  <c r="E102" i="132"/>
  <c r="F102" i="132"/>
  <c r="G102" i="132"/>
  <c r="H102" i="132"/>
  <c r="I102" i="132"/>
  <c r="J102" i="132"/>
  <c r="K102" i="132"/>
  <c r="L102" i="132"/>
  <c r="M102" i="132"/>
  <c r="N102" i="132"/>
  <c r="O102" i="132"/>
  <c r="P102" i="132"/>
  <c r="Q36" i="153"/>
  <c r="Q37" i="153"/>
  <c r="Q38" i="153"/>
  <c r="Q39" i="153"/>
  <c r="Q40" i="153"/>
  <c r="Q41" i="153"/>
  <c r="Q42" i="153"/>
  <c r="Q43" i="153"/>
  <c r="Q44" i="153"/>
  <c r="Q45" i="153"/>
  <c r="Q46" i="153"/>
  <c r="Q47" i="153"/>
  <c r="Q48" i="153"/>
  <c r="Q49" i="153"/>
  <c r="Q50" i="153"/>
  <c r="Q51" i="153"/>
  <c r="Q52" i="153"/>
  <c r="Q53" i="153"/>
  <c r="Q54" i="153"/>
  <c r="Q55" i="153"/>
  <c r="Q56" i="153"/>
  <c r="Q57" i="153"/>
  <c r="Q58" i="153"/>
  <c r="Q59" i="153"/>
  <c r="Q60" i="153"/>
  <c r="Q61" i="153"/>
  <c r="Q62" i="153"/>
  <c r="Q63" i="153"/>
  <c r="Q64" i="153"/>
  <c r="Q65" i="153"/>
  <c r="Q66" i="153"/>
  <c r="Q67" i="153"/>
  <c r="Q68" i="153"/>
  <c r="Q69" i="153"/>
  <c r="Q70" i="153"/>
  <c r="Q71" i="153"/>
  <c r="Q72" i="153"/>
  <c r="Q73" i="153"/>
  <c r="Q74" i="153"/>
  <c r="Q75" i="153"/>
  <c r="Q76" i="153"/>
  <c r="Q77" i="153"/>
  <c r="Q78" i="153"/>
  <c r="Q79" i="153"/>
  <c r="Q80" i="153"/>
  <c r="Q81" i="153"/>
  <c r="Q82" i="153"/>
  <c r="Q83" i="153"/>
  <c r="Q84" i="153"/>
  <c r="Q85" i="153"/>
  <c r="Q86" i="153"/>
  <c r="Q87" i="153"/>
  <c r="Q88" i="153"/>
  <c r="Q89" i="153"/>
  <c r="Q90" i="153"/>
  <c r="Q91" i="153"/>
  <c r="Q92" i="153"/>
  <c r="Q93" i="153"/>
  <c r="Q94" i="153"/>
  <c r="Q95" i="153"/>
  <c r="Q96" i="153"/>
  <c r="Q97" i="153"/>
  <c r="Q98" i="153"/>
  <c r="Q99" i="153"/>
  <c r="Q100" i="153"/>
  <c r="Q101" i="153"/>
  <c r="Q102" i="153"/>
  <c r="Q103" i="153"/>
  <c r="Q104" i="153"/>
  <c r="Q105" i="153"/>
  <c r="Q106" i="153"/>
  <c r="Q107" i="153"/>
  <c r="Q108" i="153"/>
  <c r="Q109" i="153"/>
  <c r="Q110" i="153"/>
  <c r="Q111" i="153"/>
  <c r="Q112" i="153"/>
  <c r="Q113" i="153"/>
  <c r="Q114" i="153"/>
  <c r="Q115" i="153"/>
  <c r="Q116" i="153"/>
  <c r="Q117" i="153"/>
  <c r="Q118" i="153"/>
  <c r="Q119" i="153"/>
  <c r="Q120" i="153"/>
  <c r="Q121" i="153"/>
  <c r="Q122" i="153"/>
  <c r="Q123" i="153"/>
  <c r="Q124" i="153"/>
  <c r="Q125" i="153"/>
  <c r="Q126" i="153"/>
  <c r="Q127" i="153"/>
  <c r="Q128" i="153"/>
  <c r="Q129" i="153"/>
  <c r="Q130" i="153"/>
  <c r="Q131" i="153"/>
  <c r="Q132" i="153"/>
  <c r="Q133" i="153"/>
  <c r="Q134" i="153"/>
  <c r="Q135" i="153"/>
  <c r="Q136" i="153"/>
  <c r="Q137" i="153"/>
  <c r="Q138" i="153"/>
  <c r="Q139" i="153"/>
  <c r="Q140" i="153"/>
  <c r="Q141" i="153"/>
  <c r="Q142" i="153"/>
  <c r="Q143" i="153"/>
  <c r="Q144" i="153"/>
  <c r="Q145" i="153"/>
  <c r="Q146" i="153"/>
  <c r="Q147" i="153"/>
  <c r="Q148" i="153"/>
  <c r="Q149" i="153"/>
  <c r="Q150" i="153"/>
  <c r="Q151" i="153"/>
  <c r="Q152" i="153"/>
  <c r="Q153" i="153"/>
  <c r="Q154" i="153"/>
  <c r="Q155" i="153"/>
  <c r="Q156" i="153"/>
  <c r="Q36" i="130"/>
  <c r="Q37" i="130"/>
  <c r="Q38" i="130"/>
  <c r="V38" i="130" s="1"/>
  <c r="Q39" i="130"/>
  <c r="V39" i="130" s="1"/>
  <c r="Q40" i="130"/>
  <c r="Q41" i="130"/>
  <c r="Q42" i="130"/>
  <c r="V42" i="130" s="1"/>
  <c r="Q43" i="130"/>
  <c r="V43" i="130" s="1"/>
  <c r="Q19" i="130"/>
  <c r="Q20" i="130"/>
  <c r="Q21" i="130"/>
  <c r="Q22" i="130"/>
  <c r="Q23" i="130"/>
  <c r="Q24" i="130"/>
  <c r="Q25" i="130"/>
  <c r="V25" i="130" s="1"/>
  <c r="Q26" i="130"/>
  <c r="V26" i="130" s="1"/>
  <c r="Q27" i="130"/>
  <c r="Q28" i="130"/>
  <c r="Q29" i="130"/>
  <c r="Q30" i="130"/>
  <c r="V30" i="130" s="1"/>
  <c r="Q45" i="121"/>
  <c r="Q46" i="121"/>
  <c r="T46" i="121" s="1"/>
  <c r="Q114" i="132"/>
  <c r="F111" i="132"/>
  <c r="G111" i="132"/>
  <c r="H111" i="132"/>
  <c r="H116" i="132" s="1"/>
  <c r="I111" i="132"/>
  <c r="K111" i="132"/>
  <c r="P111" i="132"/>
  <c r="F25" i="122"/>
  <c r="F32" i="122" s="1"/>
  <c r="L111" i="132"/>
  <c r="L65" i="18" s="1"/>
  <c r="E192" i="153"/>
  <c r="E173" i="153"/>
  <c r="E164" i="153"/>
  <c r="E181" i="153" s="1"/>
  <c r="E183" i="153" s="1"/>
  <c r="E165" i="93"/>
  <c r="E166" i="90"/>
  <c r="E185" i="143"/>
  <c r="E175" i="143"/>
  <c r="E166" i="143"/>
  <c r="E175" i="142"/>
  <c r="E166" i="142"/>
  <c r="E166" i="141"/>
  <c r="E166" i="140"/>
  <c r="E166" i="139"/>
  <c r="E92" i="147"/>
  <c r="E92" i="148"/>
  <c r="E95" i="148" s="1"/>
  <c r="E135" i="121"/>
  <c r="E117" i="122"/>
  <c r="E120" i="122"/>
  <c r="E121" i="122"/>
  <c r="E122" i="122"/>
  <c r="E123" i="122"/>
  <c r="E124" i="122"/>
  <c r="E134" i="122"/>
  <c r="E137" i="122" s="1"/>
  <c r="E17" i="122"/>
  <c r="E25" i="122"/>
  <c r="E32" i="122" s="1"/>
  <c r="Q7" i="132"/>
  <c r="Q94" i="141"/>
  <c r="R94" i="141" s="1"/>
  <c r="D214" i="153"/>
  <c r="D213" i="153"/>
  <c r="Q12" i="127"/>
  <c r="P173" i="153"/>
  <c r="O173" i="153"/>
  <c r="N173" i="153"/>
  <c r="M173" i="153"/>
  <c r="L173" i="153"/>
  <c r="K173" i="153"/>
  <c r="J173" i="153"/>
  <c r="I173" i="153"/>
  <c r="H173" i="153"/>
  <c r="G173" i="153"/>
  <c r="F173" i="153"/>
  <c r="P164" i="153"/>
  <c r="O164" i="153"/>
  <c r="N164" i="153"/>
  <c r="M164" i="153"/>
  <c r="L164" i="153"/>
  <c r="K164" i="153"/>
  <c r="J164" i="153"/>
  <c r="I164" i="153"/>
  <c r="H164" i="153"/>
  <c r="G164" i="153"/>
  <c r="F164" i="153"/>
  <c r="P165" i="93"/>
  <c r="P168" i="93" s="1"/>
  <c r="O165" i="93"/>
  <c r="O168" i="93" s="1"/>
  <c r="N165" i="93"/>
  <c r="N168" i="93" s="1"/>
  <c r="M165" i="93"/>
  <c r="M168" i="93" s="1"/>
  <c r="L165" i="93"/>
  <c r="L168" i="93" s="1"/>
  <c r="K165" i="93"/>
  <c r="K168" i="93" s="1"/>
  <c r="J165" i="93"/>
  <c r="I165" i="93"/>
  <c r="H165" i="93"/>
  <c r="G165" i="93"/>
  <c r="F165" i="93"/>
  <c r="P166" i="90"/>
  <c r="P169" i="90" s="1"/>
  <c r="O166" i="90"/>
  <c r="O169" i="90" s="1"/>
  <c r="N166" i="90"/>
  <c r="N169" i="90" s="1"/>
  <c r="M166" i="90"/>
  <c r="M169" i="90" s="1"/>
  <c r="L166" i="90"/>
  <c r="L169" i="90" s="1"/>
  <c r="K166" i="90"/>
  <c r="K169" i="90" s="1"/>
  <c r="J166" i="90"/>
  <c r="I166" i="90"/>
  <c r="H166" i="90"/>
  <c r="G166" i="90"/>
  <c r="F166" i="90"/>
  <c r="P185" i="143"/>
  <c r="O185" i="143"/>
  <c r="N185" i="143"/>
  <c r="M185" i="143"/>
  <c r="L185" i="143"/>
  <c r="K185" i="143"/>
  <c r="J185" i="143"/>
  <c r="I185" i="143"/>
  <c r="H185" i="143"/>
  <c r="G185" i="143"/>
  <c r="F185" i="143"/>
  <c r="P175" i="143"/>
  <c r="O175" i="143"/>
  <c r="N175" i="143"/>
  <c r="M175" i="143"/>
  <c r="L175" i="143"/>
  <c r="K175" i="143"/>
  <c r="J175" i="143"/>
  <c r="I175" i="143"/>
  <c r="H175" i="143"/>
  <c r="G175" i="143"/>
  <c r="F175" i="143"/>
  <c r="P166" i="143"/>
  <c r="O166" i="143"/>
  <c r="N166" i="143"/>
  <c r="M166" i="143"/>
  <c r="L166" i="143"/>
  <c r="K166" i="143"/>
  <c r="J166" i="143"/>
  <c r="I166" i="143"/>
  <c r="H166" i="143"/>
  <c r="G166" i="143"/>
  <c r="F166" i="143"/>
  <c r="P175" i="142"/>
  <c r="O175" i="142"/>
  <c r="N175" i="142"/>
  <c r="M175" i="142"/>
  <c r="L175" i="142"/>
  <c r="K175" i="142"/>
  <c r="J175" i="142"/>
  <c r="I175" i="142"/>
  <c r="H175" i="142"/>
  <c r="G175" i="142"/>
  <c r="F175" i="142"/>
  <c r="P166" i="142"/>
  <c r="O166" i="142"/>
  <c r="N166" i="142"/>
  <c r="M166" i="142"/>
  <c r="L166" i="142"/>
  <c r="K166" i="142"/>
  <c r="J166" i="142"/>
  <c r="I166" i="142"/>
  <c r="H166" i="142"/>
  <c r="G166" i="142"/>
  <c r="F166" i="142"/>
  <c r="Q192" i="141"/>
  <c r="R192" i="141" s="1"/>
  <c r="Q191" i="141"/>
  <c r="R191" i="141" s="1"/>
  <c r="Q190" i="141"/>
  <c r="T190" i="141" s="1"/>
  <c r="Q189" i="141"/>
  <c r="Q188" i="141"/>
  <c r="Q187" i="141"/>
  <c r="R187" i="141" s="1"/>
  <c r="Q184" i="141"/>
  <c r="Q182" i="141"/>
  <c r="T182" i="141" s="1"/>
  <c r="Q181" i="141"/>
  <c r="Q180" i="141"/>
  <c r="T180" i="141" s="1"/>
  <c r="Q179" i="141"/>
  <c r="T179" i="141" s="1"/>
  <c r="Q178" i="141"/>
  <c r="T178" i="141" s="1"/>
  <c r="Q177" i="141"/>
  <c r="Q174" i="141"/>
  <c r="Q173" i="141"/>
  <c r="R173" i="141" s="1"/>
  <c r="Q171" i="141"/>
  <c r="R171" i="141" s="1"/>
  <c r="Q170" i="141"/>
  <c r="T170" i="141" s="1"/>
  <c r="Q168" i="141"/>
  <c r="T168" i="141" s="1"/>
  <c r="P166" i="141"/>
  <c r="O166" i="141"/>
  <c r="N166" i="141"/>
  <c r="M166" i="141"/>
  <c r="L166" i="141"/>
  <c r="K166" i="141"/>
  <c r="J166" i="141"/>
  <c r="I166" i="141"/>
  <c r="H166" i="141"/>
  <c r="G166" i="141"/>
  <c r="F166" i="141"/>
  <c r="Q165" i="141"/>
  <c r="R165" i="141" s="1"/>
  <c r="Q164" i="141"/>
  <c r="R164" i="141" s="1"/>
  <c r="Q157" i="141"/>
  <c r="R157" i="141" s="1"/>
  <c r="Q156" i="141"/>
  <c r="Q155" i="141"/>
  <c r="T155" i="141" s="1"/>
  <c r="Q154" i="141"/>
  <c r="T154" i="141" s="1"/>
  <c r="Q153" i="141"/>
  <c r="Q152" i="141"/>
  <c r="T152" i="141" s="1"/>
  <c r="Q151" i="141"/>
  <c r="T151" i="141" s="1"/>
  <c r="Q150" i="141"/>
  <c r="Q149" i="141"/>
  <c r="R149" i="141" s="1"/>
  <c r="Q148" i="141"/>
  <c r="Q147" i="141"/>
  <c r="Q146" i="141"/>
  <c r="T146" i="141" s="1"/>
  <c r="Q145" i="141"/>
  <c r="Q144" i="141"/>
  <c r="T144" i="141" s="1"/>
  <c r="Q143" i="141"/>
  <c r="R143" i="141" s="1"/>
  <c r="Q142" i="141"/>
  <c r="Q141" i="141"/>
  <c r="R141" i="141" s="1"/>
  <c r="Q140" i="141"/>
  <c r="Q139" i="141"/>
  <c r="Q138" i="141"/>
  <c r="T138" i="141" s="1"/>
  <c r="Q137" i="141"/>
  <c r="T137" i="141" s="1"/>
  <c r="Q136" i="141"/>
  <c r="Q135" i="141"/>
  <c r="T135" i="141" s="1"/>
  <c r="Q134" i="141"/>
  <c r="T134" i="141" s="1"/>
  <c r="Q133" i="141"/>
  <c r="Q132" i="141"/>
  <c r="T132" i="141" s="1"/>
  <c r="Q131" i="141"/>
  <c r="Q130" i="141"/>
  <c r="T130" i="141" s="1"/>
  <c r="Q129" i="141"/>
  <c r="Q128" i="141"/>
  <c r="R128" i="141" s="1"/>
  <c r="Q127" i="141"/>
  <c r="Q126" i="141"/>
  <c r="T126" i="141" s="1"/>
  <c r="Q125" i="141"/>
  <c r="T125" i="141" s="1"/>
  <c r="Q124" i="141"/>
  <c r="Q123" i="141"/>
  <c r="R123" i="141" s="1"/>
  <c r="Q122" i="141"/>
  <c r="Q121" i="141"/>
  <c r="Q120" i="141"/>
  <c r="R120" i="141" s="1"/>
  <c r="Q119" i="141"/>
  <c r="T119" i="141" s="1"/>
  <c r="Q118" i="141"/>
  <c r="T118" i="141" s="1"/>
  <c r="Q117" i="141"/>
  <c r="T117" i="141" s="1"/>
  <c r="Q116" i="141"/>
  <c r="Q115" i="141"/>
  <c r="T115" i="141" s="1"/>
  <c r="Q114" i="141"/>
  <c r="T114" i="141" s="1"/>
  <c r="Q113" i="141"/>
  <c r="Q112" i="141"/>
  <c r="Q111" i="141"/>
  <c r="T111" i="141" s="1"/>
  <c r="Q110" i="141"/>
  <c r="Q109" i="141"/>
  <c r="T109" i="141" s="1"/>
  <c r="Q108" i="141"/>
  <c r="Q107" i="141"/>
  <c r="Q106" i="141"/>
  <c r="T106" i="141" s="1"/>
  <c r="Q105" i="141"/>
  <c r="Q104" i="141"/>
  <c r="R104" i="141" s="1"/>
  <c r="Q103" i="141"/>
  <c r="R103" i="141" s="1"/>
  <c r="Q102" i="141"/>
  <c r="T102" i="141" s="1"/>
  <c r="Q101" i="141"/>
  <c r="Q100" i="141"/>
  <c r="T100" i="141" s="1"/>
  <c r="Q99" i="141"/>
  <c r="T99" i="141" s="1"/>
  <c r="Q98" i="141"/>
  <c r="T98" i="141" s="1"/>
  <c r="Q97" i="141"/>
  <c r="Q96" i="141"/>
  <c r="R96" i="141" s="1"/>
  <c r="Q95" i="141"/>
  <c r="Q93" i="141"/>
  <c r="R93" i="141" s="1"/>
  <c r="Q92" i="141"/>
  <c r="R92" i="141" s="1"/>
  <c r="Q91" i="141"/>
  <c r="T91" i="141" s="1"/>
  <c r="Q89" i="141"/>
  <c r="Q88" i="141"/>
  <c r="R88" i="141" s="1"/>
  <c r="Q87" i="141"/>
  <c r="Q86" i="141"/>
  <c r="T86" i="141" s="1"/>
  <c r="Q85" i="141"/>
  <c r="Q84" i="141"/>
  <c r="T84" i="141" s="1"/>
  <c r="Q83" i="141"/>
  <c r="T83" i="141" s="1"/>
  <c r="Q82" i="141"/>
  <c r="T82" i="141" s="1"/>
  <c r="Q81" i="141"/>
  <c r="Q80" i="141"/>
  <c r="T80" i="141" s="1"/>
  <c r="Q79" i="141"/>
  <c r="T79" i="141" s="1"/>
  <c r="Q78" i="141"/>
  <c r="Q77" i="141"/>
  <c r="R77" i="141" s="1"/>
  <c r="Q76" i="141"/>
  <c r="Q75" i="141"/>
  <c r="T75" i="141" s="1"/>
  <c r="Q74" i="141"/>
  <c r="Q73" i="141"/>
  <c r="T73" i="141" s="1"/>
  <c r="Q72" i="141"/>
  <c r="R72" i="141" s="1"/>
  <c r="Q71" i="141"/>
  <c r="T71" i="141" s="1"/>
  <c r="Q69" i="141"/>
  <c r="T69" i="141" s="1"/>
  <c r="Q68" i="141"/>
  <c r="Q67" i="141"/>
  <c r="T67" i="141" s="1"/>
  <c r="Q66" i="141"/>
  <c r="Q65" i="141"/>
  <c r="R65" i="141" s="1"/>
  <c r="Q64" i="141"/>
  <c r="T64" i="141" s="1"/>
  <c r="Q63" i="141"/>
  <c r="R63" i="141" s="1"/>
  <c r="Q62" i="141"/>
  <c r="Q61" i="141"/>
  <c r="T61" i="141" s="1"/>
  <c r="Q60" i="141"/>
  <c r="R60" i="141" s="1"/>
  <c r="Q59" i="141"/>
  <c r="R59" i="141" s="1"/>
  <c r="Q58" i="141"/>
  <c r="Q57" i="141"/>
  <c r="Q56" i="141"/>
  <c r="T56" i="141" s="1"/>
  <c r="Q55" i="141"/>
  <c r="Q54" i="141"/>
  <c r="T54" i="141" s="1"/>
  <c r="Q53" i="141"/>
  <c r="T53" i="141" s="1"/>
  <c r="Q52" i="141"/>
  <c r="Q51" i="141"/>
  <c r="T51" i="141" s="1"/>
  <c r="Q50" i="141"/>
  <c r="T50" i="141" s="1"/>
  <c r="Q49" i="141"/>
  <c r="R49" i="141" s="1"/>
  <c r="Q48" i="141"/>
  <c r="Q47" i="141"/>
  <c r="Q46" i="141"/>
  <c r="T46" i="141" s="1"/>
  <c r="Q45" i="141"/>
  <c r="T45" i="141" s="1"/>
  <c r="Q44" i="141"/>
  <c r="R44" i="141" s="1"/>
  <c r="Q42" i="141"/>
  <c r="R42" i="141" s="1"/>
  <c r="Q41" i="141"/>
  <c r="T41" i="141" s="1"/>
  <c r="Q40" i="141"/>
  <c r="R40" i="141" s="1"/>
  <c r="Q39" i="141"/>
  <c r="Q38" i="141"/>
  <c r="Q37" i="141"/>
  <c r="T37" i="141" s="1"/>
  <c r="Q36" i="141"/>
  <c r="T36" i="141" s="1"/>
  <c r="Q35" i="141"/>
  <c r="T35" i="141" s="1"/>
  <c r="Q34" i="141"/>
  <c r="T34" i="141" s="1"/>
  <c r="Q33" i="141"/>
  <c r="T33" i="141" s="1"/>
  <c r="Q32" i="141"/>
  <c r="Q31" i="141"/>
  <c r="Q30" i="141"/>
  <c r="T30" i="141" s="1"/>
  <c r="Q29" i="141"/>
  <c r="Q28" i="141"/>
  <c r="T28" i="141" s="1"/>
  <c r="Q27" i="141"/>
  <c r="T27" i="141" s="1"/>
  <c r="Q26" i="141"/>
  <c r="R26" i="141" s="1"/>
  <c r="Q25" i="141"/>
  <c r="T25" i="141" s="1"/>
  <c r="Q24" i="141"/>
  <c r="Q23" i="141"/>
  <c r="T23" i="141" s="1"/>
  <c r="Q22" i="141"/>
  <c r="T22" i="141" s="1"/>
  <c r="Q21" i="141"/>
  <c r="R21" i="141" s="1"/>
  <c r="Q20" i="141"/>
  <c r="Q19" i="141"/>
  <c r="R19" i="141" s="1"/>
  <c r="Q18" i="141"/>
  <c r="R18" i="141" s="1"/>
  <c r="Q17" i="141"/>
  <c r="T17" i="141" s="1"/>
  <c r="Q16" i="141"/>
  <c r="R16" i="141" s="1"/>
  <c r="Q15" i="141"/>
  <c r="R15" i="141" s="1"/>
  <c r="D5" i="141"/>
  <c r="D4" i="141"/>
  <c r="P166" i="140"/>
  <c r="N166" i="140"/>
  <c r="M166" i="140"/>
  <c r="L166" i="140"/>
  <c r="K166" i="140"/>
  <c r="J166" i="140"/>
  <c r="I166" i="140"/>
  <c r="H166" i="140"/>
  <c r="G166" i="140"/>
  <c r="F166" i="140"/>
  <c r="H166" i="139"/>
  <c r="H183" i="139" s="1"/>
  <c r="G166" i="139"/>
  <c r="G183" i="139" s="1"/>
  <c r="F166" i="139"/>
  <c r="F183" i="139" s="1"/>
  <c r="P166" i="139"/>
  <c r="O166" i="139"/>
  <c r="N166" i="139"/>
  <c r="M166" i="139"/>
  <c r="L166" i="139"/>
  <c r="K166" i="139"/>
  <c r="J166" i="139"/>
  <c r="J183" i="139" s="1"/>
  <c r="I166" i="139"/>
  <c r="I183" i="139" s="1"/>
  <c r="J115" i="135"/>
  <c r="I115" i="135"/>
  <c r="H115" i="135"/>
  <c r="G115" i="135"/>
  <c r="E115" i="135"/>
  <c r="F115" i="135"/>
  <c r="P106" i="135"/>
  <c r="O106" i="135"/>
  <c r="N106" i="135"/>
  <c r="M106" i="135"/>
  <c r="L106" i="135"/>
  <c r="K106" i="135"/>
  <c r="J106" i="135"/>
  <c r="I106" i="135"/>
  <c r="H106" i="135"/>
  <c r="G106" i="135"/>
  <c r="F106" i="135"/>
  <c r="E106" i="135"/>
  <c r="E123" i="135" s="1"/>
  <c r="P92" i="147"/>
  <c r="O92" i="147"/>
  <c r="N92" i="147"/>
  <c r="M92" i="147"/>
  <c r="L92" i="147"/>
  <c r="K92" i="147"/>
  <c r="J92" i="147"/>
  <c r="I92" i="147"/>
  <c r="H92" i="147"/>
  <c r="G92" i="147"/>
  <c r="F92" i="147"/>
  <c r="P92" i="148"/>
  <c r="O92" i="148"/>
  <c r="N92" i="148"/>
  <c r="M92" i="148"/>
  <c r="L92" i="148"/>
  <c r="K92" i="148"/>
  <c r="J92" i="148"/>
  <c r="I92" i="148"/>
  <c r="H92" i="148"/>
  <c r="G92" i="148"/>
  <c r="F92" i="148"/>
  <c r="P135" i="121"/>
  <c r="O135" i="121"/>
  <c r="N135" i="121"/>
  <c r="M135" i="121"/>
  <c r="L135" i="121"/>
  <c r="K135" i="121"/>
  <c r="J135" i="121"/>
  <c r="I135" i="121"/>
  <c r="H135" i="121"/>
  <c r="G135" i="121"/>
  <c r="F135" i="121"/>
  <c r="P134" i="122"/>
  <c r="P137" i="122" s="1"/>
  <c r="O134" i="122"/>
  <c r="O137" i="122" s="1"/>
  <c r="N134" i="122"/>
  <c r="N137" i="122" s="1"/>
  <c r="M134" i="122"/>
  <c r="M137" i="122" s="1"/>
  <c r="L134" i="122"/>
  <c r="L137" i="122" s="1"/>
  <c r="K134" i="122"/>
  <c r="K137" i="122" s="1"/>
  <c r="J134" i="122"/>
  <c r="J137" i="122" s="1"/>
  <c r="I134" i="122"/>
  <c r="I137" i="122" s="1"/>
  <c r="H134" i="122"/>
  <c r="H137" i="122" s="1"/>
  <c r="G134" i="122"/>
  <c r="G137" i="122" s="1"/>
  <c r="F134" i="122"/>
  <c r="F137" i="122" s="1"/>
  <c r="P88" i="130"/>
  <c r="O88" i="130"/>
  <c r="N88" i="130"/>
  <c r="M88" i="130"/>
  <c r="L88" i="130"/>
  <c r="K88" i="130"/>
  <c r="J88" i="130"/>
  <c r="I88" i="130"/>
  <c r="H88" i="130"/>
  <c r="G88" i="130"/>
  <c r="F88" i="130"/>
  <c r="E88" i="130"/>
  <c r="E88" i="127"/>
  <c r="E91" i="127" s="1"/>
  <c r="F88" i="127"/>
  <c r="G88" i="127"/>
  <c r="H88" i="127"/>
  <c r="I88" i="127"/>
  <c r="J88" i="127"/>
  <c r="K88" i="127"/>
  <c r="L88" i="127"/>
  <c r="M88" i="127"/>
  <c r="N88" i="127"/>
  <c r="O88" i="127"/>
  <c r="P88" i="127"/>
  <c r="T192" i="141"/>
  <c r="Q193" i="141"/>
  <c r="R193" i="141" s="1"/>
  <c r="T60" i="141"/>
  <c r="T40" i="141"/>
  <c r="T198" i="141"/>
  <c r="R56" i="141"/>
  <c r="R100" i="141"/>
  <c r="Q43" i="141"/>
  <c r="R43" i="141" s="1"/>
  <c r="Q112" i="132"/>
  <c r="Q113" i="132"/>
  <c r="Q25" i="132"/>
  <c r="Q24" i="132"/>
  <c r="Q14" i="132"/>
  <c r="Q13" i="132"/>
  <c r="Q16" i="132"/>
  <c r="Q118" i="135"/>
  <c r="T118" i="135" s="1"/>
  <c r="Q119" i="135"/>
  <c r="T119" i="135" s="1"/>
  <c r="Q120" i="135"/>
  <c r="Q121" i="135"/>
  <c r="T121" i="135" s="1"/>
  <c r="Q122" i="135"/>
  <c r="T122" i="135" s="1"/>
  <c r="Q117" i="135"/>
  <c r="Q110" i="135"/>
  <c r="Q113" i="135"/>
  <c r="T113" i="135" s="1"/>
  <c r="Q114" i="135"/>
  <c r="E145" i="132"/>
  <c r="F145" i="132"/>
  <c r="G145" i="132"/>
  <c r="H145" i="132"/>
  <c r="I145" i="132"/>
  <c r="J145" i="132"/>
  <c r="K145" i="132"/>
  <c r="L145" i="132"/>
  <c r="M145" i="132"/>
  <c r="N145" i="132"/>
  <c r="O145" i="132"/>
  <c r="P145" i="132"/>
  <c r="Q15" i="91"/>
  <c r="U15" i="91" s="1"/>
  <c r="E139" i="132"/>
  <c r="E143" i="132"/>
  <c r="Q184" i="90"/>
  <c r="Q27" i="155"/>
  <c r="Q23" i="155"/>
  <c r="Q22" i="155"/>
  <c r="Q21" i="155"/>
  <c r="Q19" i="155"/>
  <c r="Q18" i="155"/>
  <c r="Q17" i="155"/>
  <c r="Q16" i="155"/>
  <c r="D5" i="155"/>
  <c r="D4" i="155"/>
  <c r="P190" i="154"/>
  <c r="O190" i="154"/>
  <c r="N190" i="154"/>
  <c r="M190" i="154"/>
  <c r="L190" i="154"/>
  <c r="K190" i="154"/>
  <c r="J190" i="154"/>
  <c r="I190" i="154"/>
  <c r="H190" i="154"/>
  <c r="G190" i="154"/>
  <c r="F190" i="154"/>
  <c r="E190" i="154"/>
  <c r="P189" i="154"/>
  <c r="O189" i="154"/>
  <c r="N189" i="154"/>
  <c r="M189" i="154"/>
  <c r="L189" i="154"/>
  <c r="K189" i="154"/>
  <c r="J189" i="154"/>
  <c r="I189" i="154"/>
  <c r="H189" i="154"/>
  <c r="G189" i="154"/>
  <c r="F189" i="154"/>
  <c r="E189" i="154"/>
  <c r="P188" i="154"/>
  <c r="P191" i="154" s="1"/>
  <c r="O188" i="154"/>
  <c r="O191" i="154" s="1"/>
  <c r="N188" i="154"/>
  <c r="N191" i="154" s="1"/>
  <c r="M188" i="154"/>
  <c r="L188" i="154"/>
  <c r="K188" i="154"/>
  <c r="J188" i="154"/>
  <c r="J191" i="154" s="1"/>
  <c r="I188" i="154"/>
  <c r="H188" i="154"/>
  <c r="G188" i="154"/>
  <c r="F188" i="154"/>
  <c r="E188" i="154"/>
  <c r="Q187" i="154"/>
  <c r="U187" i="154" s="1"/>
  <c r="Q186" i="154"/>
  <c r="U186" i="154" s="1"/>
  <c r="Q185" i="154"/>
  <c r="U185" i="154" s="1"/>
  <c r="Q184" i="154"/>
  <c r="Q181" i="154"/>
  <c r="U181" i="154" s="1"/>
  <c r="P172" i="154"/>
  <c r="M172" i="154"/>
  <c r="I172" i="154"/>
  <c r="F172" i="154"/>
  <c r="Q156" i="154"/>
  <c r="U156" i="154" s="1"/>
  <c r="Q155" i="154"/>
  <c r="U155" i="154" s="1"/>
  <c r="Q154" i="154"/>
  <c r="Q153" i="154"/>
  <c r="U153" i="154" s="1"/>
  <c r="Q152" i="154"/>
  <c r="U152" i="154" s="1"/>
  <c r="Q151" i="154"/>
  <c r="U151" i="154" s="1"/>
  <c r="Q150" i="154"/>
  <c r="Q149" i="154"/>
  <c r="U149" i="154" s="1"/>
  <c r="Q148" i="154"/>
  <c r="U148" i="154" s="1"/>
  <c r="Q147" i="154"/>
  <c r="U147" i="154" s="1"/>
  <c r="Q146" i="154"/>
  <c r="Q145" i="154"/>
  <c r="U145" i="154" s="1"/>
  <c r="Q144" i="154"/>
  <c r="U144" i="154" s="1"/>
  <c r="Q143" i="154"/>
  <c r="U143" i="154" s="1"/>
  <c r="Q142" i="154"/>
  <c r="Q141" i="154"/>
  <c r="U141" i="154" s="1"/>
  <c r="Q140" i="154"/>
  <c r="U140" i="154" s="1"/>
  <c r="Q139" i="154"/>
  <c r="U139" i="154" s="1"/>
  <c r="Q138" i="154"/>
  <c r="Q137" i="154"/>
  <c r="U137" i="154" s="1"/>
  <c r="Q136" i="154"/>
  <c r="U136" i="154" s="1"/>
  <c r="Q135" i="154"/>
  <c r="U135" i="154" s="1"/>
  <c r="Q134" i="154"/>
  <c r="Q133" i="154"/>
  <c r="U133" i="154" s="1"/>
  <c r="Q132" i="154"/>
  <c r="U132" i="154" s="1"/>
  <c r="Q131" i="154"/>
  <c r="U131" i="154" s="1"/>
  <c r="Q130" i="154"/>
  <c r="Q129" i="154"/>
  <c r="U129" i="154" s="1"/>
  <c r="Q128" i="154"/>
  <c r="U128" i="154" s="1"/>
  <c r="Q127" i="154"/>
  <c r="U127" i="154" s="1"/>
  <c r="Q126" i="154"/>
  <c r="Q125" i="154"/>
  <c r="U125" i="154" s="1"/>
  <c r="Q124" i="154"/>
  <c r="U124" i="154" s="1"/>
  <c r="Q123" i="154"/>
  <c r="U123" i="154" s="1"/>
  <c r="Q122" i="154"/>
  <c r="Q121" i="154"/>
  <c r="U121" i="154" s="1"/>
  <c r="Q120" i="154"/>
  <c r="U120" i="154" s="1"/>
  <c r="Q119" i="154"/>
  <c r="U119" i="154" s="1"/>
  <c r="Q118" i="154"/>
  <c r="U118" i="154" s="1"/>
  <c r="Q117" i="154"/>
  <c r="U117" i="154" s="1"/>
  <c r="Q116" i="154"/>
  <c r="U116" i="154" s="1"/>
  <c r="Q115" i="154"/>
  <c r="U115" i="154" s="1"/>
  <c r="Q114" i="154"/>
  <c r="U114" i="154" s="1"/>
  <c r="Q113" i="154"/>
  <c r="Q112" i="154"/>
  <c r="U112" i="154" s="1"/>
  <c r="Q111" i="154"/>
  <c r="U111" i="154" s="1"/>
  <c r="Q110" i="154"/>
  <c r="U110" i="154" s="1"/>
  <c r="Q109" i="154"/>
  <c r="U109" i="154" s="1"/>
  <c r="Q108" i="154"/>
  <c r="U108" i="154" s="1"/>
  <c r="Q107" i="154"/>
  <c r="U107" i="154" s="1"/>
  <c r="Q106" i="154"/>
  <c r="U106" i="154" s="1"/>
  <c r="Q105" i="154"/>
  <c r="U105" i="154" s="1"/>
  <c r="Q104" i="154"/>
  <c r="U104" i="154" s="1"/>
  <c r="Q103" i="154"/>
  <c r="U103" i="154" s="1"/>
  <c r="Q102" i="154"/>
  <c r="U102" i="154" s="1"/>
  <c r="Q101" i="154"/>
  <c r="U101" i="154" s="1"/>
  <c r="Q100" i="154"/>
  <c r="U100" i="154" s="1"/>
  <c r="Q99" i="154"/>
  <c r="U99" i="154" s="1"/>
  <c r="Q98" i="154"/>
  <c r="U98" i="154" s="1"/>
  <c r="Q97" i="154"/>
  <c r="U97" i="154" s="1"/>
  <c r="Q96" i="154"/>
  <c r="U96" i="154" s="1"/>
  <c r="Q95" i="154"/>
  <c r="U95" i="154" s="1"/>
  <c r="Q94" i="154"/>
  <c r="U94" i="154" s="1"/>
  <c r="Q93" i="154"/>
  <c r="Q92" i="154"/>
  <c r="U92" i="154" s="1"/>
  <c r="Q91" i="154"/>
  <c r="U91" i="154" s="1"/>
  <c r="Q90" i="154"/>
  <c r="U90" i="154" s="1"/>
  <c r="Q89" i="154"/>
  <c r="U89" i="154" s="1"/>
  <c r="Q88" i="154"/>
  <c r="U88" i="154" s="1"/>
  <c r="Q87" i="154"/>
  <c r="U87" i="154" s="1"/>
  <c r="Q86" i="154"/>
  <c r="U86" i="154" s="1"/>
  <c r="Q85" i="154"/>
  <c r="U85" i="154" s="1"/>
  <c r="Q84" i="154"/>
  <c r="U84" i="154" s="1"/>
  <c r="Q83" i="154"/>
  <c r="U83" i="154" s="1"/>
  <c r="Q82" i="154"/>
  <c r="U82" i="154" s="1"/>
  <c r="Q81" i="154"/>
  <c r="U81" i="154" s="1"/>
  <c r="Q80" i="154"/>
  <c r="U80" i="154" s="1"/>
  <c r="Q79" i="154"/>
  <c r="U79" i="154" s="1"/>
  <c r="Q78" i="154"/>
  <c r="U78" i="154" s="1"/>
  <c r="Q77" i="154"/>
  <c r="U77" i="154" s="1"/>
  <c r="Q76" i="154"/>
  <c r="U76" i="154" s="1"/>
  <c r="Q75" i="154"/>
  <c r="U75" i="154" s="1"/>
  <c r="Q74" i="154"/>
  <c r="U74" i="154" s="1"/>
  <c r="Q73" i="154"/>
  <c r="U73" i="154" s="1"/>
  <c r="Q72" i="154"/>
  <c r="U72" i="154" s="1"/>
  <c r="Q71" i="154"/>
  <c r="U71" i="154" s="1"/>
  <c r="Q70" i="154"/>
  <c r="U70" i="154" s="1"/>
  <c r="Q69" i="154"/>
  <c r="U69" i="154" s="1"/>
  <c r="Q68" i="154"/>
  <c r="U68" i="154" s="1"/>
  <c r="Q67" i="154"/>
  <c r="U67" i="154" s="1"/>
  <c r="Q66" i="154"/>
  <c r="U66" i="154" s="1"/>
  <c r="Q65" i="154"/>
  <c r="Q63" i="154"/>
  <c r="U63" i="154" s="1"/>
  <c r="Q62" i="154"/>
  <c r="U62" i="154" s="1"/>
  <c r="Q61" i="154"/>
  <c r="U61" i="154" s="1"/>
  <c r="Q60" i="154"/>
  <c r="U60" i="154" s="1"/>
  <c r="Q59" i="154"/>
  <c r="U59" i="154" s="1"/>
  <c r="Q58" i="154"/>
  <c r="U58" i="154" s="1"/>
  <c r="Q57" i="154"/>
  <c r="U57" i="154" s="1"/>
  <c r="Q56" i="154"/>
  <c r="U56" i="154" s="1"/>
  <c r="Q55" i="154"/>
  <c r="U55" i="154" s="1"/>
  <c r="Q54" i="154"/>
  <c r="U54" i="154" s="1"/>
  <c r="Q53" i="154"/>
  <c r="U53" i="154" s="1"/>
  <c r="Q52" i="154"/>
  <c r="U52" i="154" s="1"/>
  <c r="Q51" i="154"/>
  <c r="U51" i="154" s="1"/>
  <c r="Q50" i="154"/>
  <c r="U50" i="154" s="1"/>
  <c r="Q49" i="154"/>
  <c r="U49" i="154" s="1"/>
  <c r="Q48" i="154"/>
  <c r="U48" i="154" s="1"/>
  <c r="Q47" i="154"/>
  <c r="U47" i="154" s="1"/>
  <c r="Q46" i="154"/>
  <c r="U46" i="154" s="1"/>
  <c r="Q45" i="154"/>
  <c r="U45" i="154" s="1"/>
  <c r="Q44" i="154"/>
  <c r="U44" i="154" s="1"/>
  <c r="Q43" i="154"/>
  <c r="U43" i="154" s="1"/>
  <c r="Q42" i="154"/>
  <c r="U42" i="154" s="1"/>
  <c r="Q41" i="154"/>
  <c r="U41" i="154" s="1"/>
  <c r="Q40" i="154"/>
  <c r="U40" i="154" s="1"/>
  <c r="Q39" i="154"/>
  <c r="U39" i="154" s="1"/>
  <c r="Q38" i="154"/>
  <c r="U38" i="154" s="1"/>
  <c r="Q37" i="154"/>
  <c r="U37" i="154" s="1"/>
  <c r="Q36" i="154"/>
  <c r="Q35" i="154"/>
  <c r="U35" i="154" s="1"/>
  <c r="Q34" i="154"/>
  <c r="U34" i="154" s="1"/>
  <c r="Q33" i="154"/>
  <c r="U33" i="154" s="1"/>
  <c r="Q32" i="154"/>
  <c r="U32" i="154" s="1"/>
  <c r="Q31" i="154"/>
  <c r="U31" i="154" s="1"/>
  <c r="Q30" i="154"/>
  <c r="U30" i="154" s="1"/>
  <c r="Q29" i="154"/>
  <c r="U29" i="154" s="1"/>
  <c r="Q28" i="154"/>
  <c r="Q27" i="154"/>
  <c r="U27" i="154" s="1"/>
  <c r="Q26" i="154"/>
  <c r="U26" i="154" s="1"/>
  <c r="Q25" i="154"/>
  <c r="U25" i="154" s="1"/>
  <c r="Q24" i="154"/>
  <c r="U24" i="154" s="1"/>
  <c r="Q23" i="154"/>
  <c r="U23" i="154" s="1"/>
  <c r="Q22" i="154"/>
  <c r="U22" i="154" s="1"/>
  <c r="Q21" i="154"/>
  <c r="U21" i="154" s="1"/>
  <c r="Q20" i="154"/>
  <c r="U20" i="154" s="1"/>
  <c r="Q19" i="154"/>
  <c r="U19" i="154" s="1"/>
  <c r="Q18" i="154"/>
  <c r="U18" i="154" s="1"/>
  <c r="Q17" i="154"/>
  <c r="U17" i="154" s="1"/>
  <c r="Q16" i="154"/>
  <c r="U16" i="154" s="1"/>
  <c r="Q15" i="154"/>
  <c r="U15" i="154" s="1"/>
  <c r="S12" i="154"/>
  <c r="D5" i="154"/>
  <c r="D4" i="154"/>
  <c r="D206" i="153"/>
  <c r="D205" i="153"/>
  <c r="D203" i="153"/>
  <c r="D201" i="153"/>
  <c r="U197" i="153"/>
  <c r="U195" i="153"/>
  <c r="P192" i="153"/>
  <c r="O192" i="153"/>
  <c r="N192" i="153"/>
  <c r="M192" i="153"/>
  <c r="L192" i="153"/>
  <c r="K192" i="153"/>
  <c r="J192" i="153"/>
  <c r="I192" i="153"/>
  <c r="H192" i="153"/>
  <c r="G192" i="153"/>
  <c r="F192" i="153"/>
  <c r="Q191" i="153"/>
  <c r="Q190" i="153"/>
  <c r="Q189" i="153"/>
  <c r="Q188" i="153"/>
  <c r="Q187" i="153"/>
  <c r="Q186" i="153"/>
  <c r="Q185" i="153"/>
  <c r="Q182" i="153"/>
  <c r="Q180" i="153"/>
  <c r="Q179" i="153"/>
  <c r="Q178" i="153"/>
  <c r="Q177" i="153"/>
  <c r="Q176" i="153"/>
  <c r="Q175" i="153"/>
  <c r="Q172" i="153"/>
  <c r="Q171" i="153"/>
  <c r="Q167" i="153"/>
  <c r="Q163" i="153"/>
  <c r="Q162" i="153"/>
  <c r="Q34" i="153"/>
  <c r="Q33" i="153"/>
  <c r="Q32" i="153"/>
  <c r="Q31" i="153"/>
  <c r="Q30" i="153"/>
  <c r="Q29" i="153"/>
  <c r="Q28" i="153"/>
  <c r="Q27" i="153"/>
  <c r="Q26" i="153"/>
  <c r="Q25" i="153"/>
  <c r="Q24" i="153"/>
  <c r="Q23" i="153"/>
  <c r="Q21" i="153"/>
  <c r="Q20" i="153"/>
  <c r="Q19" i="153"/>
  <c r="Q18" i="153"/>
  <c r="Q17" i="153"/>
  <c r="Q16" i="153"/>
  <c r="Q15" i="153"/>
  <c r="D5" i="153"/>
  <c r="D4" i="153"/>
  <c r="U198" i="93"/>
  <c r="Q190" i="93"/>
  <c r="U190" i="93" s="1"/>
  <c r="Q189" i="93"/>
  <c r="U189" i="93" s="1"/>
  <c r="Q188" i="93"/>
  <c r="U188" i="93" s="1"/>
  <c r="Q187" i="93"/>
  <c r="U187" i="93" s="1"/>
  <c r="Q186" i="93"/>
  <c r="U186" i="93" s="1"/>
  <c r="Q172" i="93"/>
  <c r="U172" i="93" s="1"/>
  <c r="Q169" i="93"/>
  <c r="U158" i="93"/>
  <c r="U157" i="93"/>
  <c r="U156" i="93"/>
  <c r="Q156" i="93"/>
  <c r="U155" i="93"/>
  <c r="Q155" i="93"/>
  <c r="U154" i="93"/>
  <c r="Q154" i="93"/>
  <c r="U153" i="93"/>
  <c r="Q153" i="93"/>
  <c r="U152" i="93"/>
  <c r="Q152" i="93"/>
  <c r="U151" i="93"/>
  <c r="Q151" i="93"/>
  <c r="U150" i="93"/>
  <c r="U149" i="93"/>
  <c r="Q149" i="93"/>
  <c r="U148" i="93"/>
  <c r="Q148" i="93"/>
  <c r="U147" i="93"/>
  <c r="U146" i="93"/>
  <c r="Q146" i="93"/>
  <c r="U145" i="93"/>
  <c r="U144" i="93"/>
  <c r="Q144" i="93"/>
  <c r="U143" i="93"/>
  <c r="Q143" i="93"/>
  <c r="U142" i="93"/>
  <c r="Q142" i="93"/>
  <c r="U141" i="93"/>
  <c r="Q141" i="93"/>
  <c r="U140" i="93"/>
  <c r="Q140" i="93"/>
  <c r="U139" i="93"/>
  <c r="Q139" i="93"/>
  <c r="U138" i="93"/>
  <c r="Q138" i="93"/>
  <c r="U137" i="93"/>
  <c r="Q137" i="93"/>
  <c r="U136" i="93"/>
  <c r="Q136" i="93"/>
  <c r="U135" i="93"/>
  <c r="Q135" i="93"/>
  <c r="U134" i="93"/>
  <c r="Q134" i="93"/>
  <c r="U133" i="93"/>
  <c r="Q133" i="93"/>
  <c r="U132" i="93"/>
  <c r="Q132" i="93"/>
  <c r="U131" i="93"/>
  <c r="Q131" i="93"/>
  <c r="U130" i="93"/>
  <c r="Q130" i="93"/>
  <c r="U129" i="93"/>
  <c r="Q129" i="93"/>
  <c r="U128" i="93"/>
  <c r="Q128" i="93"/>
  <c r="U127" i="93"/>
  <c r="Q127" i="93"/>
  <c r="U126" i="93"/>
  <c r="Q126" i="93"/>
  <c r="U125" i="93"/>
  <c r="Q125" i="93"/>
  <c r="U124" i="93"/>
  <c r="Q124" i="93"/>
  <c r="U123" i="93"/>
  <c r="Q123" i="93"/>
  <c r="U122" i="93"/>
  <c r="Q122" i="93"/>
  <c r="U121" i="93"/>
  <c r="Q121" i="93"/>
  <c r="U120" i="93"/>
  <c r="Q120" i="93"/>
  <c r="U119" i="93"/>
  <c r="Q119" i="93"/>
  <c r="U118" i="93"/>
  <c r="Q118" i="93"/>
  <c r="U117" i="93"/>
  <c r="Q117" i="93"/>
  <c r="U116" i="93"/>
  <c r="Q116" i="93"/>
  <c r="U115" i="93"/>
  <c r="Q115" i="93"/>
  <c r="U114" i="93"/>
  <c r="Q114" i="93"/>
  <c r="U113" i="93"/>
  <c r="Q113" i="93"/>
  <c r="U112" i="93"/>
  <c r="Q112" i="93"/>
  <c r="U111" i="93"/>
  <c r="Q111" i="93"/>
  <c r="U110" i="93"/>
  <c r="Q110" i="93"/>
  <c r="U109" i="93"/>
  <c r="Q109" i="93"/>
  <c r="U108" i="93"/>
  <c r="Q108" i="93"/>
  <c r="U107" i="93"/>
  <c r="Q107" i="93"/>
  <c r="U106" i="93"/>
  <c r="Q106" i="93"/>
  <c r="U105" i="93"/>
  <c r="Q105" i="93"/>
  <c r="U104" i="93"/>
  <c r="Q104" i="93"/>
  <c r="U103" i="93"/>
  <c r="Q103" i="93"/>
  <c r="U102" i="93"/>
  <c r="Q102" i="93"/>
  <c r="U101" i="93"/>
  <c r="Q101" i="93"/>
  <c r="U100" i="93"/>
  <c r="Q100" i="93"/>
  <c r="U99" i="93"/>
  <c r="Q99" i="93"/>
  <c r="U98" i="93"/>
  <c r="Q98" i="93"/>
  <c r="U97" i="93"/>
  <c r="Q97" i="93"/>
  <c r="U96" i="93"/>
  <c r="Q96" i="93"/>
  <c r="U95" i="93"/>
  <c r="Q95" i="93"/>
  <c r="U94" i="93"/>
  <c r="Q94" i="93"/>
  <c r="U93" i="93"/>
  <c r="Q93" i="93"/>
  <c r="U92" i="93"/>
  <c r="Q92" i="93"/>
  <c r="U91" i="93"/>
  <c r="Q91" i="93"/>
  <c r="U90" i="93"/>
  <c r="Q90" i="93"/>
  <c r="U89" i="93"/>
  <c r="Q89" i="93"/>
  <c r="U88" i="93"/>
  <c r="Q88" i="93"/>
  <c r="U87" i="93"/>
  <c r="Q87" i="93"/>
  <c r="U86" i="93"/>
  <c r="Q86" i="93"/>
  <c r="U85" i="93"/>
  <c r="Q85" i="93"/>
  <c r="U84" i="93"/>
  <c r="Q84" i="93"/>
  <c r="U83" i="93"/>
  <c r="Q83" i="93"/>
  <c r="U82" i="93"/>
  <c r="Q82" i="93"/>
  <c r="U81" i="93"/>
  <c r="Q81" i="93"/>
  <c r="U80" i="93"/>
  <c r="Q80" i="93"/>
  <c r="U79" i="93"/>
  <c r="Q79" i="93"/>
  <c r="U78" i="93"/>
  <c r="Q78" i="93"/>
  <c r="U77" i="93"/>
  <c r="Q77" i="93"/>
  <c r="U76" i="93"/>
  <c r="Q76" i="93"/>
  <c r="U75" i="93"/>
  <c r="Q75" i="93"/>
  <c r="U74" i="93"/>
  <c r="Q74" i="93"/>
  <c r="U73" i="93"/>
  <c r="Q73" i="93"/>
  <c r="U72" i="93"/>
  <c r="Q72" i="93"/>
  <c r="U71" i="93"/>
  <c r="Q71" i="93"/>
  <c r="U70" i="93"/>
  <c r="U69" i="93"/>
  <c r="Q69" i="93"/>
  <c r="U68" i="93"/>
  <c r="Q68" i="93"/>
  <c r="U67" i="93"/>
  <c r="Q67" i="93"/>
  <c r="U66" i="93"/>
  <c r="Q66" i="93"/>
  <c r="U65" i="93"/>
  <c r="Q65" i="93"/>
  <c r="U64" i="93"/>
  <c r="Q64" i="93"/>
  <c r="U63" i="93"/>
  <c r="Q63" i="93"/>
  <c r="U62" i="93"/>
  <c r="Q62" i="93"/>
  <c r="U61" i="93"/>
  <c r="Q61" i="93"/>
  <c r="U60" i="93"/>
  <c r="Q60" i="93"/>
  <c r="U59" i="93"/>
  <c r="Q59" i="93"/>
  <c r="U58" i="93"/>
  <c r="Q58" i="93"/>
  <c r="U57" i="93"/>
  <c r="Q57" i="93"/>
  <c r="U56" i="93"/>
  <c r="Q56" i="93"/>
  <c r="U55" i="93"/>
  <c r="Q55" i="93"/>
  <c r="U54" i="93"/>
  <c r="Q54" i="93"/>
  <c r="U53" i="93"/>
  <c r="Q53" i="93"/>
  <c r="U52" i="93"/>
  <c r="Q52" i="93"/>
  <c r="U51" i="93"/>
  <c r="Q51" i="93"/>
  <c r="U50" i="93"/>
  <c r="Q50" i="93"/>
  <c r="U49" i="93"/>
  <c r="Q49" i="93"/>
  <c r="U48" i="93"/>
  <c r="Q48" i="93"/>
  <c r="U47" i="93"/>
  <c r="Q47" i="93"/>
  <c r="U46" i="93"/>
  <c r="Q46" i="93"/>
  <c r="U45" i="93"/>
  <c r="Q45" i="93"/>
  <c r="U44" i="93"/>
  <c r="Q44" i="93"/>
  <c r="U43" i="93"/>
  <c r="Q43" i="93"/>
  <c r="U42" i="93"/>
  <c r="Q42" i="93"/>
  <c r="U41" i="93"/>
  <c r="Q41" i="93"/>
  <c r="U40" i="93"/>
  <c r="Q40" i="93"/>
  <c r="U39" i="93"/>
  <c r="Q39" i="93"/>
  <c r="U38" i="93"/>
  <c r="Q38" i="93"/>
  <c r="U37" i="93"/>
  <c r="Q37" i="93"/>
  <c r="U36" i="93"/>
  <c r="Q36" i="93"/>
  <c r="U35" i="93"/>
  <c r="Q35" i="93"/>
  <c r="U34" i="93"/>
  <c r="Q34" i="93"/>
  <c r="U33" i="93"/>
  <c r="Q33" i="93"/>
  <c r="U32" i="93"/>
  <c r="Q32" i="93"/>
  <c r="U31" i="93"/>
  <c r="Q31" i="93"/>
  <c r="U30" i="93"/>
  <c r="Q30" i="93"/>
  <c r="U29" i="93"/>
  <c r="Q29" i="93"/>
  <c r="U28" i="93"/>
  <c r="Q28" i="93"/>
  <c r="U27" i="93"/>
  <c r="Q27" i="93"/>
  <c r="U26" i="93"/>
  <c r="Q26" i="93"/>
  <c r="U25" i="93"/>
  <c r="Q25" i="93"/>
  <c r="U24" i="93"/>
  <c r="Q24" i="93"/>
  <c r="U23" i="93"/>
  <c r="Q23" i="93"/>
  <c r="U22" i="93"/>
  <c r="Q22" i="93"/>
  <c r="U21" i="93"/>
  <c r="Q21" i="93"/>
  <c r="Q20" i="93"/>
  <c r="U20" i="93" s="1"/>
  <c r="Q19" i="93"/>
  <c r="U19" i="93" s="1"/>
  <c r="Q18" i="93"/>
  <c r="U18" i="93" s="1"/>
  <c r="Q17" i="93"/>
  <c r="U17" i="93" s="1"/>
  <c r="Q16" i="93"/>
  <c r="U16" i="93" s="1"/>
  <c r="Q15" i="93"/>
  <c r="D5" i="93"/>
  <c r="D4" i="93"/>
  <c r="U26" i="91"/>
  <c r="Q25" i="91"/>
  <c r="U25" i="91" s="1"/>
  <c r="Q24" i="91"/>
  <c r="U24" i="91" s="1"/>
  <c r="Q23" i="91"/>
  <c r="U23" i="91" s="1"/>
  <c r="Q22" i="91"/>
  <c r="U22" i="91" s="1"/>
  <c r="Q21" i="91"/>
  <c r="U21" i="91" s="1"/>
  <c r="Q17" i="91"/>
  <c r="U17" i="91" s="1"/>
  <c r="D5" i="91"/>
  <c r="D4" i="91"/>
  <c r="Q191" i="90"/>
  <c r="Q190" i="90"/>
  <c r="Q189" i="90"/>
  <c r="Q188" i="90"/>
  <c r="Q187" i="90"/>
  <c r="Q182" i="90"/>
  <c r="Q181" i="90"/>
  <c r="Q179" i="90"/>
  <c r="Q178" i="90"/>
  <c r="Q177" i="90"/>
  <c r="Q174" i="90"/>
  <c r="Q173" i="90"/>
  <c r="Q165" i="90"/>
  <c r="Q164" i="90"/>
  <c r="Q157" i="90"/>
  <c r="Q156" i="90"/>
  <c r="Q155" i="90"/>
  <c r="Q154" i="90"/>
  <c r="Q153" i="90"/>
  <c r="Q152" i="90"/>
  <c r="Q151" i="90"/>
  <c r="Q150" i="90"/>
  <c r="Q149" i="90"/>
  <c r="Q148" i="90"/>
  <c r="Q147" i="90"/>
  <c r="Q146" i="90"/>
  <c r="Q145" i="90"/>
  <c r="Q144" i="90"/>
  <c r="Q143" i="90"/>
  <c r="Q142" i="90"/>
  <c r="Q141" i="90"/>
  <c r="Q140" i="90"/>
  <c r="Q139" i="90"/>
  <c r="Q138" i="90"/>
  <c r="Q137" i="90"/>
  <c r="Q136" i="90"/>
  <c r="Q135" i="90"/>
  <c r="Q134" i="90"/>
  <c r="Q133" i="90"/>
  <c r="Q132" i="90"/>
  <c r="Q131" i="90"/>
  <c r="Q130" i="90"/>
  <c r="Q129" i="90"/>
  <c r="Q128" i="90"/>
  <c r="Q127" i="90"/>
  <c r="Q126" i="90"/>
  <c r="Q125" i="90"/>
  <c r="Q124" i="90"/>
  <c r="Q123" i="90"/>
  <c r="Q122" i="90"/>
  <c r="Q121" i="90"/>
  <c r="Q120" i="90"/>
  <c r="Q119" i="90"/>
  <c r="Q118" i="90"/>
  <c r="Q117" i="90"/>
  <c r="Q116" i="90"/>
  <c r="Q115" i="90"/>
  <c r="Q114" i="90"/>
  <c r="Q113" i="90"/>
  <c r="Q112" i="90"/>
  <c r="Q111" i="90"/>
  <c r="Q110" i="90"/>
  <c r="Q109" i="90"/>
  <c r="Q108" i="90"/>
  <c r="Q107" i="90"/>
  <c r="Q106" i="90"/>
  <c r="Q105" i="90"/>
  <c r="Q104" i="90"/>
  <c r="Q103" i="90"/>
  <c r="Q102" i="90"/>
  <c r="Q101" i="90"/>
  <c r="Q100" i="90"/>
  <c r="Q99" i="90"/>
  <c r="Q98" i="90"/>
  <c r="Q97" i="90"/>
  <c r="Q96" i="90"/>
  <c r="Q95" i="90"/>
  <c r="Q94" i="90"/>
  <c r="Q93" i="90"/>
  <c r="Q92" i="90"/>
  <c r="Q91" i="90"/>
  <c r="Q90" i="90"/>
  <c r="Q89" i="90"/>
  <c r="Q88" i="90"/>
  <c r="Q87" i="90"/>
  <c r="Q86" i="90"/>
  <c r="Q85" i="90"/>
  <c r="Q84" i="90"/>
  <c r="Q83" i="90"/>
  <c r="Q82" i="90"/>
  <c r="Q81" i="90"/>
  <c r="Q80" i="90"/>
  <c r="Q79" i="90"/>
  <c r="Q78" i="90"/>
  <c r="Q77" i="90"/>
  <c r="Q76" i="90"/>
  <c r="Q75" i="90"/>
  <c r="Q74" i="90"/>
  <c r="Q73" i="90"/>
  <c r="Q72" i="90"/>
  <c r="Q71" i="90"/>
  <c r="Q69" i="90"/>
  <c r="Q68" i="90"/>
  <c r="Q67" i="90"/>
  <c r="Q66" i="90"/>
  <c r="Q65" i="90"/>
  <c r="Q64" i="90"/>
  <c r="Q63" i="90"/>
  <c r="Q62" i="90"/>
  <c r="Q61" i="90"/>
  <c r="Q60" i="90"/>
  <c r="Q59" i="90"/>
  <c r="Q58" i="90"/>
  <c r="Q57" i="90"/>
  <c r="Q56" i="90"/>
  <c r="Q55" i="90"/>
  <c r="Q54" i="90"/>
  <c r="Q53" i="90"/>
  <c r="Q52" i="90"/>
  <c r="Q51" i="90"/>
  <c r="Q50" i="90"/>
  <c r="Q49" i="90"/>
  <c r="Q48" i="90"/>
  <c r="Q47" i="90"/>
  <c r="Q46" i="90"/>
  <c r="Q45" i="90"/>
  <c r="Q44" i="90"/>
  <c r="Q42" i="90"/>
  <c r="Q41" i="90"/>
  <c r="Q40" i="90"/>
  <c r="Q39" i="90"/>
  <c r="Q38" i="90"/>
  <c r="Q37" i="90"/>
  <c r="Q36" i="90"/>
  <c r="Q35" i="90"/>
  <c r="Q34" i="90"/>
  <c r="Q33" i="90"/>
  <c r="Q32" i="90"/>
  <c r="Q31" i="90"/>
  <c r="Q30" i="90"/>
  <c r="Q29" i="90"/>
  <c r="Q28" i="90"/>
  <c r="Q27" i="90"/>
  <c r="Q26" i="90"/>
  <c r="Q25" i="90"/>
  <c r="Q24" i="90"/>
  <c r="Q23" i="90"/>
  <c r="Q22" i="90"/>
  <c r="Q21" i="90"/>
  <c r="Q20" i="90"/>
  <c r="Q19" i="90"/>
  <c r="Q18" i="90"/>
  <c r="Q17" i="90"/>
  <c r="Q16" i="90"/>
  <c r="Q15" i="90"/>
  <c r="D5" i="90"/>
  <c r="D4" i="90"/>
  <c r="T197" i="143"/>
  <c r="Q192" i="143"/>
  <c r="T192" i="143" s="1"/>
  <c r="Q191" i="143"/>
  <c r="T191" i="143" s="1"/>
  <c r="Q190" i="143"/>
  <c r="Q189" i="143"/>
  <c r="Q188" i="143"/>
  <c r="T188" i="143" s="1"/>
  <c r="Q187" i="143"/>
  <c r="T187" i="143" s="1"/>
  <c r="Q184" i="143"/>
  <c r="Q183" i="143"/>
  <c r="T183" i="143" s="1"/>
  <c r="Q182" i="143"/>
  <c r="T182" i="143" s="1"/>
  <c r="Q181" i="143"/>
  <c r="T181" i="143" s="1"/>
  <c r="Q180" i="143"/>
  <c r="Q179" i="143"/>
  <c r="T179" i="143" s="1"/>
  <c r="Q178" i="143"/>
  <c r="T178" i="143" s="1"/>
  <c r="Q177" i="143"/>
  <c r="Q174" i="143"/>
  <c r="T174" i="143" s="1"/>
  <c r="Q173" i="143"/>
  <c r="T173" i="143" s="1"/>
  <c r="Q170" i="143"/>
  <c r="T170" i="143" s="1"/>
  <c r="Q169" i="143"/>
  <c r="Q165" i="143"/>
  <c r="T165" i="143" s="1"/>
  <c r="Q164" i="143"/>
  <c r="Q157" i="143"/>
  <c r="T157" i="143" s="1"/>
  <c r="Q156" i="143"/>
  <c r="T156" i="143" s="1"/>
  <c r="Q155" i="143"/>
  <c r="T155" i="143" s="1"/>
  <c r="Q154" i="143"/>
  <c r="T154" i="143" s="1"/>
  <c r="Q153" i="143"/>
  <c r="T153" i="143" s="1"/>
  <c r="Q152" i="143"/>
  <c r="T152" i="143" s="1"/>
  <c r="Q151" i="143"/>
  <c r="T151" i="143" s="1"/>
  <c r="Q150" i="143"/>
  <c r="T150" i="143" s="1"/>
  <c r="Q149" i="143"/>
  <c r="Q148" i="143"/>
  <c r="T148" i="143" s="1"/>
  <c r="Q147" i="143"/>
  <c r="T147" i="143" s="1"/>
  <c r="Q146" i="143"/>
  <c r="Q145" i="143"/>
  <c r="Q144" i="143"/>
  <c r="T144" i="143" s="1"/>
  <c r="Q143" i="143"/>
  <c r="T143" i="143" s="1"/>
  <c r="Q142" i="143"/>
  <c r="Q141" i="143"/>
  <c r="Q140" i="143"/>
  <c r="T140" i="143" s="1"/>
  <c r="Q139" i="143"/>
  <c r="T139" i="143" s="1"/>
  <c r="Q138" i="143"/>
  <c r="Q137" i="143"/>
  <c r="T137" i="143" s="1"/>
  <c r="Q136" i="143"/>
  <c r="T136" i="143" s="1"/>
  <c r="Q135" i="143"/>
  <c r="T135" i="143" s="1"/>
  <c r="Q134" i="143"/>
  <c r="Q133" i="143"/>
  <c r="Q132" i="143"/>
  <c r="T132" i="143" s="1"/>
  <c r="Q131" i="143"/>
  <c r="T131" i="143" s="1"/>
  <c r="Q130" i="143"/>
  <c r="Q129" i="143"/>
  <c r="T129" i="143" s="1"/>
  <c r="Q128" i="143"/>
  <c r="T128" i="143" s="1"/>
  <c r="Q127" i="143"/>
  <c r="T127" i="143" s="1"/>
  <c r="Q126" i="143"/>
  <c r="Q125" i="143"/>
  <c r="Q124" i="143"/>
  <c r="T124" i="143" s="1"/>
  <c r="Q123" i="143"/>
  <c r="T123" i="143" s="1"/>
  <c r="Q122" i="143"/>
  <c r="Q121" i="143"/>
  <c r="T121" i="143" s="1"/>
  <c r="Q120" i="143"/>
  <c r="T120" i="143" s="1"/>
  <c r="Q119" i="143"/>
  <c r="T119" i="143" s="1"/>
  <c r="Q118" i="143"/>
  <c r="T118" i="143" s="1"/>
  <c r="Q117" i="143"/>
  <c r="Q116" i="143"/>
  <c r="T116" i="143" s="1"/>
  <c r="Q115" i="143"/>
  <c r="T115" i="143" s="1"/>
  <c r="Q114" i="143"/>
  <c r="Q113" i="143"/>
  <c r="Q112" i="143"/>
  <c r="T112" i="143" s="1"/>
  <c r="Q111" i="143"/>
  <c r="T111" i="143" s="1"/>
  <c r="Q110" i="143"/>
  <c r="Q109" i="143"/>
  <c r="Q108" i="143"/>
  <c r="T108" i="143" s="1"/>
  <c r="Q107" i="143"/>
  <c r="T107" i="143" s="1"/>
  <c r="Q106" i="143"/>
  <c r="Q105" i="143"/>
  <c r="T105" i="143" s="1"/>
  <c r="Q104" i="143"/>
  <c r="T104" i="143" s="1"/>
  <c r="Q103" i="143"/>
  <c r="T103" i="143" s="1"/>
  <c r="Q102" i="143"/>
  <c r="T102" i="143" s="1"/>
  <c r="Q101" i="143"/>
  <c r="Q100" i="143"/>
  <c r="T100" i="143" s="1"/>
  <c r="Q99" i="143"/>
  <c r="T99" i="143" s="1"/>
  <c r="Q98" i="143"/>
  <c r="Q97" i="143"/>
  <c r="T97" i="143" s="1"/>
  <c r="Q96" i="143"/>
  <c r="T96" i="143" s="1"/>
  <c r="Q95" i="143"/>
  <c r="T95" i="143" s="1"/>
  <c r="Q94" i="143"/>
  <c r="Q93" i="143"/>
  <c r="Q92" i="143"/>
  <c r="T92" i="143" s="1"/>
  <c r="Q91" i="143"/>
  <c r="T91" i="143" s="1"/>
  <c r="Q90" i="143"/>
  <c r="Q89" i="143"/>
  <c r="T89" i="143" s="1"/>
  <c r="Q88" i="143"/>
  <c r="T88" i="143" s="1"/>
  <c r="Q87" i="143"/>
  <c r="T87" i="143" s="1"/>
  <c r="Q86" i="143"/>
  <c r="Q85" i="143"/>
  <c r="Q84" i="143"/>
  <c r="T84" i="143" s="1"/>
  <c r="Q83" i="143"/>
  <c r="T83" i="143" s="1"/>
  <c r="Q82" i="143"/>
  <c r="Q81" i="143"/>
  <c r="Q80" i="143"/>
  <c r="T80" i="143" s="1"/>
  <c r="Q79" i="143"/>
  <c r="T79" i="143" s="1"/>
  <c r="Q78" i="143"/>
  <c r="Q77" i="143"/>
  <c r="Q76" i="143"/>
  <c r="T76" i="143" s="1"/>
  <c r="Q75" i="143"/>
  <c r="T75" i="143" s="1"/>
  <c r="Q74" i="143"/>
  <c r="Q73" i="143"/>
  <c r="T73" i="143" s="1"/>
  <c r="Q72" i="143"/>
  <c r="T72" i="143" s="1"/>
  <c r="Q71" i="143"/>
  <c r="T71" i="143" s="1"/>
  <c r="Q69" i="143"/>
  <c r="Q68" i="143"/>
  <c r="T68" i="143" s="1"/>
  <c r="Q67" i="143"/>
  <c r="T67" i="143" s="1"/>
  <c r="Q66" i="143"/>
  <c r="T66" i="143" s="1"/>
  <c r="Q65" i="143"/>
  <c r="T65" i="143" s="1"/>
  <c r="Q64" i="143"/>
  <c r="T64" i="143" s="1"/>
  <c r="Q63" i="143"/>
  <c r="T63" i="143" s="1"/>
  <c r="Q62" i="143"/>
  <c r="T62" i="143" s="1"/>
  <c r="Q61" i="143"/>
  <c r="T61" i="143" s="1"/>
  <c r="Q60" i="143"/>
  <c r="T60" i="143" s="1"/>
  <c r="Q59" i="143"/>
  <c r="T59" i="143" s="1"/>
  <c r="Q58" i="143"/>
  <c r="T58" i="143" s="1"/>
  <c r="Q57" i="143"/>
  <c r="T57" i="143" s="1"/>
  <c r="Q56" i="143"/>
  <c r="T56" i="143" s="1"/>
  <c r="Q55" i="143"/>
  <c r="T55" i="143" s="1"/>
  <c r="Q54" i="143"/>
  <c r="T54" i="143" s="1"/>
  <c r="Q53" i="143"/>
  <c r="Q52" i="143"/>
  <c r="T52" i="143" s="1"/>
  <c r="Q51" i="143"/>
  <c r="T51" i="143" s="1"/>
  <c r="Q50" i="143"/>
  <c r="T50" i="143" s="1"/>
  <c r="Q49" i="143"/>
  <c r="T49" i="143" s="1"/>
  <c r="Q48" i="143"/>
  <c r="T48" i="143" s="1"/>
  <c r="Q47" i="143"/>
  <c r="T47" i="143" s="1"/>
  <c r="Q46" i="143"/>
  <c r="T46" i="143" s="1"/>
  <c r="Q45" i="143"/>
  <c r="T45" i="143" s="1"/>
  <c r="Q44" i="143"/>
  <c r="T44" i="143" s="1"/>
  <c r="Q43" i="143"/>
  <c r="T43" i="143" s="1"/>
  <c r="Q42" i="143"/>
  <c r="T42" i="143" s="1"/>
  <c r="Q41" i="143"/>
  <c r="T41" i="143" s="1"/>
  <c r="Q40" i="143"/>
  <c r="T40" i="143" s="1"/>
  <c r="Q39" i="143"/>
  <c r="T39" i="143" s="1"/>
  <c r="Q38" i="143"/>
  <c r="T38" i="143" s="1"/>
  <c r="Q37" i="143"/>
  <c r="Q36" i="143"/>
  <c r="T36" i="143" s="1"/>
  <c r="Q35" i="143"/>
  <c r="T35" i="143" s="1"/>
  <c r="Q34" i="143"/>
  <c r="T34" i="143" s="1"/>
  <c r="Q33" i="143"/>
  <c r="Q32" i="143"/>
  <c r="T32" i="143" s="1"/>
  <c r="Q31" i="143"/>
  <c r="T31" i="143" s="1"/>
  <c r="Q30" i="143"/>
  <c r="T30" i="143" s="1"/>
  <c r="Q29" i="143"/>
  <c r="Q28" i="143"/>
  <c r="T28" i="143" s="1"/>
  <c r="Q27" i="143"/>
  <c r="T27" i="143" s="1"/>
  <c r="Q26" i="143"/>
  <c r="T26" i="143" s="1"/>
  <c r="Q25" i="143"/>
  <c r="Q24" i="143"/>
  <c r="T24" i="143" s="1"/>
  <c r="Q23" i="143"/>
  <c r="T23" i="143" s="1"/>
  <c r="Q22" i="143"/>
  <c r="T22" i="143" s="1"/>
  <c r="Q21" i="143"/>
  <c r="Q20" i="143"/>
  <c r="T20" i="143" s="1"/>
  <c r="Q19" i="143"/>
  <c r="T19" i="143" s="1"/>
  <c r="Q18" i="143"/>
  <c r="T18" i="143" s="1"/>
  <c r="Q17" i="143"/>
  <c r="Q16" i="143"/>
  <c r="T16" i="143" s="1"/>
  <c r="Q15" i="143"/>
  <c r="T15" i="143" s="1"/>
  <c r="D5" i="143"/>
  <c r="D4" i="143"/>
  <c r="Q197" i="142"/>
  <c r="U197" i="142" s="1"/>
  <c r="Q191" i="142"/>
  <c r="U191" i="142" s="1"/>
  <c r="Q190" i="142"/>
  <c r="Q189" i="142"/>
  <c r="U189" i="142" s="1"/>
  <c r="Q188" i="142"/>
  <c r="U188" i="142" s="1"/>
  <c r="Q187" i="142"/>
  <c r="U187" i="142" s="1"/>
  <c r="Q184" i="142"/>
  <c r="U184" i="142" s="1"/>
  <c r="Q182" i="142"/>
  <c r="U182" i="142" s="1"/>
  <c r="Q181" i="142"/>
  <c r="Q180" i="142"/>
  <c r="U180" i="142" s="1"/>
  <c r="Q179" i="142"/>
  <c r="U179" i="142" s="1"/>
  <c r="Q178" i="142"/>
  <c r="U178" i="142" s="1"/>
  <c r="Q177" i="142"/>
  <c r="Q174" i="142"/>
  <c r="Q173" i="142"/>
  <c r="Q170" i="142"/>
  <c r="U170" i="142" s="1"/>
  <c r="Q169" i="142"/>
  <c r="U169" i="142" s="1"/>
  <c r="Q165" i="142"/>
  <c r="Q164" i="142"/>
  <c r="U164" i="142" s="1"/>
  <c r="Q157" i="142"/>
  <c r="U157" i="142" s="1"/>
  <c r="Q156" i="142"/>
  <c r="U156" i="142" s="1"/>
  <c r="Q155" i="142"/>
  <c r="Q154" i="142"/>
  <c r="U154" i="142" s="1"/>
  <c r="Q153" i="142"/>
  <c r="U153" i="142" s="1"/>
  <c r="Q152" i="142"/>
  <c r="U152" i="142" s="1"/>
  <c r="Q151" i="142"/>
  <c r="Q150" i="142"/>
  <c r="U150" i="142" s="1"/>
  <c r="Q149" i="142"/>
  <c r="U149" i="142" s="1"/>
  <c r="Q148" i="142"/>
  <c r="Q147" i="142"/>
  <c r="Q146" i="142"/>
  <c r="U146" i="142" s="1"/>
  <c r="Q145" i="142"/>
  <c r="U145" i="142" s="1"/>
  <c r="Q144" i="142"/>
  <c r="U144" i="142" s="1"/>
  <c r="Q143" i="142"/>
  <c r="Q142" i="142"/>
  <c r="U142" i="142" s="1"/>
  <c r="Q141" i="142"/>
  <c r="U141" i="142" s="1"/>
  <c r="Q140" i="142"/>
  <c r="U140" i="142" s="1"/>
  <c r="Q139" i="142"/>
  <c r="Q138" i="142"/>
  <c r="U138" i="142" s="1"/>
  <c r="Q137" i="142"/>
  <c r="U137" i="142" s="1"/>
  <c r="Q136" i="142"/>
  <c r="U136" i="142" s="1"/>
  <c r="Q135" i="142"/>
  <c r="Q134" i="142"/>
  <c r="U134" i="142" s="1"/>
  <c r="Q133" i="142"/>
  <c r="U133" i="142" s="1"/>
  <c r="Q132" i="142"/>
  <c r="Q131" i="142"/>
  <c r="Q130" i="142"/>
  <c r="U130" i="142" s="1"/>
  <c r="Q129" i="142"/>
  <c r="U129" i="142" s="1"/>
  <c r="Q128" i="142"/>
  <c r="U128" i="142" s="1"/>
  <c r="Q127" i="142"/>
  <c r="Q126" i="142"/>
  <c r="U126" i="142" s="1"/>
  <c r="Q125" i="142"/>
  <c r="U125" i="142" s="1"/>
  <c r="Q124" i="142"/>
  <c r="U124" i="142" s="1"/>
  <c r="Q123" i="142"/>
  <c r="Q122" i="142"/>
  <c r="U122" i="142" s="1"/>
  <c r="Q121" i="142"/>
  <c r="U121" i="142" s="1"/>
  <c r="Q120" i="142"/>
  <c r="U120" i="142" s="1"/>
  <c r="Q119" i="142"/>
  <c r="Q118" i="142"/>
  <c r="U118" i="142" s="1"/>
  <c r="Q117" i="142"/>
  <c r="U117" i="142" s="1"/>
  <c r="Q116" i="142"/>
  <c r="Q115" i="142"/>
  <c r="Q114" i="142"/>
  <c r="U114" i="142" s="1"/>
  <c r="Q113" i="142"/>
  <c r="U113" i="142" s="1"/>
  <c r="Q112" i="142"/>
  <c r="U112" i="142" s="1"/>
  <c r="Q111" i="142"/>
  <c r="Q110" i="142"/>
  <c r="U110" i="142" s="1"/>
  <c r="Q109" i="142"/>
  <c r="U109" i="142" s="1"/>
  <c r="Q108" i="142"/>
  <c r="U108" i="142" s="1"/>
  <c r="Q107" i="142"/>
  <c r="Q106" i="142"/>
  <c r="U106" i="142" s="1"/>
  <c r="Q105" i="142"/>
  <c r="U105" i="142" s="1"/>
  <c r="Q104" i="142"/>
  <c r="U104" i="142" s="1"/>
  <c r="Q103" i="142"/>
  <c r="Q102" i="142"/>
  <c r="U102" i="142" s="1"/>
  <c r="Q101" i="142"/>
  <c r="U101" i="142" s="1"/>
  <c r="Q100" i="142"/>
  <c r="Q99" i="142"/>
  <c r="Q98" i="142"/>
  <c r="U98" i="142" s="1"/>
  <c r="Q97" i="142"/>
  <c r="U97" i="142" s="1"/>
  <c r="Q96" i="142"/>
  <c r="U96" i="142" s="1"/>
  <c r="Q95" i="142"/>
  <c r="Q94" i="142"/>
  <c r="U94" i="142" s="1"/>
  <c r="Q93" i="142"/>
  <c r="U93" i="142" s="1"/>
  <c r="Q92" i="142"/>
  <c r="U92" i="142" s="1"/>
  <c r="Q91" i="142"/>
  <c r="Q90" i="142"/>
  <c r="U90" i="142" s="1"/>
  <c r="Q89" i="142"/>
  <c r="U89" i="142" s="1"/>
  <c r="Q88" i="142"/>
  <c r="U88" i="142" s="1"/>
  <c r="Q87" i="142"/>
  <c r="Q86" i="142"/>
  <c r="U86" i="142" s="1"/>
  <c r="Q85" i="142"/>
  <c r="U85" i="142" s="1"/>
  <c r="Q84" i="142"/>
  <c r="Q83" i="142"/>
  <c r="Q82" i="142"/>
  <c r="U82" i="142" s="1"/>
  <c r="Q81" i="142"/>
  <c r="U81" i="142" s="1"/>
  <c r="Q80" i="142"/>
  <c r="U80" i="142" s="1"/>
  <c r="Q79" i="142"/>
  <c r="Q78" i="142"/>
  <c r="U78" i="142" s="1"/>
  <c r="Q77" i="142"/>
  <c r="U77" i="142" s="1"/>
  <c r="Q76" i="142"/>
  <c r="U76" i="142" s="1"/>
  <c r="Q75" i="142"/>
  <c r="Q74" i="142"/>
  <c r="U74" i="142" s="1"/>
  <c r="Q73" i="142"/>
  <c r="U73" i="142" s="1"/>
  <c r="Q72" i="142"/>
  <c r="U72" i="142" s="1"/>
  <c r="Q71" i="142"/>
  <c r="Q69" i="142"/>
  <c r="U69" i="142" s="1"/>
  <c r="Q68" i="142"/>
  <c r="U68" i="142" s="1"/>
  <c r="Q67" i="142"/>
  <c r="Q66" i="142"/>
  <c r="U66" i="142" s="1"/>
  <c r="Q65" i="142"/>
  <c r="U65" i="142" s="1"/>
  <c r="Q64" i="142"/>
  <c r="U64" i="142" s="1"/>
  <c r="Q63" i="142"/>
  <c r="Q62" i="142"/>
  <c r="U62" i="142" s="1"/>
  <c r="Q61" i="142"/>
  <c r="U61" i="142" s="1"/>
  <c r="Q60" i="142"/>
  <c r="U60" i="142" s="1"/>
  <c r="Q59" i="142"/>
  <c r="Q58" i="142"/>
  <c r="U58" i="142" s="1"/>
  <c r="Q57" i="142"/>
  <c r="U57" i="142" s="1"/>
  <c r="Q56" i="142"/>
  <c r="U56" i="142" s="1"/>
  <c r="Q55" i="142"/>
  <c r="U55" i="142" s="1"/>
  <c r="Q54" i="142"/>
  <c r="U54" i="142" s="1"/>
  <c r="Q53" i="142"/>
  <c r="U53" i="142" s="1"/>
  <c r="Q52" i="142"/>
  <c r="U52" i="142" s="1"/>
  <c r="Q51" i="142"/>
  <c r="Q50" i="142"/>
  <c r="U50" i="142" s="1"/>
  <c r="Q49" i="142"/>
  <c r="U49" i="142" s="1"/>
  <c r="Q48" i="142"/>
  <c r="U48" i="142" s="1"/>
  <c r="Q47" i="142"/>
  <c r="Q46" i="142"/>
  <c r="U46" i="142" s="1"/>
  <c r="Q45" i="142"/>
  <c r="U45" i="142" s="1"/>
  <c r="Q44" i="142"/>
  <c r="U44" i="142" s="1"/>
  <c r="Q42" i="142"/>
  <c r="U42" i="142" s="1"/>
  <c r="Q41" i="142"/>
  <c r="U41" i="142" s="1"/>
  <c r="Q40" i="142"/>
  <c r="U40" i="142" s="1"/>
  <c r="Q39" i="142"/>
  <c r="Q38" i="142"/>
  <c r="U38" i="142" s="1"/>
  <c r="Q37" i="142"/>
  <c r="U37" i="142" s="1"/>
  <c r="Q36" i="142"/>
  <c r="U36" i="142" s="1"/>
  <c r="Q35" i="142"/>
  <c r="Q34" i="142"/>
  <c r="U34" i="142" s="1"/>
  <c r="Q33" i="142"/>
  <c r="U33" i="142" s="1"/>
  <c r="Q32" i="142"/>
  <c r="U32" i="142" s="1"/>
  <c r="Q31" i="142"/>
  <c r="Q30" i="142"/>
  <c r="U30" i="142" s="1"/>
  <c r="Q29" i="142"/>
  <c r="U29" i="142" s="1"/>
  <c r="Q28" i="142"/>
  <c r="U28" i="142" s="1"/>
  <c r="Q27" i="142"/>
  <c r="Q26" i="142"/>
  <c r="U26" i="142" s="1"/>
  <c r="Q25" i="142"/>
  <c r="U25" i="142" s="1"/>
  <c r="Q24" i="142"/>
  <c r="U24" i="142" s="1"/>
  <c r="Q23" i="142"/>
  <c r="Q22" i="142"/>
  <c r="U22" i="142" s="1"/>
  <c r="Q21" i="142"/>
  <c r="U21" i="142" s="1"/>
  <c r="Q20" i="142"/>
  <c r="U20" i="142" s="1"/>
  <c r="Q19" i="142"/>
  <c r="Q18" i="142"/>
  <c r="U18" i="142" s="1"/>
  <c r="Q17" i="142"/>
  <c r="U17" i="142" s="1"/>
  <c r="Q16" i="142"/>
  <c r="U16" i="142" s="1"/>
  <c r="Q15" i="142"/>
  <c r="D5" i="142"/>
  <c r="D4" i="142"/>
  <c r="S197" i="140"/>
  <c r="S195" i="140"/>
  <c r="S194" i="140"/>
  <c r="S193" i="140"/>
  <c r="S192" i="140"/>
  <c r="S191" i="140"/>
  <c r="Q191" i="140"/>
  <c r="S190" i="140"/>
  <c r="Q190" i="140"/>
  <c r="S189" i="140"/>
  <c r="Q189" i="140"/>
  <c r="S188" i="140"/>
  <c r="Q188" i="140"/>
  <c r="S187" i="140"/>
  <c r="Q187" i="140"/>
  <c r="S185" i="140"/>
  <c r="S184" i="140"/>
  <c r="Q184" i="140"/>
  <c r="S183" i="140"/>
  <c r="S182" i="140"/>
  <c r="Q182" i="140"/>
  <c r="S181" i="140"/>
  <c r="Q181" i="140"/>
  <c r="S180" i="140"/>
  <c r="Q180" i="140"/>
  <c r="S179" i="140"/>
  <c r="Q179" i="140"/>
  <c r="S178" i="140"/>
  <c r="Q178" i="140"/>
  <c r="S177" i="140"/>
  <c r="Q177" i="140"/>
  <c r="S175" i="140"/>
  <c r="S174" i="140"/>
  <c r="T174" i="140" s="1"/>
  <c r="S173" i="140"/>
  <c r="T173" i="140" s="1"/>
  <c r="S170" i="140"/>
  <c r="T170" i="140" s="1"/>
  <c r="S169" i="140"/>
  <c r="S168" i="140"/>
  <c r="S166" i="140"/>
  <c r="S165" i="140"/>
  <c r="Q165" i="140"/>
  <c r="S164" i="140"/>
  <c r="Q164" i="140"/>
  <c r="Q157" i="140"/>
  <c r="T157" i="140" s="1"/>
  <c r="Q156" i="140"/>
  <c r="Q155" i="140"/>
  <c r="T155" i="140" s="1"/>
  <c r="Q154" i="140"/>
  <c r="T154" i="140" s="1"/>
  <c r="Q153" i="140"/>
  <c r="T153" i="140" s="1"/>
  <c r="Q152" i="140"/>
  <c r="Q151" i="140"/>
  <c r="T151" i="140" s="1"/>
  <c r="Q150" i="140"/>
  <c r="T150" i="140" s="1"/>
  <c r="Q149" i="140"/>
  <c r="T149" i="140" s="1"/>
  <c r="Q148" i="140"/>
  <c r="T148" i="140" s="1"/>
  <c r="Q147" i="140"/>
  <c r="T147" i="140" s="1"/>
  <c r="Q146" i="140"/>
  <c r="T146" i="140" s="1"/>
  <c r="Q145" i="140"/>
  <c r="T145" i="140" s="1"/>
  <c r="Q144" i="140"/>
  <c r="Q143" i="140"/>
  <c r="T143" i="140" s="1"/>
  <c r="Q142" i="140"/>
  <c r="T142" i="140" s="1"/>
  <c r="Q141" i="140"/>
  <c r="T141" i="140" s="1"/>
  <c r="Q140" i="140"/>
  <c r="Q139" i="140"/>
  <c r="T139" i="140" s="1"/>
  <c r="Q138" i="140"/>
  <c r="T138" i="140" s="1"/>
  <c r="Q137" i="140"/>
  <c r="T137" i="140" s="1"/>
  <c r="Q136" i="140"/>
  <c r="T136" i="140" s="1"/>
  <c r="Q135" i="140"/>
  <c r="T135" i="140" s="1"/>
  <c r="Q134" i="140"/>
  <c r="T134" i="140" s="1"/>
  <c r="Q133" i="140"/>
  <c r="T133" i="140" s="1"/>
  <c r="Q132" i="140"/>
  <c r="T132" i="140" s="1"/>
  <c r="Q131" i="140"/>
  <c r="T131" i="140" s="1"/>
  <c r="Q130" i="140"/>
  <c r="T130" i="140" s="1"/>
  <c r="Q129" i="140"/>
  <c r="T129" i="140" s="1"/>
  <c r="Q128" i="140"/>
  <c r="T128" i="140" s="1"/>
  <c r="Q127" i="140"/>
  <c r="T127" i="140"/>
  <c r="Q126" i="140"/>
  <c r="T126" i="140" s="1"/>
  <c r="Q125" i="140"/>
  <c r="T125" i="140" s="1"/>
  <c r="Q124" i="140"/>
  <c r="T124" i="140" s="1"/>
  <c r="Q123" i="140"/>
  <c r="T123" i="140" s="1"/>
  <c r="Q122" i="140"/>
  <c r="T122" i="140" s="1"/>
  <c r="Q121" i="140"/>
  <c r="T121" i="140" s="1"/>
  <c r="Q120" i="140"/>
  <c r="T120" i="140" s="1"/>
  <c r="Q119" i="140"/>
  <c r="T119" i="140" s="1"/>
  <c r="Q118" i="140"/>
  <c r="T118" i="140" s="1"/>
  <c r="Q117" i="140"/>
  <c r="T117" i="140" s="1"/>
  <c r="Q116" i="140"/>
  <c r="T116" i="140" s="1"/>
  <c r="Q115" i="140"/>
  <c r="T115" i="140" s="1"/>
  <c r="Q114" i="140"/>
  <c r="T114" i="140" s="1"/>
  <c r="Q113" i="140"/>
  <c r="T113" i="140" s="1"/>
  <c r="Q112" i="140"/>
  <c r="T112" i="140" s="1"/>
  <c r="Q111" i="140"/>
  <c r="T111" i="140" s="1"/>
  <c r="Q110" i="140"/>
  <c r="T110" i="140" s="1"/>
  <c r="Q109" i="140"/>
  <c r="T109" i="140" s="1"/>
  <c r="Q108" i="140"/>
  <c r="T108" i="140" s="1"/>
  <c r="Q107" i="140"/>
  <c r="T107" i="140" s="1"/>
  <c r="Q106" i="140"/>
  <c r="T106" i="140" s="1"/>
  <c r="Q105" i="140"/>
  <c r="T105" i="140" s="1"/>
  <c r="Q104" i="140"/>
  <c r="T104" i="140" s="1"/>
  <c r="Q103" i="140"/>
  <c r="T103" i="140" s="1"/>
  <c r="Q102" i="140"/>
  <c r="T102" i="140" s="1"/>
  <c r="Q101" i="140"/>
  <c r="T101" i="140" s="1"/>
  <c r="Q100" i="140"/>
  <c r="T100" i="140" s="1"/>
  <c r="Q99" i="140"/>
  <c r="T99" i="140" s="1"/>
  <c r="Q98" i="140"/>
  <c r="T98" i="140" s="1"/>
  <c r="Q97" i="140"/>
  <c r="T97" i="140" s="1"/>
  <c r="Q96" i="140"/>
  <c r="T96" i="140" s="1"/>
  <c r="Q95" i="140"/>
  <c r="T95" i="140" s="1"/>
  <c r="Q94" i="140"/>
  <c r="T94" i="140" s="1"/>
  <c r="Q93" i="140"/>
  <c r="T93" i="140" s="1"/>
  <c r="Q92" i="140"/>
  <c r="Q91" i="140"/>
  <c r="Q90" i="140"/>
  <c r="T90" i="140" s="1"/>
  <c r="Q89" i="140"/>
  <c r="Q88" i="140"/>
  <c r="T88" i="140" s="1"/>
  <c r="Q86" i="140"/>
  <c r="Q85" i="140"/>
  <c r="T85" i="140" s="1"/>
  <c r="Q84" i="140"/>
  <c r="T84" i="140" s="1"/>
  <c r="Q83" i="140"/>
  <c r="T83" i="140" s="1"/>
  <c r="Q82" i="140"/>
  <c r="T82" i="140" s="1"/>
  <c r="Q81" i="140"/>
  <c r="T81" i="140" s="1"/>
  <c r="Q80" i="140"/>
  <c r="Q79" i="140"/>
  <c r="T79" i="140" s="1"/>
  <c r="Q78" i="140"/>
  <c r="T78" i="140" s="1"/>
  <c r="Q77" i="140"/>
  <c r="T77" i="140" s="1"/>
  <c r="Q76" i="140"/>
  <c r="T76" i="140" s="1"/>
  <c r="Q75" i="140"/>
  <c r="Q74" i="140"/>
  <c r="T74" i="140" s="1"/>
  <c r="Q73" i="140"/>
  <c r="T73" i="140" s="1"/>
  <c r="Q72" i="140"/>
  <c r="Q71" i="140"/>
  <c r="Q69" i="140"/>
  <c r="T69" i="140" s="1"/>
  <c r="Q68" i="140"/>
  <c r="T68" i="140" s="1"/>
  <c r="Q67" i="140"/>
  <c r="T67" i="140" s="1"/>
  <c r="Q66" i="140"/>
  <c r="T66" i="140" s="1"/>
  <c r="Q65" i="140"/>
  <c r="T65" i="140" s="1"/>
  <c r="Q64" i="140"/>
  <c r="T64" i="140" s="1"/>
  <c r="Q63" i="140"/>
  <c r="T63" i="140" s="1"/>
  <c r="Q62" i="140"/>
  <c r="T62" i="140" s="1"/>
  <c r="Q61" i="140"/>
  <c r="T61" i="140" s="1"/>
  <c r="Q60" i="140"/>
  <c r="T60" i="140" s="1"/>
  <c r="Q59" i="140"/>
  <c r="T59" i="140" s="1"/>
  <c r="Q58" i="140"/>
  <c r="T58" i="140" s="1"/>
  <c r="Q57" i="140"/>
  <c r="T57" i="140" s="1"/>
  <c r="Q56" i="140"/>
  <c r="T56" i="140" s="1"/>
  <c r="Q55" i="140"/>
  <c r="T55" i="140" s="1"/>
  <c r="Q54" i="140"/>
  <c r="T54" i="140" s="1"/>
  <c r="Q53" i="140"/>
  <c r="T53" i="140" s="1"/>
  <c r="Q52" i="140"/>
  <c r="T52" i="140" s="1"/>
  <c r="Q51" i="140"/>
  <c r="T51" i="140" s="1"/>
  <c r="Q50" i="140"/>
  <c r="T50" i="140" s="1"/>
  <c r="Q49" i="140"/>
  <c r="T49" i="140" s="1"/>
  <c r="Q48" i="140"/>
  <c r="T48" i="140" s="1"/>
  <c r="Q47" i="140"/>
  <c r="T47" i="140" s="1"/>
  <c r="Q46" i="140"/>
  <c r="T46" i="140" s="1"/>
  <c r="Q45" i="140"/>
  <c r="T45" i="140" s="1"/>
  <c r="Q44" i="140"/>
  <c r="T44" i="140" s="1"/>
  <c r="Q42" i="140"/>
  <c r="T42" i="140" s="1"/>
  <c r="Q41" i="140"/>
  <c r="T41" i="140" s="1"/>
  <c r="Q40" i="140"/>
  <c r="T40" i="140" s="1"/>
  <c r="Q39" i="140"/>
  <c r="T39" i="140" s="1"/>
  <c r="Q38" i="140"/>
  <c r="T38" i="140" s="1"/>
  <c r="Q37" i="140"/>
  <c r="T37" i="140" s="1"/>
  <c r="Q36" i="140"/>
  <c r="T36" i="140" s="1"/>
  <c r="Q35" i="140"/>
  <c r="T35" i="140" s="1"/>
  <c r="Q34" i="140"/>
  <c r="T34" i="140" s="1"/>
  <c r="Q33" i="140"/>
  <c r="T33" i="140" s="1"/>
  <c r="Q32" i="140"/>
  <c r="T32" i="140" s="1"/>
  <c r="Q31" i="140"/>
  <c r="T31" i="140" s="1"/>
  <c r="Q30" i="140"/>
  <c r="T30" i="140" s="1"/>
  <c r="Q29" i="140"/>
  <c r="T29" i="140" s="1"/>
  <c r="Q28" i="140"/>
  <c r="T28" i="140" s="1"/>
  <c r="Q27" i="140"/>
  <c r="T27" i="140" s="1"/>
  <c r="Q26" i="140"/>
  <c r="T26" i="140" s="1"/>
  <c r="Q25" i="140"/>
  <c r="T25" i="140" s="1"/>
  <c r="Q24" i="140"/>
  <c r="T24" i="140" s="1"/>
  <c r="Q23" i="140"/>
  <c r="T23" i="140" s="1"/>
  <c r="Q22" i="140"/>
  <c r="T22" i="140" s="1"/>
  <c r="Q21" i="140"/>
  <c r="T21" i="140" s="1"/>
  <c r="Q20" i="140"/>
  <c r="T20" i="140" s="1"/>
  <c r="Q19" i="140"/>
  <c r="Q18" i="140"/>
  <c r="T18" i="140" s="1"/>
  <c r="Q17" i="140"/>
  <c r="T17" i="140" s="1"/>
  <c r="Q16" i="140"/>
  <c r="T16" i="140" s="1"/>
  <c r="Q15" i="140"/>
  <c r="T15" i="140" s="1"/>
  <c r="D5" i="140"/>
  <c r="D4" i="140"/>
  <c r="T197" i="139"/>
  <c r="Q191" i="139"/>
  <c r="Q190" i="139"/>
  <c r="T190" i="139" s="1"/>
  <c r="Q189" i="139"/>
  <c r="T189" i="139" s="1"/>
  <c r="Q188" i="139"/>
  <c r="T188" i="139" s="1"/>
  <c r="Q187" i="139"/>
  <c r="Q170" i="139"/>
  <c r="T170" i="139" s="1"/>
  <c r="T167" i="139"/>
  <c r="N165" i="83"/>
  <c r="Q164" i="139"/>
  <c r="T164" i="139" s="1"/>
  <c r="Q157" i="139"/>
  <c r="T157" i="139" s="1"/>
  <c r="Q156" i="139"/>
  <c r="T156" i="139" s="1"/>
  <c r="Q155" i="139"/>
  <c r="T155" i="139" s="1"/>
  <c r="Q154" i="139"/>
  <c r="Q153" i="139"/>
  <c r="T153" i="139" s="1"/>
  <c r="Q152" i="139"/>
  <c r="T152" i="139" s="1"/>
  <c r="Q151" i="139"/>
  <c r="T151" i="139" s="1"/>
  <c r="Q150" i="139"/>
  <c r="Q149" i="139"/>
  <c r="T149" i="139" s="1"/>
  <c r="Q148" i="139"/>
  <c r="T148" i="139" s="1"/>
  <c r="Q147" i="139"/>
  <c r="T147" i="139" s="1"/>
  <c r="Q146" i="139"/>
  <c r="Q145" i="139"/>
  <c r="T145" i="139" s="1"/>
  <c r="Q144" i="139"/>
  <c r="T144" i="139" s="1"/>
  <c r="Q143" i="139"/>
  <c r="T143" i="139" s="1"/>
  <c r="Q142" i="139"/>
  <c r="Q141" i="139"/>
  <c r="T141" i="139"/>
  <c r="Q140" i="139"/>
  <c r="T140" i="139" s="1"/>
  <c r="Q139" i="139"/>
  <c r="T139" i="139" s="1"/>
  <c r="Q138" i="139"/>
  <c r="Q137" i="139"/>
  <c r="T137" i="139" s="1"/>
  <c r="Q136" i="139"/>
  <c r="T136" i="139" s="1"/>
  <c r="Q135" i="139"/>
  <c r="T135" i="139" s="1"/>
  <c r="Q134" i="139"/>
  <c r="Q133" i="139"/>
  <c r="T133" i="139" s="1"/>
  <c r="Q132" i="139"/>
  <c r="T132" i="139" s="1"/>
  <c r="Q131" i="139"/>
  <c r="T131" i="139" s="1"/>
  <c r="Q130" i="139"/>
  <c r="Q129" i="139"/>
  <c r="T129" i="139" s="1"/>
  <c r="Q128" i="139"/>
  <c r="T128" i="139" s="1"/>
  <c r="Q127" i="139"/>
  <c r="T127" i="139" s="1"/>
  <c r="Q126" i="139"/>
  <c r="Q125" i="139"/>
  <c r="T125" i="139" s="1"/>
  <c r="Q124" i="139"/>
  <c r="T124" i="139" s="1"/>
  <c r="Q123" i="139"/>
  <c r="T123" i="139" s="1"/>
  <c r="Q122" i="139"/>
  <c r="Q121" i="139"/>
  <c r="T121" i="139" s="1"/>
  <c r="Q120" i="139"/>
  <c r="T120" i="139" s="1"/>
  <c r="Q119" i="139"/>
  <c r="T119" i="139" s="1"/>
  <c r="Q118" i="139"/>
  <c r="T118" i="139" s="1"/>
  <c r="Q117" i="139"/>
  <c r="T117" i="139" s="1"/>
  <c r="Q116" i="139"/>
  <c r="T116" i="139" s="1"/>
  <c r="Q115" i="139"/>
  <c r="T115" i="139" s="1"/>
  <c r="Q114" i="139"/>
  <c r="Q113" i="139"/>
  <c r="T113" i="139" s="1"/>
  <c r="Q112" i="139"/>
  <c r="T112" i="139" s="1"/>
  <c r="Q111" i="139"/>
  <c r="T111" i="139" s="1"/>
  <c r="Q110" i="139"/>
  <c r="Q109" i="139"/>
  <c r="T109" i="139" s="1"/>
  <c r="Q108" i="139"/>
  <c r="T108" i="139" s="1"/>
  <c r="Q107" i="139"/>
  <c r="T107" i="139" s="1"/>
  <c r="Q106" i="139"/>
  <c r="Q105" i="139"/>
  <c r="T105" i="139" s="1"/>
  <c r="Q104" i="139"/>
  <c r="T104" i="139" s="1"/>
  <c r="Q103" i="139"/>
  <c r="T103" i="139" s="1"/>
  <c r="Q102" i="139"/>
  <c r="T102" i="139" s="1"/>
  <c r="Q101" i="139"/>
  <c r="T101" i="139" s="1"/>
  <c r="Q100" i="139"/>
  <c r="T100" i="139" s="1"/>
  <c r="Q99" i="139"/>
  <c r="T99" i="139" s="1"/>
  <c r="Q98" i="139"/>
  <c r="Q97" i="139"/>
  <c r="T97" i="139" s="1"/>
  <c r="Q96" i="139"/>
  <c r="T96" i="139" s="1"/>
  <c r="Q95" i="139"/>
  <c r="T95" i="139" s="1"/>
  <c r="Q94" i="139"/>
  <c r="Q93" i="139"/>
  <c r="T93" i="139" s="1"/>
  <c r="Q92" i="139"/>
  <c r="T92" i="139" s="1"/>
  <c r="Q91" i="139"/>
  <c r="T91" i="139" s="1"/>
  <c r="Q90" i="139"/>
  <c r="Q89" i="139"/>
  <c r="T89" i="139" s="1"/>
  <c r="Q88" i="139"/>
  <c r="T88" i="139" s="1"/>
  <c r="Q87" i="139"/>
  <c r="T87" i="139" s="1"/>
  <c r="Q86" i="139"/>
  <c r="Q85" i="139"/>
  <c r="T85" i="139" s="1"/>
  <c r="Q84" i="139"/>
  <c r="T84" i="139" s="1"/>
  <c r="Q83" i="139"/>
  <c r="T83" i="139" s="1"/>
  <c r="Q82" i="139"/>
  <c r="Q81" i="139"/>
  <c r="T81" i="139" s="1"/>
  <c r="Q80" i="139"/>
  <c r="T80" i="139" s="1"/>
  <c r="Q79" i="139"/>
  <c r="T79" i="139" s="1"/>
  <c r="Q78" i="139"/>
  <c r="Q77" i="139"/>
  <c r="T77" i="139" s="1"/>
  <c r="Q76" i="139"/>
  <c r="T76" i="139" s="1"/>
  <c r="Q75" i="139"/>
  <c r="T75" i="139" s="1"/>
  <c r="Q74" i="139"/>
  <c r="T74" i="139" s="1"/>
  <c r="Q73" i="139"/>
  <c r="T73" i="139" s="1"/>
  <c r="Q72" i="139"/>
  <c r="T72" i="139" s="1"/>
  <c r="Q71" i="139"/>
  <c r="T71" i="139" s="1"/>
  <c r="Q69" i="139"/>
  <c r="T69" i="139" s="1"/>
  <c r="Q68" i="139"/>
  <c r="T68" i="139" s="1"/>
  <c r="Q67" i="139"/>
  <c r="T67" i="139" s="1"/>
  <c r="Q66" i="139"/>
  <c r="Q65" i="139"/>
  <c r="T65" i="139" s="1"/>
  <c r="Q64" i="139"/>
  <c r="T64" i="139" s="1"/>
  <c r="Q63" i="139"/>
  <c r="T63" i="139" s="1"/>
  <c r="Q62" i="139"/>
  <c r="T62" i="139" s="1"/>
  <c r="Q61" i="139"/>
  <c r="T61" i="139" s="1"/>
  <c r="Q60" i="139"/>
  <c r="T60" i="139" s="1"/>
  <c r="Q59" i="139"/>
  <c r="T59" i="139" s="1"/>
  <c r="Q58" i="139"/>
  <c r="Q57" i="139"/>
  <c r="T57" i="139" s="1"/>
  <c r="Q56" i="139"/>
  <c r="T56" i="139" s="1"/>
  <c r="Q55" i="139"/>
  <c r="T55" i="139" s="1"/>
  <c r="Q54" i="139"/>
  <c r="Q53" i="139"/>
  <c r="T53" i="139" s="1"/>
  <c r="Q52" i="139"/>
  <c r="T52" i="139" s="1"/>
  <c r="Q51" i="139"/>
  <c r="T51" i="139" s="1"/>
  <c r="Q50" i="139"/>
  <c r="Q49" i="139"/>
  <c r="T49" i="139" s="1"/>
  <c r="Q48" i="139"/>
  <c r="T48" i="139" s="1"/>
  <c r="Q47" i="139"/>
  <c r="T47" i="139" s="1"/>
  <c r="Q46" i="139"/>
  <c r="Q45" i="139"/>
  <c r="T45" i="139" s="1"/>
  <c r="Q44" i="139"/>
  <c r="T44" i="139" s="1"/>
  <c r="Q42" i="139"/>
  <c r="Q41" i="139"/>
  <c r="T41" i="139" s="1"/>
  <c r="Q40" i="139"/>
  <c r="T40" i="139" s="1"/>
  <c r="Q39" i="139"/>
  <c r="T39" i="139" s="1"/>
  <c r="Q38" i="139"/>
  <c r="Q37" i="139"/>
  <c r="T37" i="139" s="1"/>
  <c r="Q36" i="139"/>
  <c r="T36" i="139" s="1"/>
  <c r="Q35" i="139"/>
  <c r="T35" i="139" s="1"/>
  <c r="Q34" i="139"/>
  <c r="Q33" i="139"/>
  <c r="T33" i="139" s="1"/>
  <c r="Q32" i="139"/>
  <c r="T32" i="139" s="1"/>
  <c r="Q31" i="139"/>
  <c r="T31" i="139" s="1"/>
  <c r="Q30" i="139"/>
  <c r="Q29" i="139"/>
  <c r="T29" i="139" s="1"/>
  <c r="Q28" i="139"/>
  <c r="T28" i="139" s="1"/>
  <c r="Q27" i="139"/>
  <c r="T27" i="139" s="1"/>
  <c r="Q26" i="139"/>
  <c r="Q25" i="139"/>
  <c r="T25" i="139" s="1"/>
  <c r="Q24" i="139"/>
  <c r="T24" i="139" s="1"/>
  <c r="Q23" i="139"/>
  <c r="T23" i="139" s="1"/>
  <c r="Q22" i="139"/>
  <c r="Q21" i="139"/>
  <c r="T21" i="139" s="1"/>
  <c r="Q20" i="139"/>
  <c r="T20" i="139" s="1"/>
  <c r="Q19" i="139"/>
  <c r="T19" i="139" s="1"/>
  <c r="Q18" i="139"/>
  <c r="Q17" i="139"/>
  <c r="T17" i="139" s="1"/>
  <c r="Q16" i="139"/>
  <c r="T16" i="139" s="1"/>
  <c r="Q15" i="139"/>
  <c r="T15" i="139" s="1"/>
  <c r="D5" i="139"/>
  <c r="D4" i="139"/>
  <c r="O193" i="83"/>
  <c r="G193" i="83"/>
  <c r="P192" i="83"/>
  <c r="O192" i="83"/>
  <c r="N192" i="83"/>
  <c r="M192" i="83"/>
  <c r="L192" i="83"/>
  <c r="K192" i="83"/>
  <c r="J192" i="83"/>
  <c r="I192" i="83"/>
  <c r="H192" i="83"/>
  <c r="G192" i="83"/>
  <c r="F192" i="83"/>
  <c r="E192" i="83"/>
  <c r="P191" i="83"/>
  <c r="O191" i="83"/>
  <c r="N191" i="83"/>
  <c r="M191" i="83"/>
  <c r="L191" i="83"/>
  <c r="K191" i="83"/>
  <c r="J191" i="83"/>
  <c r="I191" i="83"/>
  <c r="H191" i="83"/>
  <c r="G191" i="83"/>
  <c r="F191" i="83"/>
  <c r="E191" i="83"/>
  <c r="P190" i="83"/>
  <c r="O190" i="83"/>
  <c r="N190" i="83"/>
  <c r="M190" i="83"/>
  <c r="L190" i="83"/>
  <c r="K190" i="83"/>
  <c r="J190" i="83"/>
  <c r="I190" i="83"/>
  <c r="H190" i="83"/>
  <c r="G190" i="83"/>
  <c r="F190" i="83"/>
  <c r="E190" i="83"/>
  <c r="P189" i="83"/>
  <c r="O189" i="83"/>
  <c r="N189" i="83"/>
  <c r="M189" i="83"/>
  <c r="L189" i="83"/>
  <c r="K189" i="83"/>
  <c r="J189" i="83"/>
  <c r="I189" i="83"/>
  <c r="H189" i="83"/>
  <c r="G189" i="83"/>
  <c r="F189" i="83"/>
  <c r="E189" i="83"/>
  <c r="P188" i="83"/>
  <c r="O188" i="83"/>
  <c r="N188" i="83"/>
  <c r="M188" i="83"/>
  <c r="L188" i="83"/>
  <c r="K188" i="83"/>
  <c r="J188" i="83"/>
  <c r="I188" i="83"/>
  <c r="H188" i="83"/>
  <c r="G188" i="83"/>
  <c r="F188" i="83"/>
  <c r="E188" i="83"/>
  <c r="P187" i="83"/>
  <c r="O187" i="83"/>
  <c r="N187" i="83"/>
  <c r="M187" i="83"/>
  <c r="L187" i="83"/>
  <c r="K187" i="83"/>
  <c r="J187" i="83"/>
  <c r="I187" i="83"/>
  <c r="H187" i="83"/>
  <c r="G187" i="83"/>
  <c r="F187" i="83"/>
  <c r="E187" i="83"/>
  <c r="P184" i="83"/>
  <c r="O184" i="83"/>
  <c r="N184" i="83"/>
  <c r="M184" i="83"/>
  <c r="L184" i="83"/>
  <c r="J184" i="83"/>
  <c r="I184" i="83"/>
  <c r="H184" i="83"/>
  <c r="G184" i="83"/>
  <c r="F184" i="83"/>
  <c r="E184" i="83"/>
  <c r="P182" i="83"/>
  <c r="O182" i="83"/>
  <c r="N182" i="83"/>
  <c r="M182" i="83"/>
  <c r="L182" i="83"/>
  <c r="J182" i="83"/>
  <c r="I182" i="83"/>
  <c r="H182" i="83"/>
  <c r="G182" i="83"/>
  <c r="F182" i="83"/>
  <c r="E182" i="83"/>
  <c r="P181" i="83"/>
  <c r="O181" i="83"/>
  <c r="N181" i="83"/>
  <c r="M181" i="83"/>
  <c r="L181" i="83"/>
  <c r="J181" i="83"/>
  <c r="I181" i="83"/>
  <c r="H181" i="83"/>
  <c r="G181" i="83"/>
  <c r="F181" i="83"/>
  <c r="E181" i="83"/>
  <c r="P180" i="83"/>
  <c r="O180" i="83"/>
  <c r="N180" i="83"/>
  <c r="M180" i="83"/>
  <c r="L180" i="83"/>
  <c r="J180" i="83"/>
  <c r="I180" i="83"/>
  <c r="H180" i="83"/>
  <c r="G180" i="83"/>
  <c r="F180" i="83"/>
  <c r="E180" i="83"/>
  <c r="P179" i="83"/>
  <c r="O179" i="83"/>
  <c r="N179" i="83"/>
  <c r="M179" i="83"/>
  <c r="L179" i="83"/>
  <c r="J179" i="83"/>
  <c r="I179" i="83"/>
  <c r="H179" i="83"/>
  <c r="G179" i="83"/>
  <c r="F179" i="83"/>
  <c r="E179" i="83"/>
  <c r="P178" i="83"/>
  <c r="O178" i="83"/>
  <c r="N178" i="83"/>
  <c r="M178" i="83"/>
  <c r="L178" i="83"/>
  <c r="J178" i="83"/>
  <c r="I178" i="83"/>
  <c r="H178" i="83"/>
  <c r="G178" i="83"/>
  <c r="F178" i="83"/>
  <c r="E178" i="83"/>
  <c r="P177" i="83"/>
  <c r="O177" i="83"/>
  <c r="N177" i="83"/>
  <c r="M177" i="83"/>
  <c r="L177" i="83"/>
  <c r="J177" i="83"/>
  <c r="I177" i="83"/>
  <c r="H177" i="83"/>
  <c r="G177" i="83"/>
  <c r="F177" i="83"/>
  <c r="E177" i="83"/>
  <c r="N168" i="83"/>
  <c r="M168" i="83"/>
  <c r="L168" i="83"/>
  <c r="K168" i="83"/>
  <c r="J168" i="83"/>
  <c r="H168" i="83"/>
  <c r="G168" i="83"/>
  <c r="F168" i="83"/>
  <c r="E168" i="83"/>
  <c r="J165" i="83"/>
  <c r="H165" i="83"/>
  <c r="G165" i="83"/>
  <c r="F165" i="83"/>
  <c r="E165" i="83"/>
  <c r="P164" i="83"/>
  <c r="O164" i="83"/>
  <c r="N164" i="83"/>
  <c r="M164" i="83"/>
  <c r="L164" i="83"/>
  <c r="K164" i="83"/>
  <c r="J164" i="83"/>
  <c r="I164" i="83"/>
  <c r="H164" i="83"/>
  <c r="G164" i="83"/>
  <c r="F164" i="83"/>
  <c r="E164" i="83"/>
  <c r="P157" i="83"/>
  <c r="O157" i="83"/>
  <c r="N157" i="83"/>
  <c r="M157" i="83"/>
  <c r="L157" i="83"/>
  <c r="K157" i="83"/>
  <c r="J157" i="83"/>
  <c r="I157" i="83"/>
  <c r="H157" i="83"/>
  <c r="G157" i="83"/>
  <c r="F157" i="83"/>
  <c r="E157" i="83"/>
  <c r="P156" i="83"/>
  <c r="O156" i="83"/>
  <c r="N156" i="83"/>
  <c r="M156" i="83"/>
  <c r="L156" i="83"/>
  <c r="K156" i="83"/>
  <c r="J156" i="83"/>
  <c r="I156" i="83"/>
  <c r="H156" i="83"/>
  <c r="G156" i="83"/>
  <c r="F156" i="83"/>
  <c r="E156" i="83"/>
  <c r="P155" i="83"/>
  <c r="O155" i="83"/>
  <c r="N155" i="83"/>
  <c r="M155" i="83"/>
  <c r="L155" i="83"/>
  <c r="K155" i="83"/>
  <c r="J155" i="83"/>
  <c r="I155" i="83"/>
  <c r="H155" i="83"/>
  <c r="G155" i="83"/>
  <c r="F155" i="83"/>
  <c r="E155" i="83"/>
  <c r="P154" i="83"/>
  <c r="O154" i="83"/>
  <c r="N154" i="83"/>
  <c r="M154" i="83"/>
  <c r="L154" i="83"/>
  <c r="K154" i="83"/>
  <c r="J154" i="83"/>
  <c r="I154" i="83"/>
  <c r="H154" i="83"/>
  <c r="G154" i="83"/>
  <c r="F154" i="83"/>
  <c r="E154" i="83"/>
  <c r="P153" i="83"/>
  <c r="O153" i="83"/>
  <c r="N153" i="83"/>
  <c r="M153" i="83"/>
  <c r="L153" i="83"/>
  <c r="K153" i="83"/>
  <c r="J153" i="83"/>
  <c r="I153" i="83"/>
  <c r="H153" i="83"/>
  <c r="G153" i="83"/>
  <c r="F153" i="83"/>
  <c r="E153" i="83"/>
  <c r="P152" i="83"/>
  <c r="O152" i="83"/>
  <c r="N152" i="83"/>
  <c r="M152" i="83"/>
  <c r="L152" i="83"/>
  <c r="K152" i="83"/>
  <c r="J152" i="83"/>
  <c r="I152" i="83"/>
  <c r="H152" i="83"/>
  <c r="G152" i="83"/>
  <c r="F152" i="83"/>
  <c r="E152" i="83"/>
  <c r="P151" i="83"/>
  <c r="O151" i="83"/>
  <c r="N151" i="83"/>
  <c r="M151" i="83"/>
  <c r="L151" i="83"/>
  <c r="K151" i="83"/>
  <c r="J151" i="83"/>
  <c r="I151" i="83"/>
  <c r="H151" i="83"/>
  <c r="G151" i="83"/>
  <c r="F151" i="83"/>
  <c r="E151" i="83"/>
  <c r="P150" i="83"/>
  <c r="O150" i="83"/>
  <c r="N150" i="83"/>
  <c r="M150" i="83"/>
  <c r="L150" i="83"/>
  <c r="K150" i="83"/>
  <c r="J150" i="83"/>
  <c r="I150" i="83"/>
  <c r="H150" i="83"/>
  <c r="G150" i="83"/>
  <c r="F150" i="83"/>
  <c r="E150" i="83"/>
  <c r="P149" i="83"/>
  <c r="O149" i="83"/>
  <c r="N149" i="83"/>
  <c r="M149" i="83"/>
  <c r="L149" i="83"/>
  <c r="K149" i="83"/>
  <c r="J149" i="83"/>
  <c r="I149" i="83"/>
  <c r="H149" i="83"/>
  <c r="G149" i="83"/>
  <c r="F149" i="83"/>
  <c r="E149" i="83"/>
  <c r="P148" i="83"/>
  <c r="O148" i="83"/>
  <c r="N148" i="83"/>
  <c r="M148" i="83"/>
  <c r="L148" i="83"/>
  <c r="K148" i="83"/>
  <c r="J148" i="83"/>
  <c r="I148" i="83"/>
  <c r="H148" i="83"/>
  <c r="G148" i="83"/>
  <c r="F148" i="83"/>
  <c r="E148" i="83"/>
  <c r="P147" i="83"/>
  <c r="O147" i="83"/>
  <c r="N147" i="83"/>
  <c r="M147" i="83"/>
  <c r="L147" i="83"/>
  <c r="K147" i="83"/>
  <c r="J147" i="83"/>
  <c r="I147" i="83"/>
  <c r="H147" i="83"/>
  <c r="G147" i="83"/>
  <c r="F147" i="83"/>
  <c r="E147" i="83"/>
  <c r="P146" i="83"/>
  <c r="O146" i="83"/>
  <c r="N146" i="83"/>
  <c r="M146" i="83"/>
  <c r="L146" i="83"/>
  <c r="K146" i="83"/>
  <c r="J146" i="83"/>
  <c r="I146" i="83"/>
  <c r="H146" i="83"/>
  <c r="G146" i="83"/>
  <c r="F146" i="83"/>
  <c r="E146" i="83"/>
  <c r="P145" i="83"/>
  <c r="O145" i="83"/>
  <c r="N145" i="83"/>
  <c r="M145" i="83"/>
  <c r="L145" i="83"/>
  <c r="K145" i="83"/>
  <c r="J145" i="83"/>
  <c r="I145" i="83"/>
  <c r="H145" i="83"/>
  <c r="G145" i="83"/>
  <c r="F145" i="83"/>
  <c r="E145" i="83"/>
  <c r="P144" i="83"/>
  <c r="O144" i="83"/>
  <c r="N144" i="83"/>
  <c r="M144" i="83"/>
  <c r="L144" i="83"/>
  <c r="K144" i="83"/>
  <c r="J144" i="83"/>
  <c r="I144" i="83"/>
  <c r="H144" i="83"/>
  <c r="G144" i="83"/>
  <c r="F144" i="83"/>
  <c r="E144" i="83"/>
  <c r="P143" i="83"/>
  <c r="O143" i="83"/>
  <c r="N143" i="83"/>
  <c r="M143" i="83"/>
  <c r="L143" i="83"/>
  <c r="K143" i="83"/>
  <c r="J143" i="83"/>
  <c r="I143" i="83"/>
  <c r="H143" i="83"/>
  <c r="G143" i="83"/>
  <c r="F143" i="83"/>
  <c r="E143" i="83"/>
  <c r="P142" i="83"/>
  <c r="O142" i="83"/>
  <c r="N142" i="83"/>
  <c r="M142" i="83"/>
  <c r="L142" i="83"/>
  <c r="K142" i="83"/>
  <c r="J142" i="83"/>
  <c r="I142" i="83"/>
  <c r="H142" i="83"/>
  <c r="G142" i="83"/>
  <c r="F142" i="83"/>
  <c r="E142" i="83"/>
  <c r="P141" i="83"/>
  <c r="O141" i="83"/>
  <c r="N141" i="83"/>
  <c r="M141" i="83"/>
  <c r="L141" i="83"/>
  <c r="K141" i="83"/>
  <c r="J141" i="83"/>
  <c r="I141" i="83"/>
  <c r="H141" i="83"/>
  <c r="G141" i="83"/>
  <c r="F141" i="83"/>
  <c r="E141" i="83"/>
  <c r="P140" i="83"/>
  <c r="O140" i="83"/>
  <c r="N140" i="83"/>
  <c r="M140" i="83"/>
  <c r="L140" i="83"/>
  <c r="K140" i="83"/>
  <c r="J140" i="83"/>
  <c r="I140" i="83"/>
  <c r="H140" i="83"/>
  <c r="G140" i="83"/>
  <c r="F140" i="83"/>
  <c r="E140" i="83"/>
  <c r="P139" i="83"/>
  <c r="O139" i="83"/>
  <c r="N139" i="83"/>
  <c r="M139" i="83"/>
  <c r="L139" i="83"/>
  <c r="K139" i="83"/>
  <c r="J139" i="83"/>
  <c r="I139" i="83"/>
  <c r="H139" i="83"/>
  <c r="G139" i="83"/>
  <c r="F139" i="83"/>
  <c r="E139" i="83"/>
  <c r="P138" i="83"/>
  <c r="O138" i="83"/>
  <c r="N138" i="83"/>
  <c r="M138" i="83"/>
  <c r="L138" i="83"/>
  <c r="K138" i="83"/>
  <c r="J138" i="83"/>
  <c r="I138" i="83"/>
  <c r="H138" i="83"/>
  <c r="G138" i="83"/>
  <c r="F138" i="83"/>
  <c r="E138" i="83"/>
  <c r="P137" i="83"/>
  <c r="O137" i="83"/>
  <c r="N137" i="83"/>
  <c r="M137" i="83"/>
  <c r="L137" i="83"/>
  <c r="K137" i="83"/>
  <c r="J137" i="83"/>
  <c r="I137" i="83"/>
  <c r="H137" i="83"/>
  <c r="G137" i="83"/>
  <c r="F137" i="83"/>
  <c r="E137" i="83"/>
  <c r="P136" i="83"/>
  <c r="O136" i="83"/>
  <c r="N136" i="83"/>
  <c r="M136" i="83"/>
  <c r="L136" i="83"/>
  <c r="K136" i="83"/>
  <c r="J136" i="83"/>
  <c r="I136" i="83"/>
  <c r="H136" i="83"/>
  <c r="G136" i="83"/>
  <c r="F136" i="83"/>
  <c r="E136" i="83"/>
  <c r="P135" i="83"/>
  <c r="O135" i="83"/>
  <c r="N135" i="83"/>
  <c r="M135" i="83"/>
  <c r="L135" i="83"/>
  <c r="K135" i="83"/>
  <c r="J135" i="83"/>
  <c r="I135" i="83"/>
  <c r="H135" i="83"/>
  <c r="G135" i="83"/>
  <c r="F135" i="83"/>
  <c r="E135" i="83"/>
  <c r="P134" i="83"/>
  <c r="O134" i="83"/>
  <c r="N134" i="83"/>
  <c r="M134" i="83"/>
  <c r="L134" i="83"/>
  <c r="K134" i="83"/>
  <c r="J134" i="83"/>
  <c r="I134" i="83"/>
  <c r="H134" i="83"/>
  <c r="G134" i="83"/>
  <c r="F134" i="83"/>
  <c r="E134" i="83"/>
  <c r="P133" i="83"/>
  <c r="O133" i="83"/>
  <c r="N133" i="83"/>
  <c r="M133" i="83"/>
  <c r="L133" i="83"/>
  <c r="K133" i="83"/>
  <c r="J133" i="83"/>
  <c r="I133" i="83"/>
  <c r="H133" i="83"/>
  <c r="G133" i="83"/>
  <c r="F133" i="83"/>
  <c r="E133" i="83"/>
  <c r="P132" i="83"/>
  <c r="O132" i="83"/>
  <c r="N132" i="83"/>
  <c r="M132" i="83"/>
  <c r="L132" i="83"/>
  <c r="K132" i="83"/>
  <c r="J132" i="83"/>
  <c r="I132" i="83"/>
  <c r="H132" i="83"/>
  <c r="G132" i="83"/>
  <c r="F132" i="83"/>
  <c r="E132" i="83"/>
  <c r="P131" i="83"/>
  <c r="O131" i="83"/>
  <c r="N131" i="83"/>
  <c r="M131" i="83"/>
  <c r="L131" i="83"/>
  <c r="K131" i="83"/>
  <c r="J131" i="83"/>
  <c r="I131" i="83"/>
  <c r="H131" i="83"/>
  <c r="G131" i="83"/>
  <c r="F131" i="83"/>
  <c r="E131" i="83"/>
  <c r="P130" i="83"/>
  <c r="O130" i="83"/>
  <c r="N130" i="83"/>
  <c r="M130" i="83"/>
  <c r="L130" i="83"/>
  <c r="K130" i="83"/>
  <c r="J130" i="83"/>
  <c r="I130" i="83"/>
  <c r="H130" i="83"/>
  <c r="G130" i="83"/>
  <c r="F130" i="83"/>
  <c r="E130" i="83"/>
  <c r="P129" i="83"/>
  <c r="O129" i="83"/>
  <c r="N129" i="83"/>
  <c r="M129" i="83"/>
  <c r="L129" i="83"/>
  <c r="K129" i="83"/>
  <c r="J129" i="83"/>
  <c r="I129" i="83"/>
  <c r="H129" i="83"/>
  <c r="G129" i="83"/>
  <c r="F129" i="83"/>
  <c r="E129" i="83"/>
  <c r="P128" i="83"/>
  <c r="O128" i="83"/>
  <c r="N128" i="83"/>
  <c r="M128" i="83"/>
  <c r="L128" i="83"/>
  <c r="K128" i="83"/>
  <c r="J128" i="83"/>
  <c r="I128" i="83"/>
  <c r="H128" i="83"/>
  <c r="G128" i="83"/>
  <c r="F128" i="83"/>
  <c r="E128" i="83"/>
  <c r="P127" i="83"/>
  <c r="O127" i="83"/>
  <c r="N127" i="83"/>
  <c r="M127" i="83"/>
  <c r="L127" i="83"/>
  <c r="K127" i="83"/>
  <c r="J127" i="83"/>
  <c r="I127" i="83"/>
  <c r="H127" i="83"/>
  <c r="G127" i="83"/>
  <c r="F127" i="83"/>
  <c r="E127" i="83"/>
  <c r="P126" i="83"/>
  <c r="O126" i="83"/>
  <c r="N126" i="83"/>
  <c r="M126" i="83"/>
  <c r="L126" i="83"/>
  <c r="K126" i="83"/>
  <c r="J126" i="83"/>
  <c r="I126" i="83"/>
  <c r="H126" i="83"/>
  <c r="G126" i="83"/>
  <c r="F126" i="83"/>
  <c r="E126" i="83"/>
  <c r="P125" i="83"/>
  <c r="O125" i="83"/>
  <c r="N125" i="83"/>
  <c r="M125" i="83"/>
  <c r="L125" i="83"/>
  <c r="K125" i="83"/>
  <c r="J125" i="83"/>
  <c r="I125" i="83"/>
  <c r="H125" i="83"/>
  <c r="G125" i="83"/>
  <c r="F125" i="83"/>
  <c r="E125" i="83"/>
  <c r="P124" i="83"/>
  <c r="O124" i="83"/>
  <c r="N124" i="83"/>
  <c r="M124" i="83"/>
  <c r="L124" i="83"/>
  <c r="K124" i="83"/>
  <c r="J124" i="83"/>
  <c r="I124" i="83"/>
  <c r="H124" i="83"/>
  <c r="G124" i="83"/>
  <c r="F124" i="83"/>
  <c r="E124" i="83"/>
  <c r="P123" i="83"/>
  <c r="O123" i="83"/>
  <c r="N123" i="83"/>
  <c r="M123" i="83"/>
  <c r="L123" i="83"/>
  <c r="K123" i="83"/>
  <c r="J123" i="83"/>
  <c r="I123" i="83"/>
  <c r="H123" i="83"/>
  <c r="G123" i="83"/>
  <c r="F123" i="83"/>
  <c r="E123" i="83"/>
  <c r="P122" i="83"/>
  <c r="O122" i="83"/>
  <c r="N122" i="83"/>
  <c r="M122" i="83"/>
  <c r="L122" i="83"/>
  <c r="K122" i="83"/>
  <c r="J122" i="83"/>
  <c r="I122" i="83"/>
  <c r="H122" i="83"/>
  <c r="G122" i="83"/>
  <c r="F122" i="83"/>
  <c r="E122" i="83"/>
  <c r="P121" i="83"/>
  <c r="O121" i="83"/>
  <c r="N121" i="83"/>
  <c r="M121" i="83"/>
  <c r="L121" i="83"/>
  <c r="K121" i="83"/>
  <c r="J121" i="83"/>
  <c r="I121" i="83"/>
  <c r="H121" i="83"/>
  <c r="G121" i="83"/>
  <c r="F121" i="83"/>
  <c r="E121" i="83"/>
  <c r="P120" i="83"/>
  <c r="O120" i="83"/>
  <c r="N120" i="83"/>
  <c r="M120" i="83"/>
  <c r="L120" i="83"/>
  <c r="K120" i="83"/>
  <c r="J120" i="83"/>
  <c r="I120" i="83"/>
  <c r="H120" i="83"/>
  <c r="G120" i="83"/>
  <c r="F120" i="83"/>
  <c r="E120" i="83"/>
  <c r="P119" i="83"/>
  <c r="O119" i="83"/>
  <c r="N119" i="83"/>
  <c r="M119" i="83"/>
  <c r="L119" i="83"/>
  <c r="K119" i="83"/>
  <c r="J119" i="83"/>
  <c r="I119" i="83"/>
  <c r="H119" i="83"/>
  <c r="G119" i="83"/>
  <c r="F119" i="83"/>
  <c r="E119" i="83"/>
  <c r="P118" i="83"/>
  <c r="O118" i="83"/>
  <c r="N118" i="83"/>
  <c r="M118" i="83"/>
  <c r="L118" i="83"/>
  <c r="K118" i="83"/>
  <c r="J118" i="83"/>
  <c r="I118" i="83"/>
  <c r="H118" i="83"/>
  <c r="G118" i="83"/>
  <c r="F118" i="83"/>
  <c r="E118" i="83"/>
  <c r="P117" i="83"/>
  <c r="O117" i="83"/>
  <c r="N117" i="83"/>
  <c r="M117" i="83"/>
  <c r="L117" i="83"/>
  <c r="K117" i="83"/>
  <c r="J117" i="83"/>
  <c r="I117" i="83"/>
  <c r="H117" i="83"/>
  <c r="G117" i="83"/>
  <c r="F117" i="83"/>
  <c r="E117" i="83"/>
  <c r="P116" i="83"/>
  <c r="O116" i="83"/>
  <c r="N116" i="83"/>
  <c r="M116" i="83"/>
  <c r="L116" i="83"/>
  <c r="K116" i="83"/>
  <c r="J116" i="83"/>
  <c r="I116" i="83"/>
  <c r="H116" i="83"/>
  <c r="G116" i="83"/>
  <c r="F116" i="83"/>
  <c r="E116" i="83"/>
  <c r="P115" i="83"/>
  <c r="O115" i="83"/>
  <c r="N115" i="83"/>
  <c r="M115" i="83"/>
  <c r="L115" i="83"/>
  <c r="K115" i="83"/>
  <c r="J115" i="83"/>
  <c r="I115" i="83"/>
  <c r="H115" i="83"/>
  <c r="G115" i="83"/>
  <c r="F115" i="83"/>
  <c r="E115" i="83"/>
  <c r="P114" i="83"/>
  <c r="O114" i="83"/>
  <c r="N114" i="83"/>
  <c r="M114" i="83"/>
  <c r="L114" i="83"/>
  <c r="K114" i="83"/>
  <c r="J114" i="83"/>
  <c r="I114" i="83"/>
  <c r="H114" i="83"/>
  <c r="G114" i="83"/>
  <c r="F114" i="83"/>
  <c r="E114" i="83"/>
  <c r="P113" i="83"/>
  <c r="O113" i="83"/>
  <c r="N113" i="83"/>
  <c r="M113" i="83"/>
  <c r="L113" i="83"/>
  <c r="K113" i="83"/>
  <c r="J113" i="83"/>
  <c r="I113" i="83"/>
  <c r="H113" i="83"/>
  <c r="G113" i="83"/>
  <c r="F113" i="83"/>
  <c r="E113" i="83"/>
  <c r="P112" i="83"/>
  <c r="O112" i="83"/>
  <c r="N112" i="83"/>
  <c r="M112" i="83"/>
  <c r="L112" i="83"/>
  <c r="K112" i="83"/>
  <c r="J112" i="83"/>
  <c r="I112" i="83"/>
  <c r="H112" i="83"/>
  <c r="G112" i="83"/>
  <c r="F112" i="83"/>
  <c r="E112" i="83"/>
  <c r="P111" i="83"/>
  <c r="O111" i="83"/>
  <c r="N111" i="83"/>
  <c r="M111" i="83"/>
  <c r="L111" i="83"/>
  <c r="K111" i="83"/>
  <c r="J111" i="83"/>
  <c r="I111" i="83"/>
  <c r="H111" i="83"/>
  <c r="G111" i="83"/>
  <c r="F111" i="83"/>
  <c r="E111" i="83"/>
  <c r="P110" i="83"/>
  <c r="O110" i="83"/>
  <c r="N110" i="83"/>
  <c r="M110" i="83"/>
  <c r="L110" i="83"/>
  <c r="K110" i="83"/>
  <c r="J110" i="83"/>
  <c r="I110" i="83"/>
  <c r="H110" i="83"/>
  <c r="G110" i="83"/>
  <c r="F110" i="83"/>
  <c r="E110" i="83"/>
  <c r="P109" i="83"/>
  <c r="O109" i="83"/>
  <c r="N109" i="83"/>
  <c r="M109" i="83"/>
  <c r="L109" i="83"/>
  <c r="K109" i="83"/>
  <c r="J109" i="83"/>
  <c r="I109" i="83"/>
  <c r="H109" i="83"/>
  <c r="G109" i="83"/>
  <c r="F109" i="83"/>
  <c r="E109" i="83"/>
  <c r="P108" i="83"/>
  <c r="O108" i="83"/>
  <c r="N108" i="83"/>
  <c r="M108" i="83"/>
  <c r="L108" i="83"/>
  <c r="K108" i="83"/>
  <c r="J108" i="83"/>
  <c r="I108" i="83"/>
  <c r="H108" i="83"/>
  <c r="G108" i="83"/>
  <c r="F108" i="83"/>
  <c r="E108" i="83"/>
  <c r="P107" i="83"/>
  <c r="O107" i="83"/>
  <c r="N107" i="83"/>
  <c r="M107" i="83"/>
  <c r="L107" i="83"/>
  <c r="K107" i="83"/>
  <c r="J107" i="83"/>
  <c r="I107" i="83"/>
  <c r="H107" i="83"/>
  <c r="G107" i="83"/>
  <c r="F107" i="83"/>
  <c r="E107" i="83"/>
  <c r="P106" i="83"/>
  <c r="O106" i="83"/>
  <c r="N106" i="83"/>
  <c r="M106" i="83"/>
  <c r="L106" i="83"/>
  <c r="K106" i="83"/>
  <c r="J106" i="83"/>
  <c r="I106" i="83"/>
  <c r="H106" i="83"/>
  <c r="G106" i="83"/>
  <c r="F106" i="83"/>
  <c r="E106" i="83"/>
  <c r="P105" i="83"/>
  <c r="O105" i="83"/>
  <c r="N105" i="83"/>
  <c r="M105" i="83"/>
  <c r="L105" i="83"/>
  <c r="K105" i="83"/>
  <c r="J105" i="83"/>
  <c r="I105" i="83"/>
  <c r="H105" i="83"/>
  <c r="G105" i="83"/>
  <c r="F105" i="83"/>
  <c r="E105" i="83"/>
  <c r="P104" i="83"/>
  <c r="O104" i="83"/>
  <c r="N104" i="83"/>
  <c r="M104" i="83"/>
  <c r="L104" i="83"/>
  <c r="K104" i="83"/>
  <c r="J104" i="83"/>
  <c r="I104" i="83"/>
  <c r="H104" i="83"/>
  <c r="G104" i="83"/>
  <c r="F104" i="83"/>
  <c r="E104" i="83"/>
  <c r="P103" i="83"/>
  <c r="O103" i="83"/>
  <c r="N103" i="83"/>
  <c r="M103" i="83"/>
  <c r="L103" i="83"/>
  <c r="K103" i="83"/>
  <c r="J103" i="83"/>
  <c r="I103" i="83"/>
  <c r="H103" i="83"/>
  <c r="G103" i="83"/>
  <c r="F103" i="83"/>
  <c r="E103" i="83"/>
  <c r="P102" i="83"/>
  <c r="O102" i="83"/>
  <c r="N102" i="83"/>
  <c r="M102" i="83"/>
  <c r="L102" i="83"/>
  <c r="K102" i="83"/>
  <c r="J102" i="83"/>
  <c r="I102" i="83"/>
  <c r="H102" i="83"/>
  <c r="G102" i="83"/>
  <c r="F102" i="83"/>
  <c r="E102" i="83"/>
  <c r="P101" i="83"/>
  <c r="O101" i="83"/>
  <c r="N101" i="83"/>
  <c r="M101" i="83"/>
  <c r="L101" i="83"/>
  <c r="K101" i="83"/>
  <c r="J101" i="83"/>
  <c r="I101" i="83"/>
  <c r="H101" i="83"/>
  <c r="G101" i="83"/>
  <c r="F101" i="83"/>
  <c r="E101" i="83"/>
  <c r="P100" i="83"/>
  <c r="O100" i="83"/>
  <c r="N100" i="83"/>
  <c r="M100" i="83"/>
  <c r="L100" i="83"/>
  <c r="K100" i="83"/>
  <c r="J100" i="83"/>
  <c r="I100" i="83"/>
  <c r="H100" i="83"/>
  <c r="G100" i="83"/>
  <c r="F100" i="83"/>
  <c r="E100" i="83"/>
  <c r="P99" i="83"/>
  <c r="O99" i="83"/>
  <c r="N99" i="83"/>
  <c r="M99" i="83"/>
  <c r="L99" i="83"/>
  <c r="K99" i="83"/>
  <c r="J99" i="83"/>
  <c r="I99" i="83"/>
  <c r="H99" i="83"/>
  <c r="G99" i="83"/>
  <c r="F99" i="83"/>
  <c r="E99" i="83"/>
  <c r="P98" i="83"/>
  <c r="O98" i="83"/>
  <c r="N98" i="83"/>
  <c r="M98" i="83"/>
  <c r="L98" i="83"/>
  <c r="K98" i="83"/>
  <c r="J98" i="83"/>
  <c r="I98" i="83"/>
  <c r="H98" i="83"/>
  <c r="G98" i="83"/>
  <c r="F98" i="83"/>
  <c r="E98" i="83"/>
  <c r="P97" i="83"/>
  <c r="O97" i="83"/>
  <c r="N97" i="83"/>
  <c r="M97" i="83"/>
  <c r="L97" i="83"/>
  <c r="K97" i="83"/>
  <c r="J97" i="83"/>
  <c r="I97" i="83"/>
  <c r="H97" i="83"/>
  <c r="G97" i="83"/>
  <c r="F97" i="83"/>
  <c r="E97" i="83"/>
  <c r="P96" i="83"/>
  <c r="O96" i="83"/>
  <c r="N96" i="83"/>
  <c r="M96" i="83"/>
  <c r="L96" i="83"/>
  <c r="K96" i="83"/>
  <c r="J96" i="83"/>
  <c r="I96" i="83"/>
  <c r="H96" i="83"/>
  <c r="G96" i="83"/>
  <c r="F96" i="83"/>
  <c r="E96" i="83"/>
  <c r="P95" i="83"/>
  <c r="O95" i="83"/>
  <c r="N95" i="83"/>
  <c r="M95" i="83"/>
  <c r="L95" i="83"/>
  <c r="K95" i="83"/>
  <c r="J95" i="83"/>
  <c r="I95" i="83"/>
  <c r="H95" i="83"/>
  <c r="G95" i="83"/>
  <c r="F95" i="83"/>
  <c r="E95" i="83"/>
  <c r="P94" i="83"/>
  <c r="O94" i="83"/>
  <c r="N94" i="83"/>
  <c r="M94" i="83"/>
  <c r="L94" i="83"/>
  <c r="K94" i="83"/>
  <c r="J94" i="83"/>
  <c r="I94" i="83"/>
  <c r="H94" i="83"/>
  <c r="G94" i="83"/>
  <c r="F94" i="83"/>
  <c r="E94" i="83"/>
  <c r="P93" i="83"/>
  <c r="O93" i="83"/>
  <c r="N93" i="83"/>
  <c r="M93" i="83"/>
  <c r="L93" i="83"/>
  <c r="K93" i="83"/>
  <c r="J93" i="83"/>
  <c r="I93" i="83"/>
  <c r="H93" i="83"/>
  <c r="G93" i="83"/>
  <c r="F93" i="83"/>
  <c r="E93" i="83"/>
  <c r="P92" i="83"/>
  <c r="O92" i="83"/>
  <c r="N92" i="83"/>
  <c r="M92" i="83"/>
  <c r="L92" i="83"/>
  <c r="K92" i="83"/>
  <c r="J92" i="83"/>
  <c r="I92" i="83"/>
  <c r="H92" i="83"/>
  <c r="G92" i="83"/>
  <c r="F92" i="83"/>
  <c r="E92" i="83"/>
  <c r="P91" i="83"/>
  <c r="O91" i="83"/>
  <c r="N91" i="83"/>
  <c r="M91" i="83"/>
  <c r="L91" i="83"/>
  <c r="K91" i="83"/>
  <c r="J91" i="83"/>
  <c r="I91" i="83"/>
  <c r="H91" i="83"/>
  <c r="G91" i="83"/>
  <c r="F91" i="83"/>
  <c r="E91" i="83"/>
  <c r="P89" i="83"/>
  <c r="O89" i="83"/>
  <c r="N89" i="83"/>
  <c r="M89" i="83"/>
  <c r="L89" i="83"/>
  <c r="K89" i="83"/>
  <c r="J89" i="83"/>
  <c r="I89" i="83"/>
  <c r="H89" i="83"/>
  <c r="G89" i="83"/>
  <c r="F89" i="83"/>
  <c r="E89" i="83"/>
  <c r="P88" i="83"/>
  <c r="O88" i="83"/>
  <c r="N88" i="83"/>
  <c r="M88" i="83"/>
  <c r="L88" i="83"/>
  <c r="K88" i="83"/>
  <c r="J88" i="83"/>
  <c r="I88" i="83"/>
  <c r="H88" i="83"/>
  <c r="G88" i="83"/>
  <c r="F88" i="83"/>
  <c r="E88" i="83"/>
  <c r="P86" i="83"/>
  <c r="O86" i="83"/>
  <c r="N86" i="83"/>
  <c r="M86" i="83"/>
  <c r="L86" i="83"/>
  <c r="K86" i="83"/>
  <c r="J86" i="83"/>
  <c r="I86" i="83"/>
  <c r="H86" i="83"/>
  <c r="G86" i="83"/>
  <c r="F86" i="83"/>
  <c r="E86" i="83"/>
  <c r="P85" i="83"/>
  <c r="O85" i="83"/>
  <c r="N85" i="83"/>
  <c r="M85" i="83"/>
  <c r="L85" i="83"/>
  <c r="K85" i="83"/>
  <c r="J85" i="83"/>
  <c r="I85" i="83"/>
  <c r="H85" i="83"/>
  <c r="G85" i="83"/>
  <c r="F85" i="83"/>
  <c r="E85" i="83"/>
  <c r="P84" i="83"/>
  <c r="O84" i="83"/>
  <c r="N84" i="83"/>
  <c r="M84" i="83"/>
  <c r="L84" i="83"/>
  <c r="K84" i="83"/>
  <c r="J84" i="83"/>
  <c r="I84" i="83"/>
  <c r="H84" i="83"/>
  <c r="G84" i="83"/>
  <c r="F84" i="83"/>
  <c r="E84" i="83"/>
  <c r="P83" i="83"/>
  <c r="O83" i="83"/>
  <c r="N83" i="83"/>
  <c r="M83" i="83"/>
  <c r="L83" i="83"/>
  <c r="K83" i="83"/>
  <c r="J83" i="83"/>
  <c r="I83" i="83"/>
  <c r="H83" i="83"/>
  <c r="G83" i="83"/>
  <c r="F83" i="83"/>
  <c r="E83" i="83"/>
  <c r="P82" i="83"/>
  <c r="O82" i="83"/>
  <c r="N82" i="83"/>
  <c r="M82" i="83"/>
  <c r="L82" i="83"/>
  <c r="K82" i="83"/>
  <c r="J82" i="83"/>
  <c r="I82" i="83"/>
  <c r="H82" i="83"/>
  <c r="G82" i="83"/>
  <c r="F82" i="83"/>
  <c r="E82" i="83"/>
  <c r="P81" i="83"/>
  <c r="O81" i="83"/>
  <c r="N81" i="83"/>
  <c r="M81" i="83"/>
  <c r="L81" i="83"/>
  <c r="K81" i="83"/>
  <c r="J81" i="83"/>
  <c r="I81" i="83"/>
  <c r="H81" i="83"/>
  <c r="G81" i="83"/>
  <c r="F81" i="83"/>
  <c r="E81" i="83"/>
  <c r="P80" i="83"/>
  <c r="O80" i="83"/>
  <c r="N80" i="83"/>
  <c r="M80" i="83"/>
  <c r="L80" i="83"/>
  <c r="K80" i="83"/>
  <c r="J80" i="83"/>
  <c r="I80" i="83"/>
  <c r="H80" i="83"/>
  <c r="G80" i="83"/>
  <c r="F80" i="83"/>
  <c r="E80" i="83"/>
  <c r="P79" i="83"/>
  <c r="O79" i="83"/>
  <c r="N79" i="83"/>
  <c r="M79" i="83"/>
  <c r="L79" i="83"/>
  <c r="K79" i="83"/>
  <c r="J79" i="83"/>
  <c r="I79" i="83"/>
  <c r="H79" i="83"/>
  <c r="G79" i="83"/>
  <c r="F79" i="83"/>
  <c r="E79" i="83"/>
  <c r="P78" i="83"/>
  <c r="O78" i="83"/>
  <c r="N78" i="83"/>
  <c r="M78" i="83"/>
  <c r="L78" i="83"/>
  <c r="K78" i="83"/>
  <c r="J78" i="83"/>
  <c r="I78" i="83"/>
  <c r="H78" i="83"/>
  <c r="G78" i="83"/>
  <c r="F78" i="83"/>
  <c r="E78" i="83"/>
  <c r="P77" i="83"/>
  <c r="O77" i="83"/>
  <c r="N77" i="83"/>
  <c r="M77" i="83"/>
  <c r="L77" i="83"/>
  <c r="K77" i="83"/>
  <c r="J77" i="83"/>
  <c r="I77" i="83"/>
  <c r="H77" i="83"/>
  <c r="G77" i="83"/>
  <c r="F77" i="83"/>
  <c r="E77" i="83"/>
  <c r="P76" i="83"/>
  <c r="O76" i="83"/>
  <c r="N76" i="83"/>
  <c r="M76" i="83"/>
  <c r="L76" i="83"/>
  <c r="K76" i="83"/>
  <c r="J76" i="83"/>
  <c r="I76" i="83"/>
  <c r="H76" i="83"/>
  <c r="G76" i="83"/>
  <c r="F76" i="83"/>
  <c r="E76" i="83"/>
  <c r="P75" i="83"/>
  <c r="O75" i="83"/>
  <c r="N75" i="83"/>
  <c r="M75" i="83"/>
  <c r="L75" i="83"/>
  <c r="K75" i="83"/>
  <c r="J75" i="83"/>
  <c r="I75" i="83"/>
  <c r="H75" i="83"/>
  <c r="G75" i="83"/>
  <c r="F75" i="83"/>
  <c r="E75" i="83"/>
  <c r="P74" i="83"/>
  <c r="O74" i="83"/>
  <c r="N74" i="83"/>
  <c r="M74" i="83"/>
  <c r="L74" i="83"/>
  <c r="K74" i="83"/>
  <c r="J74" i="83"/>
  <c r="I74" i="83"/>
  <c r="H74" i="83"/>
  <c r="G74" i="83"/>
  <c r="F74" i="83"/>
  <c r="E74" i="83"/>
  <c r="P73" i="83"/>
  <c r="O73" i="83"/>
  <c r="N73" i="83"/>
  <c r="M73" i="83"/>
  <c r="L73" i="83"/>
  <c r="K73" i="83"/>
  <c r="J73" i="83"/>
  <c r="I73" i="83"/>
  <c r="H73" i="83"/>
  <c r="G73" i="83"/>
  <c r="F73" i="83"/>
  <c r="E73" i="83"/>
  <c r="P72" i="83"/>
  <c r="O72" i="83"/>
  <c r="N72" i="83"/>
  <c r="M72" i="83"/>
  <c r="L72" i="83"/>
  <c r="K72" i="83"/>
  <c r="J72" i="83"/>
  <c r="I72" i="83"/>
  <c r="H72" i="83"/>
  <c r="G72" i="83"/>
  <c r="F72" i="83"/>
  <c r="E72" i="83"/>
  <c r="P71" i="83"/>
  <c r="O71" i="83"/>
  <c r="N71" i="83"/>
  <c r="M71" i="83"/>
  <c r="L71" i="83"/>
  <c r="K71" i="83"/>
  <c r="J71" i="83"/>
  <c r="I71" i="83"/>
  <c r="H71" i="83"/>
  <c r="G71" i="83"/>
  <c r="F71" i="83"/>
  <c r="E71" i="83"/>
  <c r="P69" i="83"/>
  <c r="O69" i="83"/>
  <c r="N69" i="83"/>
  <c r="M69" i="83"/>
  <c r="L69" i="83"/>
  <c r="K69" i="83"/>
  <c r="J69" i="83"/>
  <c r="I69" i="83"/>
  <c r="H69" i="83"/>
  <c r="G69" i="83"/>
  <c r="F69" i="83"/>
  <c r="E69" i="83"/>
  <c r="P68" i="83"/>
  <c r="O68" i="83"/>
  <c r="N68" i="83"/>
  <c r="M68" i="83"/>
  <c r="L68" i="83"/>
  <c r="K68" i="83"/>
  <c r="J68" i="83"/>
  <c r="I68" i="83"/>
  <c r="H68" i="83"/>
  <c r="G68" i="83"/>
  <c r="F68" i="83"/>
  <c r="E68" i="83"/>
  <c r="P67" i="83"/>
  <c r="O67" i="83"/>
  <c r="N67" i="83"/>
  <c r="M67" i="83"/>
  <c r="L67" i="83"/>
  <c r="K67" i="83"/>
  <c r="J67" i="83"/>
  <c r="I67" i="83"/>
  <c r="H67" i="83"/>
  <c r="G67" i="83"/>
  <c r="F67" i="83"/>
  <c r="E67" i="83"/>
  <c r="P66" i="83"/>
  <c r="O66" i="83"/>
  <c r="N66" i="83"/>
  <c r="M66" i="83"/>
  <c r="L66" i="83"/>
  <c r="K66" i="83"/>
  <c r="J66" i="83"/>
  <c r="I66" i="83"/>
  <c r="H66" i="83"/>
  <c r="G66" i="83"/>
  <c r="F66" i="83"/>
  <c r="E66" i="83"/>
  <c r="P65" i="83"/>
  <c r="O65" i="83"/>
  <c r="N65" i="83"/>
  <c r="M65" i="83"/>
  <c r="L65" i="83"/>
  <c r="K65" i="83"/>
  <c r="J65" i="83"/>
  <c r="I65" i="83"/>
  <c r="H65" i="83"/>
  <c r="G65" i="83"/>
  <c r="F65" i="83"/>
  <c r="E65" i="83"/>
  <c r="P64" i="83"/>
  <c r="O64" i="83"/>
  <c r="N64" i="83"/>
  <c r="M64" i="83"/>
  <c r="L64" i="83"/>
  <c r="K64" i="83"/>
  <c r="J64" i="83"/>
  <c r="I64" i="83"/>
  <c r="H64" i="83"/>
  <c r="G64" i="83"/>
  <c r="F64" i="83"/>
  <c r="E64" i="83"/>
  <c r="P63" i="83"/>
  <c r="O63" i="83"/>
  <c r="N63" i="83"/>
  <c r="M63" i="83"/>
  <c r="L63" i="83"/>
  <c r="K63" i="83"/>
  <c r="J63" i="83"/>
  <c r="I63" i="83"/>
  <c r="H63" i="83"/>
  <c r="G63" i="83"/>
  <c r="F63" i="83"/>
  <c r="E63" i="83"/>
  <c r="P62" i="83"/>
  <c r="O62" i="83"/>
  <c r="N62" i="83"/>
  <c r="M62" i="83"/>
  <c r="L62" i="83"/>
  <c r="K62" i="83"/>
  <c r="J62" i="83"/>
  <c r="I62" i="83"/>
  <c r="H62" i="83"/>
  <c r="G62" i="83"/>
  <c r="F62" i="83"/>
  <c r="E62" i="83"/>
  <c r="P61" i="83"/>
  <c r="O61" i="83"/>
  <c r="N61" i="83"/>
  <c r="M61" i="83"/>
  <c r="L61" i="83"/>
  <c r="K61" i="83"/>
  <c r="J61" i="83"/>
  <c r="I61" i="83"/>
  <c r="H61" i="83"/>
  <c r="G61" i="83"/>
  <c r="F61" i="83"/>
  <c r="E61" i="83"/>
  <c r="P60" i="83"/>
  <c r="O60" i="83"/>
  <c r="N60" i="83"/>
  <c r="M60" i="83"/>
  <c r="L60" i="83"/>
  <c r="K60" i="83"/>
  <c r="J60" i="83"/>
  <c r="I60" i="83"/>
  <c r="H60" i="83"/>
  <c r="G60" i="83"/>
  <c r="F60" i="83"/>
  <c r="E60" i="83"/>
  <c r="P59" i="83"/>
  <c r="O59" i="83"/>
  <c r="N59" i="83"/>
  <c r="M59" i="83"/>
  <c r="L59" i="83"/>
  <c r="K59" i="83"/>
  <c r="J59" i="83"/>
  <c r="I59" i="83"/>
  <c r="H59" i="83"/>
  <c r="G59" i="83"/>
  <c r="F59" i="83"/>
  <c r="E59" i="83"/>
  <c r="P58" i="83"/>
  <c r="O58" i="83"/>
  <c r="N58" i="83"/>
  <c r="M58" i="83"/>
  <c r="L58" i="83"/>
  <c r="K58" i="83"/>
  <c r="J58" i="83"/>
  <c r="I58" i="83"/>
  <c r="H58" i="83"/>
  <c r="G58" i="83"/>
  <c r="F58" i="83"/>
  <c r="E58" i="83"/>
  <c r="P57" i="83"/>
  <c r="O57" i="83"/>
  <c r="N57" i="83"/>
  <c r="M57" i="83"/>
  <c r="L57" i="83"/>
  <c r="K57" i="83"/>
  <c r="J57" i="83"/>
  <c r="I57" i="83"/>
  <c r="H57" i="83"/>
  <c r="G57" i="83"/>
  <c r="F57" i="83"/>
  <c r="E57" i="83"/>
  <c r="P56" i="83"/>
  <c r="O56" i="83"/>
  <c r="N56" i="83"/>
  <c r="M56" i="83"/>
  <c r="L56" i="83"/>
  <c r="K56" i="83"/>
  <c r="J56" i="83"/>
  <c r="I56" i="83"/>
  <c r="H56" i="83"/>
  <c r="G56" i="83"/>
  <c r="F56" i="83"/>
  <c r="E56" i="83"/>
  <c r="P55" i="83"/>
  <c r="O55" i="83"/>
  <c r="N55" i="83"/>
  <c r="M55" i="83"/>
  <c r="L55" i="83"/>
  <c r="K55" i="83"/>
  <c r="J55" i="83"/>
  <c r="I55" i="83"/>
  <c r="H55" i="83"/>
  <c r="G55" i="83"/>
  <c r="F55" i="83"/>
  <c r="E55" i="83"/>
  <c r="P54" i="83"/>
  <c r="O54" i="83"/>
  <c r="N54" i="83"/>
  <c r="M54" i="83"/>
  <c r="L54" i="83"/>
  <c r="K54" i="83"/>
  <c r="J54" i="83"/>
  <c r="I54" i="83"/>
  <c r="H54" i="83"/>
  <c r="G54" i="83"/>
  <c r="F54" i="83"/>
  <c r="E54" i="83"/>
  <c r="P53" i="83"/>
  <c r="O53" i="83"/>
  <c r="N53" i="83"/>
  <c r="M53" i="83"/>
  <c r="L53" i="83"/>
  <c r="K53" i="83"/>
  <c r="J53" i="83"/>
  <c r="I53" i="83"/>
  <c r="H53" i="83"/>
  <c r="G53" i="83"/>
  <c r="F53" i="83"/>
  <c r="E53" i="83"/>
  <c r="P52" i="83"/>
  <c r="O52" i="83"/>
  <c r="N52" i="83"/>
  <c r="M52" i="83"/>
  <c r="L52" i="83"/>
  <c r="K52" i="83"/>
  <c r="J52" i="83"/>
  <c r="I52" i="83"/>
  <c r="H52" i="83"/>
  <c r="G52" i="83"/>
  <c r="F52" i="83"/>
  <c r="E52" i="83"/>
  <c r="P51" i="83"/>
  <c r="O51" i="83"/>
  <c r="N51" i="83"/>
  <c r="M51" i="83"/>
  <c r="L51" i="83"/>
  <c r="K51" i="83"/>
  <c r="J51" i="83"/>
  <c r="I51" i="83"/>
  <c r="H51" i="83"/>
  <c r="G51" i="83"/>
  <c r="F51" i="83"/>
  <c r="E51" i="83"/>
  <c r="P50" i="83"/>
  <c r="O50" i="83"/>
  <c r="N50" i="83"/>
  <c r="M50" i="83"/>
  <c r="L50" i="83"/>
  <c r="K50" i="83"/>
  <c r="J50" i="83"/>
  <c r="I50" i="83"/>
  <c r="H50" i="83"/>
  <c r="G50" i="83"/>
  <c r="F50" i="83"/>
  <c r="E50" i="83"/>
  <c r="P49" i="83"/>
  <c r="O49" i="83"/>
  <c r="N49" i="83"/>
  <c r="M49" i="83"/>
  <c r="L49" i="83"/>
  <c r="K49" i="83"/>
  <c r="J49" i="83"/>
  <c r="I49" i="83"/>
  <c r="H49" i="83"/>
  <c r="G49" i="83"/>
  <c r="F49" i="83"/>
  <c r="E49" i="83"/>
  <c r="P48" i="83"/>
  <c r="O48" i="83"/>
  <c r="N48" i="83"/>
  <c r="M48" i="83"/>
  <c r="L48" i="83"/>
  <c r="K48" i="83"/>
  <c r="J48" i="83"/>
  <c r="I48" i="83"/>
  <c r="H48" i="83"/>
  <c r="G48" i="83"/>
  <c r="F48" i="83"/>
  <c r="E48" i="83"/>
  <c r="P47" i="83"/>
  <c r="O47" i="83"/>
  <c r="N47" i="83"/>
  <c r="M47" i="83"/>
  <c r="L47" i="83"/>
  <c r="K47" i="83"/>
  <c r="J47" i="83"/>
  <c r="I47" i="83"/>
  <c r="H47" i="83"/>
  <c r="G47" i="83"/>
  <c r="F47" i="83"/>
  <c r="E47" i="83"/>
  <c r="P46" i="83"/>
  <c r="O46" i="83"/>
  <c r="N46" i="83"/>
  <c r="M46" i="83"/>
  <c r="L46" i="83"/>
  <c r="K46" i="83"/>
  <c r="J46" i="83"/>
  <c r="I46" i="83"/>
  <c r="H46" i="83"/>
  <c r="G46" i="83"/>
  <c r="F46" i="83"/>
  <c r="E46" i="83"/>
  <c r="P45" i="83"/>
  <c r="O45" i="83"/>
  <c r="N45" i="83"/>
  <c r="M45" i="83"/>
  <c r="L45" i="83"/>
  <c r="K45" i="83"/>
  <c r="J45" i="83"/>
  <c r="I45" i="83"/>
  <c r="H45" i="83"/>
  <c r="G45" i="83"/>
  <c r="F45" i="83"/>
  <c r="E45" i="83"/>
  <c r="P44" i="83"/>
  <c r="O44" i="83"/>
  <c r="N44" i="83"/>
  <c r="M44" i="83"/>
  <c r="L44" i="83"/>
  <c r="K44" i="83"/>
  <c r="J44" i="83"/>
  <c r="I44" i="83"/>
  <c r="H44" i="83"/>
  <c r="G44" i="83"/>
  <c r="F44" i="83"/>
  <c r="E44" i="83"/>
  <c r="P42" i="83"/>
  <c r="O42" i="83"/>
  <c r="N42" i="83"/>
  <c r="M42" i="83"/>
  <c r="L42" i="83"/>
  <c r="K42" i="83"/>
  <c r="J42" i="83"/>
  <c r="I42" i="83"/>
  <c r="H42" i="83"/>
  <c r="G42" i="83"/>
  <c r="F42" i="83"/>
  <c r="E42" i="83"/>
  <c r="P41" i="83"/>
  <c r="O41" i="83"/>
  <c r="N41" i="83"/>
  <c r="M41" i="83"/>
  <c r="L41" i="83"/>
  <c r="K41" i="83"/>
  <c r="J41" i="83"/>
  <c r="I41" i="83"/>
  <c r="H41" i="83"/>
  <c r="G41" i="83"/>
  <c r="F41" i="83"/>
  <c r="E41" i="83"/>
  <c r="P40" i="83"/>
  <c r="O40" i="83"/>
  <c r="N40" i="83"/>
  <c r="M40" i="83"/>
  <c r="L40" i="83"/>
  <c r="K40" i="83"/>
  <c r="J40" i="83"/>
  <c r="I40" i="83"/>
  <c r="H40" i="83"/>
  <c r="G40" i="83"/>
  <c r="F40" i="83"/>
  <c r="E40" i="83"/>
  <c r="P39" i="83"/>
  <c r="O39" i="83"/>
  <c r="N39" i="83"/>
  <c r="M39" i="83"/>
  <c r="L39" i="83"/>
  <c r="K39" i="83"/>
  <c r="J39" i="83"/>
  <c r="I39" i="83"/>
  <c r="H39" i="83"/>
  <c r="G39" i="83"/>
  <c r="F39" i="83"/>
  <c r="E39" i="83"/>
  <c r="P38" i="83"/>
  <c r="O38" i="83"/>
  <c r="N38" i="83"/>
  <c r="M38" i="83"/>
  <c r="L38" i="83"/>
  <c r="K38" i="83"/>
  <c r="J38" i="83"/>
  <c r="I38" i="83"/>
  <c r="H38" i="83"/>
  <c r="G38" i="83"/>
  <c r="F38" i="83"/>
  <c r="E38" i="83"/>
  <c r="P37" i="83"/>
  <c r="O37" i="83"/>
  <c r="N37" i="83"/>
  <c r="M37" i="83"/>
  <c r="L37" i="83"/>
  <c r="K37" i="83"/>
  <c r="J37" i="83"/>
  <c r="I37" i="83"/>
  <c r="H37" i="83"/>
  <c r="G37" i="83"/>
  <c r="F37" i="83"/>
  <c r="E37" i="83"/>
  <c r="P36" i="83"/>
  <c r="O36" i="83"/>
  <c r="N36" i="83"/>
  <c r="M36" i="83"/>
  <c r="L36" i="83"/>
  <c r="K36" i="83"/>
  <c r="J36" i="83"/>
  <c r="I36" i="83"/>
  <c r="H36" i="83"/>
  <c r="G36" i="83"/>
  <c r="F36" i="83"/>
  <c r="E36" i="83"/>
  <c r="P35" i="83"/>
  <c r="O35" i="83"/>
  <c r="N35" i="83"/>
  <c r="M35" i="83"/>
  <c r="L35" i="83"/>
  <c r="K35" i="83"/>
  <c r="J35" i="83"/>
  <c r="I35" i="83"/>
  <c r="H35" i="83"/>
  <c r="G35" i="83"/>
  <c r="F35" i="83"/>
  <c r="E35" i="83"/>
  <c r="P34" i="83"/>
  <c r="O34" i="83"/>
  <c r="N34" i="83"/>
  <c r="M34" i="83"/>
  <c r="L34" i="83"/>
  <c r="K34" i="83"/>
  <c r="J34" i="83"/>
  <c r="I34" i="83"/>
  <c r="H34" i="83"/>
  <c r="G34" i="83"/>
  <c r="F34" i="83"/>
  <c r="E34" i="83"/>
  <c r="P33" i="83"/>
  <c r="O33" i="83"/>
  <c r="N33" i="83"/>
  <c r="M33" i="83"/>
  <c r="L33" i="83"/>
  <c r="K33" i="83"/>
  <c r="J33" i="83"/>
  <c r="I33" i="83"/>
  <c r="H33" i="83"/>
  <c r="G33" i="83"/>
  <c r="F33" i="83"/>
  <c r="E33" i="83"/>
  <c r="P32" i="83"/>
  <c r="O32" i="83"/>
  <c r="N32" i="83"/>
  <c r="M32" i="83"/>
  <c r="L32" i="83"/>
  <c r="K32" i="83"/>
  <c r="J32" i="83"/>
  <c r="I32" i="83"/>
  <c r="H32" i="83"/>
  <c r="G32" i="83"/>
  <c r="F32" i="83"/>
  <c r="E32" i="83"/>
  <c r="P31" i="83"/>
  <c r="O31" i="83"/>
  <c r="N31" i="83"/>
  <c r="M31" i="83"/>
  <c r="L31" i="83"/>
  <c r="K31" i="83"/>
  <c r="J31" i="83"/>
  <c r="I31" i="83"/>
  <c r="H31" i="83"/>
  <c r="G31" i="83"/>
  <c r="F31" i="83"/>
  <c r="E31" i="83"/>
  <c r="P30" i="83"/>
  <c r="O30" i="83"/>
  <c r="N30" i="83"/>
  <c r="M30" i="83"/>
  <c r="L30" i="83"/>
  <c r="K30" i="83"/>
  <c r="J30" i="83"/>
  <c r="I30" i="83"/>
  <c r="H30" i="83"/>
  <c r="G30" i="83"/>
  <c r="F30" i="83"/>
  <c r="E30" i="83"/>
  <c r="P29" i="83"/>
  <c r="O29" i="83"/>
  <c r="N29" i="83"/>
  <c r="M29" i="83"/>
  <c r="L29" i="83"/>
  <c r="K29" i="83"/>
  <c r="J29" i="83"/>
  <c r="I29" i="83"/>
  <c r="H29" i="83"/>
  <c r="G29" i="83"/>
  <c r="F29" i="83"/>
  <c r="E29" i="83"/>
  <c r="P28" i="83"/>
  <c r="O28" i="83"/>
  <c r="N28" i="83"/>
  <c r="M28" i="83"/>
  <c r="L28" i="83"/>
  <c r="K28" i="83"/>
  <c r="J28" i="83"/>
  <c r="I28" i="83"/>
  <c r="H28" i="83"/>
  <c r="G28" i="83"/>
  <c r="F28" i="83"/>
  <c r="E28" i="83"/>
  <c r="P27" i="83"/>
  <c r="O27" i="83"/>
  <c r="N27" i="83"/>
  <c r="M27" i="83"/>
  <c r="L27" i="83"/>
  <c r="K27" i="83"/>
  <c r="J27" i="83"/>
  <c r="I27" i="83"/>
  <c r="H27" i="83"/>
  <c r="G27" i="83"/>
  <c r="F27" i="83"/>
  <c r="E27" i="83"/>
  <c r="P26" i="83"/>
  <c r="O26" i="83"/>
  <c r="N26" i="83"/>
  <c r="M26" i="83"/>
  <c r="L26" i="83"/>
  <c r="K26" i="83"/>
  <c r="J26" i="83"/>
  <c r="I26" i="83"/>
  <c r="H26" i="83"/>
  <c r="G26" i="83"/>
  <c r="F26" i="83"/>
  <c r="E26" i="83"/>
  <c r="P25" i="83"/>
  <c r="O25" i="83"/>
  <c r="N25" i="83"/>
  <c r="M25" i="83"/>
  <c r="L25" i="83"/>
  <c r="K25" i="83"/>
  <c r="J25" i="83"/>
  <c r="I25" i="83"/>
  <c r="H25" i="83"/>
  <c r="G25" i="83"/>
  <c r="F25" i="83"/>
  <c r="E25" i="83"/>
  <c r="P24" i="83"/>
  <c r="O24" i="83"/>
  <c r="N24" i="83"/>
  <c r="M24" i="83"/>
  <c r="L24" i="83"/>
  <c r="K24" i="83"/>
  <c r="J24" i="83"/>
  <c r="I24" i="83"/>
  <c r="H24" i="83"/>
  <c r="G24" i="83"/>
  <c r="F24" i="83"/>
  <c r="E24" i="83"/>
  <c r="P23" i="83"/>
  <c r="O23" i="83"/>
  <c r="N23" i="83"/>
  <c r="M23" i="83"/>
  <c r="L23" i="83"/>
  <c r="K23" i="83"/>
  <c r="J23" i="83"/>
  <c r="I23" i="83"/>
  <c r="H23" i="83"/>
  <c r="G23" i="83"/>
  <c r="F23" i="83"/>
  <c r="E23" i="83"/>
  <c r="P22" i="83"/>
  <c r="O22" i="83"/>
  <c r="N22" i="83"/>
  <c r="M22" i="83"/>
  <c r="L22" i="83"/>
  <c r="K22" i="83"/>
  <c r="J22" i="83"/>
  <c r="I22" i="83"/>
  <c r="H22" i="83"/>
  <c r="G22" i="83"/>
  <c r="F22" i="83"/>
  <c r="E22" i="83"/>
  <c r="P21" i="83"/>
  <c r="O21" i="83"/>
  <c r="N21" i="83"/>
  <c r="M21" i="83"/>
  <c r="L21" i="83"/>
  <c r="K21" i="83"/>
  <c r="J21" i="83"/>
  <c r="I21" i="83"/>
  <c r="H21" i="83"/>
  <c r="G21" i="83"/>
  <c r="F21" i="83"/>
  <c r="E21" i="83"/>
  <c r="P20" i="83"/>
  <c r="O20" i="83"/>
  <c r="N20" i="83"/>
  <c r="M20" i="83"/>
  <c r="L20" i="83"/>
  <c r="K20" i="83"/>
  <c r="J20" i="83"/>
  <c r="I20" i="83"/>
  <c r="H20" i="83"/>
  <c r="G20" i="83"/>
  <c r="F20" i="83"/>
  <c r="E20" i="83"/>
  <c r="P19" i="83"/>
  <c r="O19" i="83"/>
  <c r="N19" i="83"/>
  <c r="M19" i="83"/>
  <c r="L19" i="83"/>
  <c r="K19" i="83"/>
  <c r="J19" i="83"/>
  <c r="I19" i="83"/>
  <c r="H19" i="83"/>
  <c r="G19" i="83"/>
  <c r="F19" i="83"/>
  <c r="E19" i="83"/>
  <c r="P18" i="83"/>
  <c r="O18" i="83"/>
  <c r="N18" i="83"/>
  <c r="M18" i="83"/>
  <c r="L18" i="83"/>
  <c r="K18" i="83"/>
  <c r="J18" i="83"/>
  <c r="I18" i="83"/>
  <c r="H18" i="83"/>
  <c r="G18" i="83"/>
  <c r="F18" i="83"/>
  <c r="E18" i="83"/>
  <c r="P17" i="83"/>
  <c r="O17" i="83"/>
  <c r="N17" i="83"/>
  <c r="M17" i="83"/>
  <c r="L17" i="83"/>
  <c r="K17" i="83"/>
  <c r="J17" i="83"/>
  <c r="I17" i="83"/>
  <c r="H17" i="83"/>
  <c r="G17" i="83"/>
  <c r="F17" i="83"/>
  <c r="E17" i="83"/>
  <c r="P16" i="83"/>
  <c r="O16" i="83"/>
  <c r="N16" i="83"/>
  <c r="M16" i="83"/>
  <c r="L16" i="83"/>
  <c r="K16" i="83"/>
  <c r="J16" i="83"/>
  <c r="I16" i="83"/>
  <c r="H16" i="83"/>
  <c r="G16" i="83"/>
  <c r="F16" i="83"/>
  <c r="E16" i="83"/>
  <c r="P15" i="83"/>
  <c r="O15" i="83"/>
  <c r="N15" i="83"/>
  <c r="M15" i="83"/>
  <c r="L15" i="83"/>
  <c r="K15" i="83"/>
  <c r="J15" i="83"/>
  <c r="I15" i="83"/>
  <c r="H15" i="83"/>
  <c r="G15" i="83"/>
  <c r="F15" i="83"/>
  <c r="E15" i="83"/>
  <c r="D5" i="83"/>
  <c r="D4" i="83"/>
  <c r="Q151" i="152"/>
  <c r="T151" i="152" s="1"/>
  <c r="Q150" i="152"/>
  <c r="T150" i="152" s="1"/>
  <c r="Q149" i="152"/>
  <c r="T149" i="152" s="1"/>
  <c r="P148" i="152"/>
  <c r="P152" i="152" s="1"/>
  <c r="O148" i="152"/>
  <c r="O152" i="152" s="1"/>
  <c r="N148" i="152"/>
  <c r="N152" i="152" s="1"/>
  <c r="M148" i="152"/>
  <c r="M152" i="152" s="1"/>
  <c r="L148" i="152"/>
  <c r="L152" i="152" s="1"/>
  <c r="K148" i="152"/>
  <c r="K152" i="152" s="1"/>
  <c r="J148" i="152"/>
  <c r="J152" i="152" s="1"/>
  <c r="I148" i="152"/>
  <c r="I152" i="152" s="1"/>
  <c r="H148" i="152"/>
  <c r="H152" i="152" s="1"/>
  <c r="G148" i="152"/>
  <c r="G152" i="152" s="1"/>
  <c r="F148" i="152"/>
  <c r="F152" i="152" s="1"/>
  <c r="E148" i="152"/>
  <c r="E152" i="152" s="1"/>
  <c r="Q147" i="152"/>
  <c r="P143" i="152"/>
  <c r="O143" i="152"/>
  <c r="N143" i="152"/>
  <c r="M143" i="152"/>
  <c r="L143" i="152"/>
  <c r="K143" i="152"/>
  <c r="J143" i="152"/>
  <c r="I143" i="152"/>
  <c r="H143" i="152"/>
  <c r="G143" i="152"/>
  <c r="F143" i="152"/>
  <c r="E143" i="152"/>
  <c r="P139" i="152"/>
  <c r="O139" i="152"/>
  <c r="N139" i="152"/>
  <c r="M139" i="152"/>
  <c r="L139" i="152"/>
  <c r="K139" i="152"/>
  <c r="J139" i="152"/>
  <c r="I139" i="152"/>
  <c r="H139" i="152"/>
  <c r="G139" i="152"/>
  <c r="F139" i="152"/>
  <c r="E139" i="152"/>
  <c r="P138" i="152"/>
  <c r="O138" i="152"/>
  <c r="N138" i="152"/>
  <c r="M138" i="152"/>
  <c r="L138" i="152"/>
  <c r="K138" i="152"/>
  <c r="J138" i="152"/>
  <c r="I138" i="152"/>
  <c r="H138" i="152"/>
  <c r="G138" i="152"/>
  <c r="F138" i="152"/>
  <c r="E138" i="152"/>
  <c r="P137" i="152"/>
  <c r="O137" i="152"/>
  <c r="N137" i="152"/>
  <c r="M137" i="152"/>
  <c r="L137" i="152"/>
  <c r="K137" i="152"/>
  <c r="J137" i="152"/>
  <c r="I137" i="152"/>
  <c r="H137" i="152"/>
  <c r="G137" i="152"/>
  <c r="F137" i="152"/>
  <c r="E137" i="152"/>
  <c r="Q136" i="152"/>
  <c r="Q135" i="152"/>
  <c r="T135" i="152" s="1"/>
  <c r="Q134" i="152"/>
  <c r="T134" i="152" s="1"/>
  <c r="Q133" i="152"/>
  <c r="T133" i="152" s="1"/>
  <c r="Q130" i="152"/>
  <c r="T130" i="152" s="1"/>
  <c r="Q129" i="152"/>
  <c r="T129" i="152" s="1"/>
  <c r="P128" i="152"/>
  <c r="O128" i="152"/>
  <c r="N128" i="152"/>
  <c r="M128" i="152"/>
  <c r="L128" i="152"/>
  <c r="K128" i="152"/>
  <c r="J128" i="152"/>
  <c r="I128" i="152"/>
  <c r="H128" i="152"/>
  <c r="G128" i="152"/>
  <c r="F128" i="152"/>
  <c r="E128" i="152"/>
  <c r="P127" i="152"/>
  <c r="O127" i="152"/>
  <c r="N127" i="152"/>
  <c r="M127" i="152"/>
  <c r="L127" i="152"/>
  <c r="K127" i="152"/>
  <c r="J127" i="152"/>
  <c r="I127" i="152"/>
  <c r="H127" i="152"/>
  <c r="G127" i="152"/>
  <c r="F127" i="152"/>
  <c r="E127" i="152"/>
  <c r="P126" i="152"/>
  <c r="O126" i="152"/>
  <c r="N126" i="152"/>
  <c r="M126" i="152"/>
  <c r="L126" i="152"/>
  <c r="K126" i="152"/>
  <c r="J126" i="152"/>
  <c r="I126" i="152"/>
  <c r="H126" i="152"/>
  <c r="G126" i="152"/>
  <c r="F126" i="152"/>
  <c r="E126" i="152"/>
  <c r="P125" i="152"/>
  <c r="O125" i="152"/>
  <c r="N125" i="152"/>
  <c r="M125" i="152"/>
  <c r="L125" i="152"/>
  <c r="K125" i="152"/>
  <c r="J125" i="152"/>
  <c r="I125" i="152"/>
  <c r="H125" i="152"/>
  <c r="G125" i="152"/>
  <c r="F125" i="152"/>
  <c r="E125" i="152"/>
  <c r="P124" i="152"/>
  <c r="O124" i="152"/>
  <c r="N124" i="152"/>
  <c r="M124" i="152"/>
  <c r="L124" i="152"/>
  <c r="K124" i="152"/>
  <c r="J124" i="152"/>
  <c r="I124" i="152"/>
  <c r="H124" i="152"/>
  <c r="G124" i="152"/>
  <c r="F124" i="152"/>
  <c r="E124" i="152"/>
  <c r="P123" i="152"/>
  <c r="O123" i="152"/>
  <c r="N123" i="152"/>
  <c r="M123" i="152"/>
  <c r="L123" i="152"/>
  <c r="K123" i="152"/>
  <c r="J123" i="152"/>
  <c r="I123" i="152"/>
  <c r="H123" i="152"/>
  <c r="G123" i="152"/>
  <c r="F123" i="152"/>
  <c r="E123" i="152"/>
  <c r="P120" i="152"/>
  <c r="O120" i="152"/>
  <c r="N120" i="152"/>
  <c r="M120" i="152"/>
  <c r="L120" i="152"/>
  <c r="K120" i="152"/>
  <c r="J120" i="152"/>
  <c r="I120" i="152"/>
  <c r="H120" i="152"/>
  <c r="G120" i="152"/>
  <c r="F120" i="152"/>
  <c r="E120" i="152"/>
  <c r="P119" i="152"/>
  <c r="O119" i="152"/>
  <c r="N119" i="152"/>
  <c r="M119" i="152"/>
  <c r="L119" i="152"/>
  <c r="K119" i="152"/>
  <c r="J119" i="152"/>
  <c r="I119" i="152"/>
  <c r="H119" i="152"/>
  <c r="G119" i="152"/>
  <c r="F119" i="152"/>
  <c r="E119" i="152"/>
  <c r="P118" i="152"/>
  <c r="O118" i="152"/>
  <c r="N118" i="152"/>
  <c r="M118" i="152"/>
  <c r="L118" i="152"/>
  <c r="K118" i="152"/>
  <c r="J118" i="152"/>
  <c r="I118" i="152"/>
  <c r="H118" i="152"/>
  <c r="G118" i="152"/>
  <c r="F118" i="152"/>
  <c r="E118" i="152"/>
  <c r="P117" i="152"/>
  <c r="O117" i="152"/>
  <c r="N117" i="152"/>
  <c r="M117" i="152"/>
  <c r="L117" i="152"/>
  <c r="K117" i="152"/>
  <c r="J117" i="152"/>
  <c r="I117" i="152"/>
  <c r="H117" i="152"/>
  <c r="G117" i="152"/>
  <c r="F117" i="152"/>
  <c r="E117" i="152"/>
  <c r="P116" i="152"/>
  <c r="O116" i="152"/>
  <c r="N116" i="152"/>
  <c r="M116" i="152"/>
  <c r="L116" i="152"/>
  <c r="K116" i="152"/>
  <c r="J116" i="152"/>
  <c r="I116" i="152"/>
  <c r="H116" i="152"/>
  <c r="G116" i="152"/>
  <c r="F116" i="152"/>
  <c r="E116" i="152"/>
  <c r="P113" i="152"/>
  <c r="O113" i="152"/>
  <c r="N113" i="152"/>
  <c r="M113" i="152"/>
  <c r="L113" i="152"/>
  <c r="K113" i="152"/>
  <c r="J113" i="152"/>
  <c r="I113" i="152"/>
  <c r="H113" i="152"/>
  <c r="G113" i="152"/>
  <c r="F113" i="152"/>
  <c r="E113" i="152"/>
  <c r="P112" i="152"/>
  <c r="O112" i="152"/>
  <c r="N112" i="152"/>
  <c r="M112" i="152"/>
  <c r="L112" i="152"/>
  <c r="K112" i="152"/>
  <c r="J112" i="152"/>
  <c r="I112" i="152"/>
  <c r="H112" i="152"/>
  <c r="G112" i="152"/>
  <c r="F112" i="152"/>
  <c r="E112" i="152"/>
  <c r="T106" i="152"/>
  <c r="T105" i="152"/>
  <c r="Q105" i="152"/>
  <c r="T104" i="152"/>
  <c r="Q104" i="152"/>
  <c r="T103" i="152"/>
  <c r="Q103" i="152"/>
  <c r="T102" i="152"/>
  <c r="Q102" i="152"/>
  <c r="T101" i="152"/>
  <c r="Q101" i="152"/>
  <c r="T100" i="152"/>
  <c r="Q100" i="152"/>
  <c r="T99" i="152"/>
  <c r="Q99" i="152"/>
  <c r="T98" i="152"/>
  <c r="Q98" i="152"/>
  <c r="T97" i="152"/>
  <c r="Q97" i="152"/>
  <c r="T96" i="152"/>
  <c r="Q96" i="152"/>
  <c r="T95" i="152"/>
  <c r="Q95" i="152"/>
  <c r="T94" i="152"/>
  <c r="P94" i="152"/>
  <c r="P106" i="152" s="1"/>
  <c r="P43" i="81" s="1"/>
  <c r="O94" i="152"/>
  <c r="O106" i="152" s="1"/>
  <c r="O43" i="81" s="1"/>
  <c r="N94" i="152"/>
  <c r="N106" i="152" s="1"/>
  <c r="N43" i="81" s="1"/>
  <c r="M94" i="152"/>
  <c r="M106" i="152" s="1"/>
  <c r="M43" i="81" s="1"/>
  <c r="L94" i="152"/>
  <c r="L106" i="152" s="1"/>
  <c r="L43" i="81" s="1"/>
  <c r="K94" i="152"/>
  <c r="K106" i="152" s="1"/>
  <c r="K43" i="81" s="1"/>
  <c r="J94" i="152"/>
  <c r="J106" i="152" s="1"/>
  <c r="J43" i="81" s="1"/>
  <c r="I94" i="152"/>
  <c r="I106" i="152" s="1"/>
  <c r="I43" i="81" s="1"/>
  <c r="H94" i="152"/>
  <c r="H106" i="152" s="1"/>
  <c r="H43" i="81" s="1"/>
  <c r="G94" i="152"/>
  <c r="G106" i="152" s="1"/>
  <c r="G43" i="81" s="1"/>
  <c r="F94" i="152"/>
  <c r="F106" i="152" s="1"/>
  <c r="F43" i="81" s="1"/>
  <c r="E94" i="152"/>
  <c r="T93" i="152"/>
  <c r="Q93" i="152"/>
  <c r="T92" i="152"/>
  <c r="Q92" i="152"/>
  <c r="T91" i="152"/>
  <c r="Q91" i="152"/>
  <c r="T90" i="152"/>
  <c r="Q90" i="152"/>
  <c r="T89" i="152"/>
  <c r="Q89" i="152"/>
  <c r="T88" i="152"/>
  <c r="Q88" i="152"/>
  <c r="T87" i="152"/>
  <c r="Q87" i="152"/>
  <c r="T86" i="152"/>
  <c r="Q86" i="152"/>
  <c r="T85" i="152"/>
  <c r="Q85" i="152"/>
  <c r="T84" i="152"/>
  <c r="Q84" i="152"/>
  <c r="T83" i="152"/>
  <c r="Q83" i="152"/>
  <c r="T82" i="152"/>
  <c r="Q82" i="152"/>
  <c r="T81" i="152"/>
  <c r="Q81" i="152"/>
  <c r="T80" i="152"/>
  <c r="Q80" i="152"/>
  <c r="T79" i="152"/>
  <c r="Q79" i="152"/>
  <c r="T78" i="152"/>
  <c r="Q78" i="152"/>
  <c r="T77" i="152"/>
  <c r="Q77" i="152"/>
  <c r="T76" i="152"/>
  <c r="Q76" i="152"/>
  <c r="T75" i="152"/>
  <c r="Q75" i="152"/>
  <c r="T74" i="152"/>
  <c r="Q74" i="152"/>
  <c r="T73" i="152"/>
  <c r="Q73" i="152"/>
  <c r="T72" i="152"/>
  <c r="Q72" i="152"/>
  <c r="T71" i="152"/>
  <c r="Q71" i="152"/>
  <c r="T70" i="152"/>
  <c r="Q70" i="152"/>
  <c r="T69" i="152"/>
  <c r="Q69" i="152"/>
  <c r="T68" i="152"/>
  <c r="Q68" i="152"/>
  <c r="T67" i="152"/>
  <c r="Q67" i="152"/>
  <c r="T66" i="152"/>
  <c r="Q66" i="152"/>
  <c r="T65" i="152"/>
  <c r="Q65" i="152"/>
  <c r="T64" i="152"/>
  <c r="Q64" i="152"/>
  <c r="T63" i="152"/>
  <c r="Q63" i="152"/>
  <c r="T62" i="152"/>
  <c r="Q62" i="152"/>
  <c r="T61" i="152"/>
  <c r="Q61" i="152"/>
  <c r="T60" i="152"/>
  <c r="Q60" i="152"/>
  <c r="T59" i="152"/>
  <c r="Q59" i="152"/>
  <c r="T58" i="152"/>
  <c r="Q58" i="152"/>
  <c r="T57" i="152"/>
  <c r="Q57" i="152"/>
  <c r="T56" i="152"/>
  <c r="Q56" i="152"/>
  <c r="T55" i="152"/>
  <c r="Q55" i="152"/>
  <c r="T54" i="152"/>
  <c r="Q54" i="152"/>
  <c r="T53" i="152"/>
  <c r="Q53" i="152"/>
  <c r="T52" i="152"/>
  <c r="Q52" i="152"/>
  <c r="T51" i="152"/>
  <c r="Q51" i="152"/>
  <c r="T50" i="152"/>
  <c r="Q50" i="152"/>
  <c r="T49" i="152"/>
  <c r="Q49" i="152"/>
  <c r="T48" i="152"/>
  <c r="Q48" i="152"/>
  <c r="T47" i="152"/>
  <c r="Q47" i="152"/>
  <c r="T46" i="152"/>
  <c r="Q46" i="152"/>
  <c r="T45" i="152"/>
  <c r="Q45" i="152"/>
  <c r="T44" i="152"/>
  <c r="Q44" i="152"/>
  <c r="T43" i="152"/>
  <c r="Q43" i="152"/>
  <c r="Q42" i="152"/>
  <c r="T42" i="152" s="1"/>
  <c r="Q41" i="152"/>
  <c r="T41" i="152" s="1"/>
  <c r="Q40" i="152"/>
  <c r="T40" i="152" s="1"/>
  <c r="Q39" i="152"/>
  <c r="T39" i="152" s="1"/>
  <c r="Q38" i="152"/>
  <c r="T38" i="152" s="1"/>
  <c r="P34" i="152"/>
  <c r="O34" i="152"/>
  <c r="N34" i="152"/>
  <c r="M34" i="152"/>
  <c r="L34" i="152"/>
  <c r="K34" i="152"/>
  <c r="J34" i="152"/>
  <c r="I34" i="152"/>
  <c r="H34" i="152"/>
  <c r="G34" i="152"/>
  <c r="F34" i="152"/>
  <c r="E34" i="152"/>
  <c r="Q33" i="152"/>
  <c r="T33" i="152" s="1"/>
  <c r="Q32" i="152"/>
  <c r="T32" i="152" s="1"/>
  <c r="Q31" i="152"/>
  <c r="T31" i="152" s="1"/>
  <c r="Q30" i="152"/>
  <c r="T30" i="152" s="1"/>
  <c r="Q29" i="152"/>
  <c r="T29" i="152" s="1"/>
  <c r="Q28" i="152"/>
  <c r="T28" i="152" s="1"/>
  <c r="Q27" i="152"/>
  <c r="T27" i="152" s="1"/>
  <c r="Q26" i="152"/>
  <c r="T26" i="152" s="1"/>
  <c r="Q25" i="152"/>
  <c r="T25" i="152" s="1"/>
  <c r="Q24" i="152"/>
  <c r="T24" i="152" s="1"/>
  <c r="Q23" i="152"/>
  <c r="T23" i="152" s="1"/>
  <c r="Q22" i="152"/>
  <c r="T22" i="152" s="1"/>
  <c r="Q21" i="152"/>
  <c r="T21" i="152" s="1"/>
  <c r="Q20" i="152"/>
  <c r="T20" i="152" s="1"/>
  <c r="Q19" i="152"/>
  <c r="T19" i="152" s="1"/>
  <c r="Q18" i="152"/>
  <c r="T18" i="152" s="1"/>
  <c r="P15" i="152"/>
  <c r="O15" i="152"/>
  <c r="N15" i="152"/>
  <c r="N25" i="81" s="1"/>
  <c r="M15" i="152"/>
  <c r="M25" i="81" s="1"/>
  <c r="L15" i="152"/>
  <c r="K15" i="152"/>
  <c r="J15" i="152"/>
  <c r="I15" i="152"/>
  <c r="I25" i="81" s="1"/>
  <c r="H15" i="152"/>
  <c r="G15" i="152"/>
  <c r="F15" i="152"/>
  <c r="F25" i="81" s="1"/>
  <c r="E15" i="152"/>
  <c r="E25" i="81" s="1"/>
  <c r="T14" i="152"/>
  <c r="Q14" i="152"/>
  <c r="Q13" i="152"/>
  <c r="T13" i="152" s="1"/>
  <c r="Q12" i="152"/>
  <c r="D7" i="152"/>
  <c r="D5" i="152"/>
  <c r="D4" i="152"/>
  <c r="S128" i="151"/>
  <c r="T128" i="151" s="1"/>
  <c r="S127" i="151"/>
  <c r="T127" i="151" s="1"/>
  <c r="S126" i="151"/>
  <c r="S125" i="151"/>
  <c r="P125" i="151"/>
  <c r="O125" i="151"/>
  <c r="N125" i="151"/>
  <c r="M125" i="151"/>
  <c r="L125" i="151"/>
  <c r="K125" i="151"/>
  <c r="J125" i="151"/>
  <c r="I125" i="151"/>
  <c r="H125" i="151"/>
  <c r="G125" i="151"/>
  <c r="F125" i="151"/>
  <c r="E125" i="151"/>
  <c r="S124" i="151"/>
  <c r="Q124" i="151"/>
  <c r="S123" i="151"/>
  <c r="Q123" i="151"/>
  <c r="S122" i="151"/>
  <c r="Q122" i="151"/>
  <c r="S121" i="151"/>
  <c r="Q121" i="151"/>
  <c r="S120" i="151"/>
  <c r="Q120" i="151"/>
  <c r="S119" i="151"/>
  <c r="Q119" i="151"/>
  <c r="S118" i="151"/>
  <c r="Q118" i="151"/>
  <c r="S117" i="151"/>
  <c r="T117" i="151" s="1"/>
  <c r="S116" i="151"/>
  <c r="P116" i="151"/>
  <c r="O116" i="151"/>
  <c r="N116" i="151"/>
  <c r="M116" i="151"/>
  <c r="L116" i="151"/>
  <c r="K116" i="151"/>
  <c r="J116" i="151"/>
  <c r="I116" i="151"/>
  <c r="H116" i="151"/>
  <c r="G116" i="151"/>
  <c r="F116" i="151"/>
  <c r="E116" i="151"/>
  <c r="S115" i="151"/>
  <c r="Q115" i="151"/>
  <c r="S114" i="151"/>
  <c r="Q114" i="151"/>
  <c r="S113" i="151"/>
  <c r="Q113" i="151"/>
  <c r="S112" i="151"/>
  <c r="Q112" i="151"/>
  <c r="S111" i="151"/>
  <c r="Q111" i="151"/>
  <c r="S110" i="151"/>
  <c r="Q110" i="151"/>
  <c r="S109" i="151"/>
  <c r="Q109" i="151"/>
  <c r="S108" i="151"/>
  <c r="Q108" i="151"/>
  <c r="S107" i="151"/>
  <c r="T107" i="151" s="1"/>
  <c r="S106" i="151"/>
  <c r="P106" i="151"/>
  <c r="O106" i="151"/>
  <c r="N106" i="151"/>
  <c r="M106" i="151"/>
  <c r="L106" i="151"/>
  <c r="K106" i="151"/>
  <c r="J106" i="151"/>
  <c r="I106" i="151"/>
  <c r="H106" i="151"/>
  <c r="G106" i="151"/>
  <c r="F106" i="151"/>
  <c r="E106" i="151"/>
  <c r="S105" i="151"/>
  <c r="Q105" i="151"/>
  <c r="S104" i="151"/>
  <c r="Q104" i="151"/>
  <c r="S103" i="151"/>
  <c r="Q103" i="151"/>
  <c r="S102" i="151"/>
  <c r="Q102" i="151"/>
  <c r="S101" i="151"/>
  <c r="Q101" i="151"/>
  <c r="S100" i="151"/>
  <c r="T100" i="151" s="1"/>
  <c r="S99" i="151"/>
  <c r="P99" i="151"/>
  <c r="O99" i="151"/>
  <c r="N99" i="151"/>
  <c r="M99" i="151"/>
  <c r="L99" i="151"/>
  <c r="K99" i="151"/>
  <c r="J99" i="151"/>
  <c r="I99" i="151"/>
  <c r="H99" i="151"/>
  <c r="G99" i="151"/>
  <c r="F99" i="151"/>
  <c r="E99" i="151"/>
  <c r="S98" i="151"/>
  <c r="Q98" i="151"/>
  <c r="S97" i="151"/>
  <c r="Q97" i="151"/>
  <c r="S96" i="151"/>
  <c r="T96" i="151" s="1"/>
  <c r="S95" i="151"/>
  <c r="T95" i="151" s="1"/>
  <c r="T91" i="151"/>
  <c r="P91" i="151"/>
  <c r="O91" i="151"/>
  <c r="N91" i="151"/>
  <c r="M91" i="151"/>
  <c r="L91" i="151"/>
  <c r="K91" i="151"/>
  <c r="J91" i="151"/>
  <c r="I91" i="151"/>
  <c r="H91" i="151"/>
  <c r="G91" i="151"/>
  <c r="F91" i="151"/>
  <c r="E91" i="151"/>
  <c r="T90" i="151"/>
  <c r="Q90" i="151"/>
  <c r="T89" i="151"/>
  <c r="Q89" i="151"/>
  <c r="T88" i="151"/>
  <c r="Q88" i="151"/>
  <c r="T87" i="151"/>
  <c r="Q87" i="151"/>
  <c r="T86" i="151"/>
  <c r="Q86" i="151"/>
  <c r="T85" i="151"/>
  <c r="Q85" i="151"/>
  <c r="T84" i="151"/>
  <c r="Q84" i="151"/>
  <c r="T83" i="151"/>
  <c r="Q83" i="151"/>
  <c r="T82" i="151"/>
  <c r="Q82" i="151"/>
  <c r="T81" i="151"/>
  <c r="Q81" i="151"/>
  <c r="T80" i="151"/>
  <c r="Q80" i="151"/>
  <c r="T79" i="151"/>
  <c r="Q79" i="151"/>
  <c r="T78" i="151"/>
  <c r="Q78" i="151"/>
  <c r="T77" i="151"/>
  <c r="Q77" i="151"/>
  <c r="T76" i="151"/>
  <c r="Q76" i="151"/>
  <c r="T75" i="151"/>
  <c r="Q75" i="151"/>
  <c r="T74" i="151"/>
  <c r="Q74" i="151"/>
  <c r="T73" i="151"/>
  <c r="Q73" i="151"/>
  <c r="T72" i="151"/>
  <c r="Q72" i="151"/>
  <c r="T71" i="151"/>
  <c r="Q71" i="151"/>
  <c r="T70" i="151"/>
  <c r="Q70" i="151"/>
  <c r="T69" i="151"/>
  <c r="Q69" i="151"/>
  <c r="T68" i="151"/>
  <c r="Q68" i="151"/>
  <c r="T67" i="151"/>
  <c r="Q67" i="151"/>
  <c r="T66" i="151"/>
  <c r="Q66" i="151"/>
  <c r="T65" i="151"/>
  <c r="Q65" i="151"/>
  <c r="T64" i="151"/>
  <c r="Q64" i="151"/>
  <c r="T63" i="151"/>
  <c r="Q63" i="151"/>
  <c r="T62" i="151"/>
  <c r="Q62" i="151"/>
  <c r="T61" i="151"/>
  <c r="Q61" i="151"/>
  <c r="T60" i="151"/>
  <c r="Q60" i="151"/>
  <c r="T59" i="151"/>
  <c r="Q59" i="151"/>
  <c r="T58" i="151"/>
  <c r="Q58" i="151"/>
  <c r="T57" i="151"/>
  <c r="Q57" i="151"/>
  <c r="T56" i="151"/>
  <c r="Q56" i="151"/>
  <c r="T55" i="151"/>
  <c r="Q55" i="151"/>
  <c r="T54" i="151"/>
  <c r="Q54" i="151"/>
  <c r="T53" i="151"/>
  <c r="Q53" i="151"/>
  <c r="T52" i="151"/>
  <c r="Q52" i="151"/>
  <c r="T51" i="151"/>
  <c r="Q51" i="151"/>
  <c r="T50" i="151"/>
  <c r="Q50" i="151"/>
  <c r="T49" i="151"/>
  <c r="Q49" i="151"/>
  <c r="T48" i="151"/>
  <c r="Q48" i="151"/>
  <c r="Q47" i="151"/>
  <c r="T47" i="151" s="1"/>
  <c r="Q46" i="151"/>
  <c r="T46" i="151" s="1"/>
  <c r="Q45" i="151"/>
  <c r="T45" i="151" s="1"/>
  <c r="Q44" i="151"/>
  <c r="T44" i="151" s="1"/>
  <c r="Q43" i="151"/>
  <c r="T43" i="151" s="1"/>
  <c r="Q42" i="151"/>
  <c r="T42" i="151" s="1"/>
  <c r="Q41" i="151"/>
  <c r="T41" i="151" s="1"/>
  <c r="Q40" i="151"/>
  <c r="T40" i="151" s="1"/>
  <c r="Q39" i="151"/>
  <c r="T39" i="151" s="1"/>
  <c r="Q38" i="151"/>
  <c r="T38" i="151" s="1"/>
  <c r="Q37" i="151"/>
  <c r="T37" i="151" s="1"/>
  <c r="Q36" i="151"/>
  <c r="T36" i="151" s="1"/>
  <c r="Q35" i="151"/>
  <c r="T35" i="151" s="1"/>
  <c r="Q34" i="151"/>
  <c r="T34" i="151" s="1"/>
  <c r="Q33" i="151"/>
  <c r="T33" i="151" s="1"/>
  <c r="Q32" i="151"/>
  <c r="T32" i="151" s="1"/>
  <c r="Q31" i="151"/>
  <c r="T31" i="151" s="1"/>
  <c r="Q30" i="151"/>
  <c r="T30" i="151" s="1"/>
  <c r="Q29" i="151"/>
  <c r="T29" i="151" s="1"/>
  <c r="Q28" i="151"/>
  <c r="T28" i="151" s="1"/>
  <c r="Q27" i="151"/>
  <c r="T27" i="151" s="1"/>
  <c r="Q26" i="151"/>
  <c r="T26" i="151" s="1"/>
  <c r="Q25" i="151"/>
  <c r="T25" i="151" s="1"/>
  <c r="Q24" i="151"/>
  <c r="T24" i="151" s="1"/>
  <c r="Q23" i="151"/>
  <c r="P18" i="151"/>
  <c r="O18" i="151"/>
  <c r="N18" i="151"/>
  <c r="M18" i="151"/>
  <c r="L18" i="151"/>
  <c r="K18" i="151"/>
  <c r="J18" i="151"/>
  <c r="I18" i="151"/>
  <c r="H18" i="151"/>
  <c r="G18" i="151"/>
  <c r="F18" i="151"/>
  <c r="E18" i="151"/>
  <c r="Q17" i="151"/>
  <c r="T17" i="151" s="1"/>
  <c r="P14" i="151"/>
  <c r="P22" i="81" s="1"/>
  <c r="O14" i="151"/>
  <c r="O22" i="81" s="1"/>
  <c r="N14" i="151"/>
  <c r="M14" i="151"/>
  <c r="M22" i="81" s="1"/>
  <c r="L14" i="151"/>
  <c r="L22" i="81" s="1"/>
  <c r="K14" i="151"/>
  <c r="K22" i="81" s="1"/>
  <c r="J14" i="151"/>
  <c r="I14" i="151"/>
  <c r="I22" i="81" s="1"/>
  <c r="H14" i="151"/>
  <c r="H22" i="81" s="1"/>
  <c r="G14" i="151"/>
  <c r="G22" i="81" s="1"/>
  <c r="F14" i="151"/>
  <c r="E14" i="151"/>
  <c r="E22" i="81" s="1"/>
  <c r="Q13" i="151"/>
  <c r="T13" i="151" s="1"/>
  <c r="Q12" i="151"/>
  <c r="D7" i="151"/>
  <c r="D5" i="151"/>
  <c r="D4" i="151"/>
  <c r="P147" i="150"/>
  <c r="O147" i="150"/>
  <c r="N147" i="150"/>
  <c r="M147" i="150"/>
  <c r="L147" i="150"/>
  <c r="K147" i="150"/>
  <c r="J147" i="150"/>
  <c r="I147" i="150"/>
  <c r="H147" i="150"/>
  <c r="G147" i="150"/>
  <c r="F147" i="150"/>
  <c r="E147" i="150"/>
  <c r="Q146" i="150"/>
  <c r="Q145" i="150"/>
  <c r="Q144" i="150"/>
  <c r="Q143" i="150"/>
  <c r="Q142" i="150"/>
  <c r="Q141" i="150"/>
  <c r="Q140" i="150"/>
  <c r="P138" i="150"/>
  <c r="O138" i="150"/>
  <c r="N138" i="150"/>
  <c r="M138" i="150"/>
  <c r="L138" i="150"/>
  <c r="K138" i="150"/>
  <c r="J138" i="150"/>
  <c r="I138" i="150"/>
  <c r="H138" i="150"/>
  <c r="G138" i="150"/>
  <c r="F138" i="150"/>
  <c r="E138" i="150"/>
  <c r="Q137" i="150"/>
  <c r="Q136" i="150"/>
  <c r="Q135" i="150"/>
  <c r="Q134" i="150"/>
  <c r="Q133" i="150"/>
  <c r="Q132" i="150"/>
  <c r="Q131" i="150"/>
  <c r="Q130" i="150"/>
  <c r="P128" i="150"/>
  <c r="O128" i="150"/>
  <c r="N128" i="150"/>
  <c r="M128" i="150"/>
  <c r="L128" i="150"/>
  <c r="K128" i="150"/>
  <c r="J128" i="150"/>
  <c r="I128" i="150"/>
  <c r="H128" i="150"/>
  <c r="G128" i="150"/>
  <c r="F128" i="150"/>
  <c r="E128" i="150"/>
  <c r="Q127" i="150"/>
  <c r="Q126" i="150"/>
  <c r="Q125" i="150"/>
  <c r="Q124" i="150"/>
  <c r="Q123" i="150"/>
  <c r="P121" i="150"/>
  <c r="O121" i="150"/>
  <c r="N121" i="150"/>
  <c r="M121" i="150"/>
  <c r="L121" i="150"/>
  <c r="K121" i="150"/>
  <c r="J121" i="150"/>
  <c r="I121" i="150"/>
  <c r="H121" i="150"/>
  <c r="G121" i="150"/>
  <c r="F121" i="150"/>
  <c r="E121" i="150"/>
  <c r="Q120" i="150"/>
  <c r="Q119" i="150"/>
  <c r="T113" i="150"/>
  <c r="P113" i="150"/>
  <c r="O113" i="150"/>
  <c r="N113" i="150"/>
  <c r="M113" i="150"/>
  <c r="L113" i="150"/>
  <c r="K113" i="150"/>
  <c r="J113" i="150"/>
  <c r="I113" i="150"/>
  <c r="H113" i="150"/>
  <c r="G113" i="150"/>
  <c r="F113" i="150"/>
  <c r="E113" i="150"/>
  <c r="T112" i="150"/>
  <c r="Q112" i="150"/>
  <c r="Q111" i="150"/>
  <c r="T111" i="150" s="1"/>
  <c r="Q110" i="150"/>
  <c r="T110" i="150" s="1"/>
  <c r="Q109" i="150"/>
  <c r="T109" i="150" s="1"/>
  <c r="Q108" i="150"/>
  <c r="T108" i="150" s="1"/>
  <c r="Q107" i="150"/>
  <c r="T107" i="150" s="1"/>
  <c r="Q106" i="150"/>
  <c r="T106" i="150" s="1"/>
  <c r="Q105" i="150"/>
  <c r="T105" i="150" s="1"/>
  <c r="Q104" i="150"/>
  <c r="T104" i="150" s="1"/>
  <c r="Q103" i="150"/>
  <c r="T103" i="150" s="1"/>
  <c r="Q102" i="150"/>
  <c r="T102" i="150" s="1"/>
  <c r="Q101" i="150"/>
  <c r="T101" i="150" s="1"/>
  <c r="Q100" i="150"/>
  <c r="T100" i="150" s="1"/>
  <c r="Q99" i="150"/>
  <c r="T99" i="150" s="1"/>
  <c r="Q98" i="150"/>
  <c r="T98" i="150" s="1"/>
  <c r="Q97" i="150"/>
  <c r="T97" i="150" s="1"/>
  <c r="Q96" i="150"/>
  <c r="T96" i="150" s="1"/>
  <c r="Q95" i="150"/>
  <c r="T95" i="150" s="1"/>
  <c r="Q94" i="150"/>
  <c r="T94" i="150" s="1"/>
  <c r="Q93" i="150"/>
  <c r="T93" i="150" s="1"/>
  <c r="Q92" i="150"/>
  <c r="T92" i="150" s="1"/>
  <c r="Q91" i="150"/>
  <c r="T91" i="150" s="1"/>
  <c r="Q90" i="150"/>
  <c r="T90" i="150" s="1"/>
  <c r="Q89" i="150"/>
  <c r="T89" i="150" s="1"/>
  <c r="Q88" i="150"/>
  <c r="T88" i="150" s="1"/>
  <c r="Q87" i="150"/>
  <c r="T87" i="150" s="1"/>
  <c r="Q86" i="150"/>
  <c r="T86" i="150" s="1"/>
  <c r="Q85" i="150"/>
  <c r="T85" i="150" s="1"/>
  <c r="Q84" i="150"/>
  <c r="T84" i="150" s="1"/>
  <c r="Q83" i="150"/>
  <c r="T83" i="150" s="1"/>
  <c r="Q82" i="150"/>
  <c r="T82" i="150" s="1"/>
  <c r="Q81" i="150"/>
  <c r="T81" i="150" s="1"/>
  <c r="Q80" i="150"/>
  <c r="T80" i="150" s="1"/>
  <c r="Q79" i="150"/>
  <c r="T79" i="150" s="1"/>
  <c r="Q78" i="150"/>
  <c r="T78" i="150" s="1"/>
  <c r="Q77" i="150"/>
  <c r="T77" i="150" s="1"/>
  <c r="Q76" i="150"/>
  <c r="T76" i="150" s="1"/>
  <c r="Q75" i="150"/>
  <c r="T75" i="150" s="1"/>
  <c r="Q74" i="150"/>
  <c r="T74" i="150" s="1"/>
  <c r="Q73" i="150"/>
  <c r="T73" i="150" s="1"/>
  <c r="Q72" i="150"/>
  <c r="T72" i="150" s="1"/>
  <c r="Q71" i="150"/>
  <c r="T71" i="150" s="1"/>
  <c r="Q70" i="150"/>
  <c r="T70" i="150" s="1"/>
  <c r="Q69" i="150"/>
  <c r="T69" i="150" s="1"/>
  <c r="Q68" i="150"/>
  <c r="T68" i="150" s="1"/>
  <c r="Q67" i="150"/>
  <c r="T67" i="150" s="1"/>
  <c r="Q66" i="150"/>
  <c r="T66" i="150" s="1"/>
  <c r="Q65" i="150"/>
  <c r="T65" i="150" s="1"/>
  <c r="Q64" i="150"/>
  <c r="T64" i="150" s="1"/>
  <c r="Q63" i="150"/>
  <c r="T63" i="150" s="1"/>
  <c r="Q62" i="150"/>
  <c r="T62" i="150" s="1"/>
  <c r="Q61" i="150"/>
  <c r="T61" i="150" s="1"/>
  <c r="Q60" i="150"/>
  <c r="T60" i="150" s="1"/>
  <c r="Q59" i="150"/>
  <c r="T59" i="150" s="1"/>
  <c r="Q58" i="150"/>
  <c r="T58" i="150" s="1"/>
  <c r="Q57" i="150"/>
  <c r="T57" i="150" s="1"/>
  <c r="Q56" i="150"/>
  <c r="T56" i="150" s="1"/>
  <c r="Q55" i="150"/>
  <c r="T55" i="150" s="1"/>
  <c r="Q54" i="150"/>
  <c r="T54" i="150" s="1"/>
  <c r="Q53" i="150"/>
  <c r="T53" i="150" s="1"/>
  <c r="Q52" i="150"/>
  <c r="T52" i="150" s="1"/>
  <c r="Q51" i="150"/>
  <c r="T51" i="150" s="1"/>
  <c r="Q50" i="150"/>
  <c r="T50" i="150" s="1"/>
  <c r="Q49" i="150"/>
  <c r="T49" i="150" s="1"/>
  <c r="Q48" i="150"/>
  <c r="T48" i="150" s="1"/>
  <c r="Q47" i="150"/>
  <c r="T47" i="150" s="1"/>
  <c r="Q46" i="150"/>
  <c r="T46" i="150" s="1"/>
  <c r="Q45" i="150"/>
  <c r="P40" i="150"/>
  <c r="O40" i="150"/>
  <c r="N40" i="150"/>
  <c r="M40" i="150"/>
  <c r="L40" i="150"/>
  <c r="K40" i="150"/>
  <c r="J40" i="150"/>
  <c r="I40" i="150"/>
  <c r="H40" i="150"/>
  <c r="G40" i="150"/>
  <c r="F40" i="150"/>
  <c r="E40" i="150"/>
  <c r="Q39" i="150"/>
  <c r="Q38" i="150"/>
  <c r="T38" i="150" s="1"/>
  <c r="Q37" i="150"/>
  <c r="T37" i="150" s="1"/>
  <c r="Q36" i="150"/>
  <c r="T36" i="150" s="1"/>
  <c r="Q35" i="150"/>
  <c r="Q34" i="150"/>
  <c r="T34" i="150" s="1"/>
  <c r="Q33" i="150"/>
  <c r="T33" i="150" s="1"/>
  <c r="Q32" i="150"/>
  <c r="T32" i="150" s="1"/>
  <c r="Q31" i="150"/>
  <c r="Q30" i="150"/>
  <c r="T30" i="150" s="1"/>
  <c r="Q29" i="150"/>
  <c r="T29" i="150" s="1"/>
  <c r="Q28" i="150"/>
  <c r="T28" i="150" s="1"/>
  <c r="Q27" i="150"/>
  <c r="Q26" i="150"/>
  <c r="T26" i="150" s="1"/>
  <c r="Q25" i="150"/>
  <c r="T25" i="150" s="1"/>
  <c r="Q24" i="150"/>
  <c r="T24" i="150" s="1"/>
  <c r="P21" i="150"/>
  <c r="P18" i="81" s="1"/>
  <c r="O21" i="150"/>
  <c r="O18" i="81" s="1"/>
  <c r="N21" i="150"/>
  <c r="N18" i="81" s="1"/>
  <c r="M21" i="150"/>
  <c r="M18" i="81" s="1"/>
  <c r="L21" i="150"/>
  <c r="L18" i="81" s="1"/>
  <c r="K21" i="150"/>
  <c r="K18" i="81" s="1"/>
  <c r="J21" i="150"/>
  <c r="J18" i="81" s="1"/>
  <c r="I21" i="150"/>
  <c r="I18" i="81" s="1"/>
  <c r="H21" i="150"/>
  <c r="H18" i="81" s="1"/>
  <c r="G21" i="150"/>
  <c r="G18" i="81" s="1"/>
  <c r="F21" i="150"/>
  <c r="F18" i="81" s="1"/>
  <c r="E21" i="150"/>
  <c r="E18" i="81" s="1"/>
  <c r="T20" i="150"/>
  <c r="Q20" i="150"/>
  <c r="Q19" i="150"/>
  <c r="T19" i="150" s="1"/>
  <c r="T18" i="150"/>
  <c r="Q18" i="150"/>
  <c r="Q17" i="150"/>
  <c r="T17" i="150" s="1"/>
  <c r="T16" i="150"/>
  <c r="Q16" i="150"/>
  <c r="Q15" i="150"/>
  <c r="T15" i="150" s="1"/>
  <c r="T14" i="150"/>
  <c r="Q14" i="150"/>
  <c r="Q13" i="150"/>
  <c r="T13" i="150" s="1"/>
  <c r="Q12" i="150"/>
  <c r="T12" i="150" s="1"/>
  <c r="D7" i="150"/>
  <c r="D5" i="150"/>
  <c r="D4" i="150"/>
  <c r="S137" i="138"/>
  <c r="T137" i="138" s="1"/>
  <c r="S136" i="138"/>
  <c r="T136" i="138" s="1"/>
  <c r="S135" i="138"/>
  <c r="S134" i="138"/>
  <c r="S133" i="138"/>
  <c r="Q133" i="138"/>
  <c r="S132" i="138"/>
  <c r="Q132" i="138"/>
  <c r="S131" i="138"/>
  <c r="Q131" i="138"/>
  <c r="S130" i="138"/>
  <c r="Q130" i="138"/>
  <c r="S129" i="138"/>
  <c r="Q129" i="138"/>
  <c r="S128" i="138"/>
  <c r="Q128" i="138"/>
  <c r="S127" i="138"/>
  <c r="Q127" i="138"/>
  <c r="S126" i="138"/>
  <c r="T126" i="138" s="1"/>
  <c r="S125" i="138"/>
  <c r="P125" i="138"/>
  <c r="O125" i="138"/>
  <c r="N125" i="138"/>
  <c r="M125" i="138"/>
  <c r="L125" i="138"/>
  <c r="K125" i="138"/>
  <c r="J125" i="138"/>
  <c r="I125" i="138"/>
  <c r="H125" i="138"/>
  <c r="G125" i="138"/>
  <c r="F125" i="138"/>
  <c r="E125" i="138"/>
  <c r="S124" i="138"/>
  <c r="T124" i="138" s="1"/>
  <c r="Q124" i="138"/>
  <c r="S123" i="138"/>
  <c r="Q123" i="138"/>
  <c r="S122" i="138"/>
  <c r="Q122" i="138"/>
  <c r="S121" i="138"/>
  <c r="Q121" i="138"/>
  <c r="S120" i="138"/>
  <c r="Q120" i="138"/>
  <c r="S119" i="138"/>
  <c r="Q119" i="138"/>
  <c r="S118" i="138"/>
  <c r="Q118" i="138"/>
  <c r="S117" i="138"/>
  <c r="Q117" i="138"/>
  <c r="S116" i="138"/>
  <c r="T116" i="138" s="1"/>
  <c r="S115" i="138"/>
  <c r="P115" i="138"/>
  <c r="O115" i="138"/>
  <c r="N115" i="138"/>
  <c r="M115" i="138"/>
  <c r="L115" i="138"/>
  <c r="K115" i="138"/>
  <c r="J115" i="138"/>
  <c r="I115" i="138"/>
  <c r="H115" i="138"/>
  <c r="G115" i="138"/>
  <c r="F115" i="138"/>
  <c r="E115" i="138"/>
  <c r="S114" i="138"/>
  <c r="Q114" i="138"/>
  <c r="S113" i="138"/>
  <c r="Q113" i="138"/>
  <c r="S112" i="138"/>
  <c r="Q112" i="138"/>
  <c r="S111" i="138"/>
  <c r="Q111" i="138"/>
  <c r="S110" i="138"/>
  <c r="Q110" i="138"/>
  <c r="S109" i="138"/>
  <c r="T109" i="138" s="1"/>
  <c r="S108" i="138"/>
  <c r="P108" i="138"/>
  <c r="O108" i="138"/>
  <c r="N108" i="138"/>
  <c r="M108" i="138"/>
  <c r="L108" i="138"/>
  <c r="K108" i="138"/>
  <c r="J108" i="138"/>
  <c r="I108" i="138"/>
  <c r="H108" i="138"/>
  <c r="G108" i="138"/>
  <c r="F108" i="138"/>
  <c r="E108" i="138"/>
  <c r="S107" i="138"/>
  <c r="Q107" i="138"/>
  <c r="S106" i="138"/>
  <c r="Q106" i="138"/>
  <c r="S105" i="138"/>
  <c r="T105" i="138" s="1"/>
  <c r="S104" i="138"/>
  <c r="T104" i="138" s="1"/>
  <c r="T102" i="138"/>
  <c r="P100" i="138"/>
  <c r="O100" i="138"/>
  <c r="N100" i="138"/>
  <c r="M100" i="138"/>
  <c r="L100" i="138"/>
  <c r="K100" i="138"/>
  <c r="J100" i="138"/>
  <c r="I100" i="138"/>
  <c r="H100" i="138"/>
  <c r="G100" i="138"/>
  <c r="F100" i="138"/>
  <c r="E100" i="138"/>
  <c r="Q99" i="138"/>
  <c r="T99" i="138" s="1"/>
  <c r="Q98" i="138"/>
  <c r="T98" i="138" s="1"/>
  <c r="Q97" i="138"/>
  <c r="T97" i="138" s="1"/>
  <c r="Q96" i="138"/>
  <c r="T96" i="138" s="1"/>
  <c r="Q95" i="138"/>
  <c r="T95" i="138" s="1"/>
  <c r="Q94" i="138"/>
  <c r="T94" i="138" s="1"/>
  <c r="Q93" i="138"/>
  <c r="T93" i="138" s="1"/>
  <c r="Q92" i="138"/>
  <c r="T92" i="138" s="1"/>
  <c r="Q91" i="138"/>
  <c r="T91" i="138" s="1"/>
  <c r="Q90" i="138"/>
  <c r="T90" i="138" s="1"/>
  <c r="Q89" i="138"/>
  <c r="T89" i="138" s="1"/>
  <c r="Q88" i="138"/>
  <c r="T88" i="138" s="1"/>
  <c r="Q87" i="138"/>
  <c r="T87" i="138" s="1"/>
  <c r="Q86" i="138"/>
  <c r="T86" i="138" s="1"/>
  <c r="Q85" i="138"/>
  <c r="T85" i="138" s="1"/>
  <c r="Q84" i="138"/>
  <c r="T84" i="138" s="1"/>
  <c r="Q83" i="138"/>
  <c r="T83" i="138" s="1"/>
  <c r="Q82" i="138"/>
  <c r="T82" i="138" s="1"/>
  <c r="Q81" i="138"/>
  <c r="T81" i="138" s="1"/>
  <c r="Q80" i="138"/>
  <c r="T80" i="138" s="1"/>
  <c r="Q79" i="138"/>
  <c r="T79" i="138" s="1"/>
  <c r="Q78" i="138"/>
  <c r="T78" i="138" s="1"/>
  <c r="Q77" i="138"/>
  <c r="T77" i="138" s="1"/>
  <c r="Q76" i="138"/>
  <c r="T76" i="138" s="1"/>
  <c r="Q75" i="138"/>
  <c r="T75" i="138" s="1"/>
  <c r="Q74" i="138"/>
  <c r="T74" i="138" s="1"/>
  <c r="Q73" i="138"/>
  <c r="T73" i="138" s="1"/>
  <c r="Q72" i="138"/>
  <c r="T72" i="138" s="1"/>
  <c r="Q71" i="138"/>
  <c r="T71" i="138" s="1"/>
  <c r="Q70" i="138"/>
  <c r="T70" i="138" s="1"/>
  <c r="Q69" i="138"/>
  <c r="T69" i="138" s="1"/>
  <c r="Q68" i="138"/>
  <c r="T68" i="138" s="1"/>
  <c r="Q67" i="138"/>
  <c r="T67" i="138" s="1"/>
  <c r="Q66" i="138"/>
  <c r="T66" i="138" s="1"/>
  <c r="Q65" i="138"/>
  <c r="T65" i="138" s="1"/>
  <c r="Q64" i="138"/>
  <c r="T64" i="138" s="1"/>
  <c r="Q63" i="138"/>
  <c r="T63" i="138" s="1"/>
  <c r="Q62" i="138"/>
  <c r="T62" i="138" s="1"/>
  <c r="Q61" i="138"/>
  <c r="T61" i="138" s="1"/>
  <c r="Q60" i="138"/>
  <c r="T60" i="138" s="1"/>
  <c r="Q59" i="138"/>
  <c r="T59" i="138" s="1"/>
  <c r="Q58" i="138"/>
  <c r="T58" i="138" s="1"/>
  <c r="Q57" i="138"/>
  <c r="T57" i="138" s="1"/>
  <c r="Q56" i="138"/>
  <c r="T56" i="138" s="1"/>
  <c r="Q55" i="138"/>
  <c r="T55" i="138" s="1"/>
  <c r="Q54" i="138"/>
  <c r="T54" i="138" s="1"/>
  <c r="Q53" i="138"/>
  <c r="T53" i="138" s="1"/>
  <c r="Q52" i="138"/>
  <c r="T52" i="138" s="1"/>
  <c r="Q51" i="138"/>
  <c r="T51" i="138" s="1"/>
  <c r="Q50" i="138"/>
  <c r="T50" i="138" s="1"/>
  <c r="Q49" i="138"/>
  <c r="T49" i="138" s="1"/>
  <c r="Q48" i="138"/>
  <c r="T48" i="138" s="1"/>
  <c r="Q47" i="138"/>
  <c r="T47" i="138" s="1"/>
  <c r="Q46" i="138"/>
  <c r="T46" i="138" s="1"/>
  <c r="Q45" i="138"/>
  <c r="T45" i="138" s="1"/>
  <c r="Q44" i="138"/>
  <c r="T44" i="138" s="1"/>
  <c r="Q43" i="138"/>
  <c r="T43" i="138" s="1"/>
  <c r="Q42" i="138"/>
  <c r="T42" i="138" s="1"/>
  <c r="Q41" i="138"/>
  <c r="T41" i="138" s="1"/>
  <c r="Q40" i="138"/>
  <c r="T40" i="138" s="1"/>
  <c r="Q39" i="138"/>
  <c r="T39" i="138" s="1"/>
  <c r="Q38" i="138"/>
  <c r="T38" i="138" s="1"/>
  <c r="Q37" i="138"/>
  <c r="T37" i="138" s="1"/>
  <c r="Q36" i="138"/>
  <c r="T36" i="138" s="1"/>
  <c r="Q35" i="138"/>
  <c r="T35" i="138" s="1"/>
  <c r="Q34" i="138"/>
  <c r="T34" i="138" s="1"/>
  <c r="Q33" i="138"/>
  <c r="Q32" i="138"/>
  <c r="T32" i="138" s="1"/>
  <c r="T31" i="138"/>
  <c r="T28" i="138"/>
  <c r="Q26" i="138"/>
  <c r="T26" i="138" s="1"/>
  <c r="Q25" i="138"/>
  <c r="T25" i="138" s="1"/>
  <c r="Q24" i="138"/>
  <c r="T24" i="138" s="1"/>
  <c r="Q23" i="138"/>
  <c r="T23" i="138" s="1"/>
  <c r="P27" i="138"/>
  <c r="O27" i="138"/>
  <c r="N27" i="138"/>
  <c r="M27" i="138"/>
  <c r="M42" i="81" s="1"/>
  <c r="L27" i="138"/>
  <c r="K27" i="138"/>
  <c r="J27" i="138"/>
  <c r="I27" i="138"/>
  <c r="H27" i="138"/>
  <c r="G27" i="138"/>
  <c r="F27" i="138"/>
  <c r="F42" i="81" s="1"/>
  <c r="E27" i="138"/>
  <c r="Q21" i="138"/>
  <c r="T21" i="138" s="1"/>
  <c r="T20" i="138"/>
  <c r="P18" i="138"/>
  <c r="O18" i="138"/>
  <c r="O24" i="81" s="1"/>
  <c r="N18" i="138"/>
  <c r="N24" i="81" s="1"/>
  <c r="M18" i="138"/>
  <c r="M24" i="81" s="1"/>
  <c r="L18" i="138"/>
  <c r="K18" i="138"/>
  <c r="K24" i="81" s="1"/>
  <c r="J18" i="138"/>
  <c r="J24" i="81" s="1"/>
  <c r="I18" i="138"/>
  <c r="I24" i="81" s="1"/>
  <c r="H18" i="138"/>
  <c r="G18" i="138"/>
  <c r="G24" i="81" s="1"/>
  <c r="F18" i="138"/>
  <c r="E18" i="138"/>
  <c r="E24" i="81" s="1"/>
  <c r="Q17" i="138"/>
  <c r="T17" i="138" s="1"/>
  <c r="Q16" i="138"/>
  <c r="T16" i="138" s="1"/>
  <c r="Q15" i="138"/>
  <c r="T15" i="138" s="1"/>
  <c r="Q14" i="138"/>
  <c r="T14" i="138" s="1"/>
  <c r="Q13" i="138"/>
  <c r="Q12" i="138"/>
  <c r="T12" i="138" s="1"/>
  <c r="D5" i="138"/>
  <c r="D4" i="138"/>
  <c r="T131" i="136"/>
  <c r="P128" i="136"/>
  <c r="O128" i="136"/>
  <c r="N128" i="136"/>
  <c r="M128" i="136"/>
  <c r="L128" i="136"/>
  <c r="K128" i="136"/>
  <c r="J128" i="136"/>
  <c r="I128" i="136"/>
  <c r="H128" i="136"/>
  <c r="G128" i="136"/>
  <c r="F128" i="136"/>
  <c r="E128" i="136"/>
  <c r="Q127" i="136"/>
  <c r="T127" i="136" s="1"/>
  <c r="Q126" i="136"/>
  <c r="T126" i="136" s="1"/>
  <c r="Q125" i="136"/>
  <c r="T125" i="136" s="1"/>
  <c r="Q124" i="136"/>
  <c r="T124" i="136" s="1"/>
  <c r="Q123" i="136"/>
  <c r="T123" i="136" s="1"/>
  <c r="Q122" i="136"/>
  <c r="T122" i="136" s="1"/>
  <c r="Q121" i="136"/>
  <c r="T121" i="136" s="1"/>
  <c r="P119" i="136"/>
  <c r="O119" i="136"/>
  <c r="N119" i="136"/>
  <c r="M119" i="136"/>
  <c r="L119" i="136"/>
  <c r="K119" i="136"/>
  <c r="J119" i="136"/>
  <c r="I119" i="136"/>
  <c r="H119" i="136"/>
  <c r="G119" i="136"/>
  <c r="F119" i="136"/>
  <c r="E119" i="136"/>
  <c r="Q118" i="136"/>
  <c r="T118" i="136" s="1"/>
  <c r="Q117" i="136"/>
  <c r="T117" i="136" s="1"/>
  <c r="Q116" i="136"/>
  <c r="T116" i="136" s="1"/>
  <c r="Q115" i="136"/>
  <c r="T115" i="136" s="1"/>
  <c r="Q114" i="136"/>
  <c r="T114" i="136" s="1"/>
  <c r="Q113" i="136"/>
  <c r="Q112" i="136"/>
  <c r="T112" i="136" s="1"/>
  <c r="Q111" i="136"/>
  <c r="T111" i="136" s="1"/>
  <c r="P108" i="136"/>
  <c r="P109" i="136" s="1"/>
  <c r="O108" i="136"/>
  <c r="N108" i="136"/>
  <c r="N109" i="136" s="1"/>
  <c r="M108" i="136"/>
  <c r="M109" i="136" s="1"/>
  <c r="L108" i="136"/>
  <c r="L109" i="136" s="1"/>
  <c r="K108" i="136"/>
  <c r="J108" i="136"/>
  <c r="I108" i="136"/>
  <c r="I109" i="136" s="1"/>
  <c r="H108" i="136"/>
  <c r="H109" i="136" s="1"/>
  <c r="G108" i="136"/>
  <c r="F108" i="136"/>
  <c r="F109" i="136" s="1"/>
  <c r="E108" i="136"/>
  <c r="Q107" i="136"/>
  <c r="T107" i="136" s="1"/>
  <c r="Q106" i="136"/>
  <c r="T106" i="136" s="1"/>
  <c r="Q105" i="136"/>
  <c r="T105" i="136" s="1"/>
  <c r="Q104" i="136"/>
  <c r="T104" i="136" s="1"/>
  <c r="P102" i="136"/>
  <c r="O102" i="136"/>
  <c r="N102" i="136"/>
  <c r="M102" i="136"/>
  <c r="L102" i="136"/>
  <c r="K102" i="136"/>
  <c r="J102" i="136"/>
  <c r="I102" i="136"/>
  <c r="H102" i="136"/>
  <c r="G102" i="136"/>
  <c r="F102" i="136"/>
  <c r="E102" i="136"/>
  <c r="Q101" i="136"/>
  <c r="T101" i="136" s="1"/>
  <c r="Q100" i="136"/>
  <c r="T93" i="136"/>
  <c r="T92" i="136"/>
  <c r="T91" i="136"/>
  <c r="T89" i="136"/>
  <c r="T88" i="136"/>
  <c r="T87" i="136"/>
  <c r="T85" i="136"/>
  <c r="T84" i="136"/>
  <c r="T83" i="136"/>
  <c r="T81" i="136"/>
  <c r="T80" i="136"/>
  <c r="T79" i="136"/>
  <c r="T77" i="136"/>
  <c r="T76" i="136"/>
  <c r="T75" i="136"/>
  <c r="P94" i="136"/>
  <c r="O94" i="136"/>
  <c r="N94" i="136"/>
  <c r="M94" i="136"/>
  <c r="L94" i="136"/>
  <c r="K94" i="136"/>
  <c r="J94" i="136"/>
  <c r="I94" i="136"/>
  <c r="H94" i="136"/>
  <c r="G94" i="136"/>
  <c r="F94" i="136"/>
  <c r="T72" i="136"/>
  <c r="T71" i="136"/>
  <c r="T70" i="136"/>
  <c r="T69" i="136"/>
  <c r="Q68" i="136"/>
  <c r="T68" i="136" s="1"/>
  <c r="Q67" i="136"/>
  <c r="T67" i="136" s="1"/>
  <c r="Q66" i="136"/>
  <c r="T66" i="136" s="1"/>
  <c r="Q65" i="136"/>
  <c r="T65" i="136" s="1"/>
  <c r="Q64" i="136"/>
  <c r="T64" i="136" s="1"/>
  <c r="Q63" i="136"/>
  <c r="T63" i="136" s="1"/>
  <c r="Q62" i="136"/>
  <c r="T62" i="136" s="1"/>
  <c r="Q61" i="136"/>
  <c r="T61" i="136" s="1"/>
  <c r="Q60" i="136"/>
  <c r="T60" i="136" s="1"/>
  <c r="Q59" i="136"/>
  <c r="T59" i="136" s="1"/>
  <c r="Q58" i="136"/>
  <c r="T58" i="136" s="1"/>
  <c r="Q57" i="136"/>
  <c r="T57" i="136" s="1"/>
  <c r="Q56" i="136"/>
  <c r="T56" i="136" s="1"/>
  <c r="Q55" i="136"/>
  <c r="T55" i="136" s="1"/>
  <c r="Q54" i="136"/>
  <c r="T54" i="136" s="1"/>
  <c r="Q53" i="136"/>
  <c r="T53" i="136" s="1"/>
  <c r="Q52" i="136"/>
  <c r="T52" i="136" s="1"/>
  <c r="Q51" i="136"/>
  <c r="T51" i="136" s="1"/>
  <c r="Q50" i="136"/>
  <c r="T50" i="136" s="1"/>
  <c r="Q49" i="136"/>
  <c r="T49" i="136" s="1"/>
  <c r="Q48" i="136"/>
  <c r="T48" i="136" s="1"/>
  <c r="Q47" i="136"/>
  <c r="T47" i="136" s="1"/>
  <c r="Q46" i="136"/>
  <c r="T46" i="136" s="1"/>
  <c r="Q45" i="136"/>
  <c r="T45" i="136" s="1"/>
  <c r="Q44" i="136"/>
  <c r="T44" i="136" s="1"/>
  <c r="Q43" i="136"/>
  <c r="T43" i="136" s="1"/>
  <c r="Q42" i="136"/>
  <c r="T42" i="136" s="1"/>
  <c r="Q41" i="136"/>
  <c r="T41" i="136" s="1"/>
  <c r="Q40" i="136"/>
  <c r="T40" i="136" s="1"/>
  <c r="Q39" i="136"/>
  <c r="T39" i="136" s="1"/>
  <c r="Q38" i="136"/>
  <c r="T38" i="136" s="1"/>
  <c r="Q37" i="136"/>
  <c r="T37" i="136" s="1"/>
  <c r="Q36" i="136"/>
  <c r="T36" i="136" s="1"/>
  <c r="Q35" i="136"/>
  <c r="T35" i="136" s="1"/>
  <c r="Q34" i="136"/>
  <c r="T34" i="136" s="1"/>
  <c r="Q33" i="136"/>
  <c r="T33" i="136" s="1"/>
  <c r="Q32" i="136"/>
  <c r="T32" i="136" s="1"/>
  <c r="Q31" i="136"/>
  <c r="T31" i="136" s="1"/>
  <c r="Q30" i="136"/>
  <c r="T30" i="136" s="1"/>
  <c r="Q29" i="136"/>
  <c r="Q28" i="136"/>
  <c r="T28" i="136" s="1"/>
  <c r="Q27" i="136"/>
  <c r="T27" i="136" s="1"/>
  <c r="Q26" i="136"/>
  <c r="P21" i="136"/>
  <c r="O21" i="136"/>
  <c r="N21" i="136"/>
  <c r="M21" i="136"/>
  <c r="L21" i="136"/>
  <c r="K21" i="136"/>
  <c r="J21" i="136"/>
  <c r="I21" i="136"/>
  <c r="H21" i="136"/>
  <c r="G21" i="136"/>
  <c r="F21" i="136"/>
  <c r="E21" i="136"/>
  <c r="Q20" i="136"/>
  <c r="T20" i="136" s="1"/>
  <c r="Q19" i="136"/>
  <c r="T19" i="136" s="1"/>
  <c r="Q18" i="136"/>
  <c r="T18" i="136" s="1"/>
  <c r="T17" i="136"/>
  <c r="P15" i="136"/>
  <c r="O15" i="136"/>
  <c r="N15" i="136"/>
  <c r="N20" i="81" s="1"/>
  <c r="M15" i="136"/>
  <c r="M97" i="136" s="1"/>
  <c r="L15" i="136"/>
  <c r="K15" i="136"/>
  <c r="K97" i="136" s="1"/>
  <c r="J15" i="136"/>
  <c r="I15" i="136"/>
  <c r="H15" i="136"/>
  <c r="G15" i="136"/>
  <c r="F15" i="136"/>
  <c r="F20" i="81" s="1"/>
  <c r="E15" i="136"/>
  <c r="E97" i="136" s="1"/>
  <c r="Q14" i="136"/>
  <c r="T14" i="136" s="1"/>
  <c r="Q13" i="136"/>
  <c r="T13" i="136" s="1"/>
  <c r="Q12" i="136"/>
  <c r="T12" i="136" s="1"/>
  <c r="D5" i="136"/>
  <c r="D4" i="136"/>
  <c r="T137" i="135"/>
  <c r="Q132" i="135"/>
  <c r="Q131" i="135"/>
  <c r="T131" i="135" s="1"/>
  <c r="Q130" i="135"/>
  <c r="T130" i="135" s="1"/>
  <c r="Q129" i="135"/>
  <c r="T129" i="135" s="1"/>
  <c r="Q128" i="135"/>
  <c r="Q127" i="135"/>
  <c r="T127" i="135" s="1"/>
  <c r="Q124" i="135"/>
  <c r="T124" i="135" s="1"/>
  <c r="T120" i="135"/>
  <c r="T114" i="135"/>
  <c r="Q105" i="135"/>
  <c r="T105" i="135" s="1"/>
  <c r="Q104" i="135"/>
  <c r="T101" i="135"/>
  <c r="T98" i="135"/>
  <c r="T97" i="135"/>
  <c r="Q97" i="135"/>
  <c r="T96" i="135"/>
  <c r="Q96" i="135"/>
  <c r="T95" i="135"/>
  <c r="Q95" i="135"/>
  <c r="T94" i="135"/>
  <c r="Q94" i="135"/>
  <c r="T93" i="135"/>
  <c r="Q93" i="135"/>
  <c r="T92" i="135"/>
  <c r="Q92" i="135"/>
  <c r="T91" i="135"/>
  <c r="Q91" i="135"/>
  <c r="T90" i="135"/>
  <c r="Q90" i="135"/>
  <c r="T89" i="135"/>
  <c r="Q89" i="135"/>
  <c r="T88" i="135"/>
  <c r="Q88" i="135"/>
  <c r="T87" i="135"/>
  <c r="Q87" i="135"/>
  <c r="T86" i="135"/>
  <c r="Q85" i="135"/>
  <c r="T85" i="135" s="1"/>
  <c r="Q84" i="135"/>
  <c r="T84" i="135" s="1"/>
  <c r="Q83" i="135"/>
  <c r="Q82" i="135"/>
  <c r="T82" i="135" s="1"/>
  <c r="Q81" i="135"/>
  <c r="T81" i="135" s="1"/>
  <c r="Q80" i="135"/>
  <c r="T80" i="135" s="1"/>
  <c r="Q79" i="135"/>
  <c r="Q78" i="135"/>
  <c r="T78" i="135" s="1"/>
  <c r="Q77" i="135"/>
  <c r="T77" i="135" s="1"/>
  <c r="Q76" i="135"/>
  <c r="T76" i="135" s="1"/>
  <c r="Q75" i="135"/>
  <c r="Q74" i="135"/>
  <c r="T74" i="135" s="1"/>
  <c r="Q73" i="135"/>
  <c r="T73" i="135" s="1"/>
  <c r="Q72" i="135"/>
  <c r="T72" i="135" s="1"/>
  <c r="Q71" i="135"/>
  <c r="Q70" i="135"/>
  <c r="T70" i="135" s="1"/>
  <c r="Q69" i="135"/>
  <c r="T69" i="135" s="1"/>
  <c r="Q68" i="135"/>
  <c r="T68" i="135" s="1"/>
  <c r="Q67" i="135"/>
  <c r="Q66" i="135"/>
  <c r="T66" i="135" s="1"/>
  <c r="Q65" i="135"/>
  <c r="T65" i="135" s="1"/>
  <c r="Q64" i="135"/>
  <c r="T64" i="135" s="1"/>
  <c r="Q63" i="135"/>
  <c r="Q62" i="135"/>
  <c r="T62" i="135" s="1"/>
  <c r="Q61" i="135"/>
  <c r="T61" i="135" s="1"/>
  <c r="Q60" i="135"/>
  <c r="T60" i="135" s="1"/>
  <c r="Q59" i="135"/>
  <c r="Q58" i="135"/>
  <c r="T58" i="135" s="1"/>
  <c r="Q57" i="135"/>
  <c r="T57" i="135" s="1"/>
  <c r="Q56" i="135"/>
  <c r="T56" i="135" s="1"/>
  <c r="Q55" i="135"/>
  <c r="T55" i="135" s="1"/>
  <c r="Q54" i="135"/>
  <c r="T54" i="135" s="1"/>
  <c r="Q53" i="135"/>
  <c r="T53" i="135" s="1"/>
  <c r="Q52" i="135"/>
  <c r="T52" i="135" s="1"/>
  <c r="Q51" i="135"/>
  <c r="T51" i="135" s="1"/>
  <c r="Q50" i="135"/>
  <c r="T50" i="135" s="1"/>
  <c r="Q49" i="135"/>
  <c r="T49" i="135" s="1"/>
  <c r="Q48" i="135"/>
  <c r="T48" i="135" s="1"/>
  <c r="Q47" i="135"/>
  <c r="T47" i="135" s="1"/>
  <c r="Q46" i="135"/>
  <c r="T46" i="135" s="1"/>
  <c r="Q45" i="135"/>
  <c r="T45" i="135" s="1"/>
  <c r="Q44" i="135"/>
  <c r="T44" i="135" s="1"/>
  <c r="Q43" i="135"/>
  <c r="T43" i="135" s="1"/>
  <c r="Q42" i="135"/>
  <c r="T42" i="135" s="1"/>
  <c r="Q41" i="135"/>
  <c r="T41" i="135" s="1"/>
  <c r="Q40" i="135"/>
  <c r="T40" i="135" s="1"/>
  <c r="Q39" i="135"/>
  <c r="T39" i="135" s="1"/>
  <c r="Q38" i="135"/>
  <c r="T38" i="135" s="1"/>
  <c r="Q37" i="135"/>
  <c r="T37" i="135" s="1"/>
  <c r="Q36" i="135"/>
  <c r="T36" i="135" s="1"/>
  <c r="Q35" i="135"/>
  <c r="T35" i="135" s="1"/>
  <c r="Q34" i="135"/>
  <c r="T34" i="135" s="1"/>
  <c r="Q33" i="135"/>
  <c r="T33" i="135" s="1"/>
  <c r="Q32" i="135"/>
  <c r="T32" i="135" s="1"/>
  <c r="Q31" i="135"/>
  <c r="T31" i="135" s="1"/>
  <c r="Q30" i="135"/>
  <c r="T30" i="135" s="1"/>
  <c r="P25" i="135"/>
  <c r="O25" i="135"/>
  <c r="N25" i="135"/>
  <c r="M25" i="135"/>
  <c r="L25" i="135"/>
  <c r="K25" i="135"/>
  <c r="J25" i="135"/>
  <c r="I25" i="135"/>
  <c r="H25" i="135"/>
  <c r="G25" i="135"/>
  <c r="F25" i="135"/>
  <c r="E25" i="135"/>
  <c r="Q24" i="135"/>
  <c r="T24" i="135" s="1"/>
  <c r="Q23" i="135"/>
  <c r="T23" i="135" s="1"/>
  <c r="Q22" i="135"/>
  <c r="T22" i="135" s="1"/>
  <c r="Q21" i="135"/>
  <c r="T21" i="135" s="1"/>
  <c r="Q20" i="135"/>
  <c r="T20" i="135" s="1"/>
  <c r="Q19" i="135"/>
  <c r="T19" i="135" s="1"/>
  <c r="Q18" i="135"/>
  <c r="T18" i="135" s="1"/>
  <c r="Q17" i="135"/>
  <c r="T17" i="135" s="1"/>
  <c r="P14" i="135"/>
  <c r="P19" i="81" s="1"/>
  <c r="O14" i="135"/>
  <c r="O19" i="81" s="1"/>
  <c r="N14" i="135"/>
  <c r="N19" i="81" s="1"/>
  <c r="M14" i="135"/>
  <c r="M19" i="81" s="1"/>
  <c r="L14" i="135"/>
  <c r="K14" i="135"/>
  <c r="K19" i="81" s="1"/>
  <c r="J14" i="135"/>
  <c r="J19" i="81" s="1"/>
  <c r="I14" i="135"/>
  <c r="I19" i="81" s="1"/>
  <c r="H14" i="135"/>
  <c r="G14" i="135"/>
  <c r="G19" i="81" s="1"/>
  <c r="F14" i="135"/>
  <c r="F19" i="81" s="1"/>
  <c r="E14" i="135"/>
  <c r="E19" i="81" s="1"/>
  <c r="Q13" i="135"/>
  <c r="T13" i="135" s="1"/>
  <c r="Q12" i="135"/>
  <c r="T12" i="135" s="1"/>
  <c r="D5" i="135"/>
  <c r="D4" i="135"/>
  <c r="P157" i="134"/>
  <c r="O157" i="134"/>
  <c r="N157" i="134"/>
  <c r="M157" i="134"/>
  <c r="L157" i="134"/>
  <c r="K157" i="134"/>
  <c r="J157" i="134"/>
  <c r="I157" i="134"/>
  <c r="H157" i="134"/>
  <c r="G157" i="134"/>
  <c r="F157" i="134"/>
  <c r="E157" i="134"/>
  <c r="P153" i="134"/>
  <c r="O153" i="134"/>
  <c r="N153" i="134"/>
  <c r="M153" i="134"/>
  <c r="L153" i="134"/>
  <c r="K153" i="134"/>
  <c r="J153" i="134"/>
  <c r="I153" i="134"/>
  <c r="H153" i="134"/>
  <c r="G153" i="134"/>
  <c r="F153" i="134"/>
  <c r="E153" i="134"/>
  <c r="P152" i="134"/>
  <c r="O152" i="134"/>
  <c r="N152" i="134"/>
  <c r="M152" i="134"/>
  <c r="L152" i="134"/>
  <c r="L95" i="81" s="1"/>
  <c r="K152" i="134"/>
  <c r="J152" i="134"/>
  <c r="I152" i="134"/>
  <c r="H152" i="134"/>
  <c r="G152" i="134"/>
  <c r="F152" i="134"/>
  <c r="E152" i="134"/>
  <c r="P151" i="134"/>
  <c r="O151" i="134"/>
  <c r="N151" i="134"/>
  <c r="M151" i="134"/>
  <c r="L151" i="134"/>
  <c r="L94" i="81" s="1"/>
  <c r="K151" i="134"/>
  <c r="J151" i="134"/>
  <c r="I151" i="134"/>
  <c r="H151" i="134"/>
  <c r="G151" i="134"/>
  <c r="F151" i="134"/>
  <c r="E151" i="134"/>
  <c r="Q150" i="134"/>
  <c r="T150" i="134" s="1"/>
  <c r="Q149" i="134"/>
  <c r="T149" i="134" s="1"/>
  <c r="Q148" i="134"/>
  <c r="T148" i="134" s="1"/>
  <c r="Q147" i="134"/>
  <c r="T147" i="134" s="1"/>
  <c r="Q144" i="134"/>
  <c r="Q143" i="134"/>
  <c r="T143" i="134" s="1"/>
  <c r="P142" i="134"/>
  <c r="O142" i="134"/>
  <c r="N142" i="134"/>
  <c r="M142" i="134"/>
  <c r="L142" i="134"/>
  <c r="K142" i="134"/>
  <c r="J142" i="134"/>
  <c r="I142" i="134"/>
  <c r="H142" i="134"/>
  <c r="G142" i="134"/>
  <c r="F142" i="134"/>
  <c r="E142" i="134"/>
  <c r="P141" i="134"/>
  <c r="O141" i="134"/>
  <c r="N141" i="134"/>
  <c r="M141" i="134"/>
  <c r="L141" i="134"/>
  <c r="K141" i="134"/>
  <c r="J141" i="134"/>
  <c r="I141" i="134"/>
  <c r="H141" i="134"/>
  <c r="G141" i="134"/>
  <c r="F141" i="134"/>
  <c r="E141" i="134"/>
  <c r="P140" i="134"/>
  <c r="O140" i="134"/>
  <c r="N140" i="134"/>
  <c r="M140" i="134"/>
  <c r="L140" i="134"/>
  <c r="K140" i="134"/>
  <c r="J140" i="134"/>
  <c r="I140" i="134"/>
  <c r="H140" i="134"/>
  <c r="G140" i="134"/>
  <c r="F140" i="134"/>
  <c r="E140" i="134"/>
  <c r="P139" i="134"/>
  <c r="O139" i="134"/>
  <c r="N139" i="134"/>
  <c r="M139" i="134"/>
  <c r="L139" i="134"/>
  <c r="K139" i="134"/>
  <c r="J139" i="134"/>
  <c r="I139" i="134"/>
  <c r="H139" i="134"/>
  <c r="G139" i="134"/>
  <c r="F139" i="134"/>
  <c r="E139" i="134"/>
  <c r="P138" i="134"/>
  <c r="O138" i="134"/>
  <c r="N138" i="134"/>
  <c r="M138" i="134"/>
  <c r="L138" i="134"/>
  <c r="K138" i="134"/>
  <c r="J138" i="134"/>
  <c r="I138" i="134"/>
  <c r="H138" i="134"/>
  <c r="G138" i="134"/>
  <c r="F138" i="134"/>
  <c r="E138" i="134"/>
  <c r="P137" i="134"/>
  <c r="O137" i="134"/>
  <c r="N137" i="134"/>
  <c r="M137" i="134"/>
  <c r="L137" i="134"/>
  <c r="K137" i="134"/>
  <c r="J137" i="134"/>
  <c r="I137" i="134"/>
  <c r="H137" i="134"/>
  <c r="G137" i="134"/>
  <c r="F137" i="134"/>
  <c r="E137" i="134"/>
  <c r="P134" i="134"/>
  <c r="O134" i="134"/>
  <c r="N134" i="134"/>
  <c r="M134" i="134"/>
  <c r="L134" i="134"/>
  <c r="K134" i="134"/>
  <c r="J134" i="134"/>
  <c r="I134" i="134"/>
  <c r="H134" i="134"/>
  <c r="G134" i="134"/>
  <c r="F134" i="134"/>
  <c r="E134" i="134"/>
  <c r="P133" i="134"/>
  <c r="O133" i="134"/>
  <c r="N133" i="134"/>
  <c r="M133" i="134"/>
  <c r="L133" i="134"/>
  <c r="K133" i="134"/>
  <c r="J133" i="134"/>
  <c r="I133" i="134"/>
  <c r="H133" i="134"/>
  <c r="G133" i="134"/>
  <c r="F133" i="134"/>
  <c r="E133" i="134"/>
  <c r="P132" i="134"/>
  <c r="O132" i="134"/>
  <c r="N132" i="134"/>
  <c r="M132" i="134"/>
  <c r="L132" i="134"/>
  <c r="K132" i="134"/>
  <c r="J132" i="134"/>
  <c r="I132" i="134"/>
  <c r="I73" i="81" s="1"/>
  <c r="H132" i="134"/>
  <c r="G132" i="134"/>
  <c r="F132" i="134"/>
  <c r="E132" i="134"/>
  <c r="E73" i="81" s="1"/>
  <c r="P131" i="134"/>
  <c r="O131" i="134"/>
  <c r="N131" i="134"/>
  <c r="M131" i="134"/>
  <c r="L131" i="134"/>
  <c r="K131" i="134"/>
  <c r="J131" i="134"/>
  <c r="I131" i="134"/>
  <c r="I72" i="81" s="1"/>
  <c r="H131" i="134"/>
  <c r="G131" i="134"/>
  <c r="F131" i="134"/>
  <c r="E131" i="134"/>
  <c r="P130" i="134"/>
  <c r="O130" i="134"/>
  <c r="N130" i="134"/>
  <c r="M130" i="134"/>
  <c r="L130" i="134"/>
  <c r="K130" i="134"/>
  <c r="J130" i="134"/>
  <c r="I130" i="134"/>
  <c r="H130" i="134"/>
  <c r="G130" i="134"/>
  <c r="F130" i="134"/>
  <c r="E130" i="134"/>
  <c r="P127" i="134"/>
  <c r="O127" i="134"/>
  <c r="N127" i="134"/>
  <c r="M127" i="134"/>
  <c r="M68" i="81" s="1"/>
  <c r="L127" i="134"/>
  <c r="K127" i="134"/>
  <c r="J127" i="134"/>
  <c r="I127" i="134"/>
  <c r="H127" i="134"/>
  <c r="G127" i="134"/>
  <c r="F127" i="134"/>
  <c r="E127" i="134"/>
  <c r="P126" i="134"/>
  <c r="O126" i="134"/>
  <c r="N126" i="134"/>
  <c r="M126" i="134"/>
  <c r="L126" i="134"/>
  <c r="K126" i="134"/>
  <c r="J126" i="134"/>
  <c r="I126" i="134"/>
  <c r="H126" i="134"/>
  <c r="G126" i="134"/>
  <c r="F126" i="134"/>
  <c r="E126" i="134"/>
  <c r="Q119" i="134"/>
  <c r="T119" i="134" s="1"/>
  <c r="Q118" i="134"/>
  <c r="T118" i="134" s="1"/>
  <c r="Q117" i="134"/>
  <c r="T117" i="134" s="1"/>
  <c r="Q116" i="134"/>
  <c r="Q115" i="134"/>
  <c r="T115" i="134" s="1"/>
  <c r="Q114" i="134"/>
  <c r="T114" i="134" s="1"/>
  <c r="Q113" i="134"/>
  <c r="T113" i="134" s="1"/>
  <c r="Q112" i="134"/>
  <c r="Q111" i="134"/>
  <c r="T111" i="134" s="1"/>
  <c r="Q110" i="134"/>
  <c r="T110" i="134" s="1"/>
  <c r="Q109" i="134"/>
  <c r="T109" i="134" s="1"/>
  <c r="P108" i="134"/>
  <c r="P120" i="134" s="1"/>
  <c r="O108" i="134"/>
  <c r="O120" i="134" s="1"/>
  <c r="N108" i="134"/>
  <c r="N120" i="134" s="1"/>
  <c r="M108" i="134"/>
  <c r="M120" i="134" s="1"/>
  <c r="L108" i="134"/>
  <c r="L120" i="134" s="1"/>
  <c r="K108" i="134"/>
  <c r="K120" i="134" s="1"/>
  <c r="J108" i="134"/>
  <c r="J120" i="134" s="1"/>
  <c r="I108" i="134"/>
  <c r="I120" i="134" s="1"/>
  <c r="H108" i="134"/>
  <c r="H120" i="134" s="1"/>
  <c r="G108" i="134"/>
  <c r="G120" i="134" s="1"/>
  <c r="F108" i="134"/>
  <c r="F120" i="134" s="1"/>
  <c r="E108" i="134"/>
  <c r="E120" i="134" s="1"/>
  <c r="Q107" i="134"/>
  <c r="T107" i="134" s="1"/>
  <c r="Q106" i="134"/>
  <c r="T106" i="134" s="1"/>
  <c r="Q105" i="134"/>
  <c r="T105" i="134" s="1"/>
  <c r="Q104" i="134"/>
  <c r="Q103" i="134"/>
  <c r="T103" i="134" s="1"/>
  <c r="Q102" i="134"/>
  <c r="T102" i="134" s="1"/>
  <c r="Q101" i="134"/>
  <c r="T101" i="134" s="1"/>
  <c r="Q100" i="134"/>
  <c r="Q99" i="134"/>
  <c r="T99" i="134" s="1"/>
  <c r="Q98" i="134"/>
  <c r="T98" i="134" s="1"/>
  <c r="Q97" i="134"/>
  <c r="T97" i="134" s="1"/>
  <c r="Q96" i="134"/>
  <c r="Q95" i="134"/>
  <c r="T95" i="134" s="1"/>
  <c r="Q94" i="134"/>
  <c r="T94" i="134" s="1"/>
  <c r="Q93" i="134"/>
  <c r="T93" i="134" s="1"/>
  <c r="Q92" i="134"/>
  <c r="Q91" i="134"/>
  <c r="Q90" i="134"/>
  <c r="Q89" i="134"/>
  <c r="Q88" i="134"/>
  <c r="Q87" i="134"/>
  <c r="Q86" i="134"/>
  <c r="Q85" i="134"/>
  <c r="T85" i="134" s="1"/>
  <c r="Q84" i="134"/>
  <c r="T84" i="134" s="1"/>
  <c r="Q83" i="134"/>
  <c r="T83" i="134" s="1"/>
  <c r="Q82" i="134"/>
  <c r="Q81" i="134"/>
  <c r="T81" i="134" s="1"/>
  <c r="Q80" i="134"/>
  <c r="T80" i="134" s="1"/>
  <c r="Q79" i="134"/>
  <c r="T79" i="134" s="1"/>
  <c r="Q78" i="134"/>
  <c r="Q77" i="134"/>
  <c r="T77" i="134" s="1"/>
  <c r="Q76" i="134"/>
  <c r="T76" i="134" s="1"/>
  <c r="Q75" i="134"/>
  <c r="T75" i="134" s="1"/>
  <c r="Q74" i="134"/>
  <c r="T74" i="134" s="1"/>
  <c r="Q73" i="134"/>
  <c r="T73" i="134" s="1"/>
  <c r="Q72" i="134"/>
  <c r="T72" i="134" s="1"/>
  <c r="Q71" i="134"/>
  <c r="T71" i="134" s="1"/>
  <c r="Q70" i="134"/>
  <c r="Q69" i="134"/>
  <c r="T69" i="134" s="1"/>
  <c r="Q68" i="134"/>
  <c r="T68" i="134" s="1"/>
  <c r="Q67" i="134"/>
  <c r="T67" i="134" s="1"/>
  <c r="Q66" i="134"/>
  <c r="Q65" i="134"/>
  <c r="T65" i="134" s="1"/>
  <c r="Q64" i="134"/>
  <c r="T64" i="134" s="1"/>
  <c r="Q63" i="134"/>
  <c r="T63" i="134" s="1"/>
  <c r="Q62" i="134"/>
  <c r="Q61" i="134"/>
  <c r="T61" i="134" s="1"/>
  <c r="Q60" i="134"/>
  <c r="Q59" i="134"/>
  <c r="Q58" i="134"/>
  <c r="T58" i="134" s="1"/>
  <c r="Q57" i="134"/>
  <c r="T57" i="134" s="1"/>
  <c r="Q56" i="134"/>
  <c r="T56" i="134" s="1"/>
  <c r="Q55" i="134"/>
  <c r="T55" i="134" s="1"/>
  <c r="Q54" i="134"/>
  <c r="T54" i="134" s="1"/>
  <c r="Q53" i="134"/>
  <c r="T53" i="134" s="1"/>
  <c r="Q52" i="134"/>
  <c r="T52" i="134" s="1"/>
  <c r="P47" i="134"/>
  <c r="O47" i="134"/>
  <c r="N47" i="134"/>
  <c r="M47" i="134"/>
  <c r="L47" i="134"/>
  <c r="K47" i="134"/>
  <c r="J47" i="134"/>
  <c r="I47" i="134"/>
  <c r="H47" i="134"/>
  <c r="G47" i="134"/>
  <c r="F47" i="134"/>
  <c r="E47" i="134"/>
  <c r="Q46" i="134"/>
  <c r="T46" i="134" s="1"/>
  <c r="Q45" i="134"/>
  <c r="T45" i="134" s="1"/>
  <c r="Q44" i="134"/>
  <c r="T44" i="134" s="1"/>
  <c r="Q43" i="134"/>
  <c r="T43" i="134" s="1"/>
  <c r="Q42" i="134"/>
  <c r="T42" i="134" s="1"/>
  <c r="Q41" i="134"/>
  <c r="T41" i="134" s="1"/>
  <c r="Q40" i="134"/>
  <c r="T40" i="134" s="1"/>
  <c r="Q39" i="134"/>
  <c r="T39" i="134" s="1"/>
  <c r="Q38" i="134"/>
  <c r="T38" i="134" s="1"/>
  <c r="Q37" i="134"/>
  <c r="T37" i="134" s="1"/>
  <c r="Q36" i="134"/>
  <c r="T36" i="134" s="1"/>
  <c r="Q35" i="134"/>
  <c r="T35" i="134" s="1"/>
  <c r="Q34" i="134"/>
  <c r="T34" i="134" s="1"/>
  <c r="Q33" i="134"/>
  <c r="T33" i="134" s="1"/>
  <c r="Q32" i="134"/>
  <c r="T32" i="134" s="1"/>
  <c r="Q31" i="134"/>
  <c r="T31" i="134" s="1"/>
  <c r="P28" i="134"/>
  <c r="O28" i="134"/>
  <c r="N28" i="134"/>
  <c r="M28" i="134"/>
  <c r="L28" i="134"/>
  <c r="K28" i="134"/>
  <c r="J28" i="134"/>
  <c r="I28" i="134"/>
  <c r="H28" i="134"/>
  <c r="G28" i="134"/>
  <c r="F28" i="134"/>
  <c r="E28" i="134"/>
  <c r="Q27" i="134"/>
  <c r="T27" i="134" s="1"/>
  <c r="Q26" i="134"/>
  <c r="T26" i="134" s="1"/>
  <c r="Q25" i="134"/>
  <c r="T25" i="134" s="1"/>
  <c r="Q24" i="134"/>
  <c r="T24" i="134" s="1"/>
  <c r="Q23" i="134"/>
  <c r="T23" i="134" s="1"/>
  <c r="Q22" i="134"/>
  <c r="T22" i="134" s="1"/>
  <c r="Q21" i="134"/>
  <c r="T21" i="134" s="1"/>
  <c r="Q20" i="134"/>
  <c r="T20" i="134" s="1"/>
  <c r="Q19" i="134"/>
  <c r="T19" i="134" s="1"/>
  <c r="Q18" i="134"/>
  <c r="T18" i="134" s="1"/>
  <c r="Q17" i="134"/>
  <c r="T17" i="134" s="1"/>
  <c r="Q16" i="134"/>
  <c r="T16" i="134" s="1"/>
  <c r="Q15" i="134"/>
  <c r="T15" i="134" s="1"/>
  <c r="Q14" i="134"/>
  <c r="T14" i="134" s="1"/>
  <c r="Q13" i="134"/>
  <c r="T13" i="134" s="1"/>
  <c r="Q12" i="134"/>
  <c r="T12" i="134" s="1"/>
  <c r="D7" i="134"/>
  <c r="D5" i="134"/>
  <c r="D4" i="134"/>
  <c r="Q93" i="81"/>
  <c r="U93" i="81" s="1"/>
  <c r="Q92" i="81"/>
  <c r="U92" i="81" s="1"/>
  <c r="Q91" i="81"/>
  <c r="U91" i="81" s="1"/>
  <c r="Q90" i="81"/>
  <c r="U90" i="81" s="1"/>
  <c r="P87" i="81"/>
  <c r="O87" i="81"/>
  <c r="N87" i="81"/>
  <c r="M87" i="81"/>
  <c r="L87" i="81"/>
  <c r="K87" i="81"/>
  <c r="J87" i="81"/>
  <c r="I87" i="81"/>
  <c r="P62" i="81"/>
  <c r="O62" i="81"/>
  <c r="N62" i="81"/>
  <c r="M62" i="81"/>
  <c r="L62" i="81"/>
  <c r="K62" i="81"/>
  <c r="J62" i="81"/>
  <c r="I62" i="81"/>
  <c r="H62" i="81"/>
  <c r="G62" i="81"/>
  <c r="F62" i="81"/>
  <c r="E62" i="81"/>
  <c r="P59" i="81"/>
  <c r="O59" i="81"/>
  <c r="N59" i="81"/>
  <c r="M59" i="81"/>
  <c r="L59" i="81"/>
  <c r="K59" i="81"/>
  <c r="J59" i="81"/>
  <c r="I59" i="81"/>
  <c r="H59" i="81"/>
  <c r="G59" i="81"/>
  <c r="F59" i="81"/>
  <c r="E59" i="81"/>
  <c r="P57" i="81"/>
  <c r="O57" i="81"/>
  <c r="N57" i="81"/>
  <c r="M57" i="81"/>
  <c r="L57" i="81"/>
  <c r="K57" i="81"/>
  <c r="J57" i="81"/>
  <c r="I57" i="81"/>
  <c r="H57" i="81"/>
  <c r="G57" i="81"/>
  <c r="F57" i="81"/>
  <c r="E57" i="81"/>
  <c r="P53" i="81"/>
  <c r="O53" i="81"/>
  <c r="N53" i="81"/>
  <c r="M53" i="81"/>
  <c r="L53" i="81"/>
  <c r="K53" i="81"/>
  <c r="J53" i="81"/>
  <c r="I53" i="81"/>
  <c r="H53" i="81"/>
  <c r="G53" i="81"/>
  <c r="F53" i="81"/>
  <c r="E53" i="81"/>
  <c r="P52" i="81"/>
  <c r="O52" i="81"/>
  <c r="N52" i="81"/>
  <c r="M52" i="81"/>
  <c r="L52" i="81"/>
  <c r="K52" i="81"/>
  <c r="J52" i="81"/>
  <c r="I52" i="81"/>
  <c r="H52" i="81"/>
  <c r="G52" i="81"/>
  <c r="F52" i="81"/>
  <c r="E52" i="81"/>
  <c r="P51" i="81"/>
  <c r="O51" i="81"/>
  <c r="N51" i="81"/>
  <c r="M51" i="81"/>
  <c r="L51" i="81"/>
  <c r="K51" i="81"/>
  <c r="J51" i="81"/>
  <c r="I51" i="81"/>
  <c r="H51" i="81"/>
  <c r="G51" i="81"/>
  <c r="F51" i="81"/>
  <c r="E51" i="81"/>
  <c r="P50" i="81"/>
  <c r="O50" i="81"/>
  <c r="N50" i="81"/>
  <c r="M50" i="81"/>
  <c r="L50" i="81"/>
  <c r="K50" i="81"/>
  <c r="J50" i="81"/>
  <c r="I50" i="81"/>
  <c r="H50" i="81"/>
  <c r="G50" i="81"/>
  <c r="F50" i="81"/>
  <c r="E50" i="81"/>
  <c r="P48" i="81"/>
  <c r="O48" i="81"/>
  <c r="N48" i="81"/>
  <c r="M48" i="81"/>
  <c r="E48" i="81"/>
  <c r="Q44" i="81"/>
  <c r="U44" i="81" s="1"/>
  <c r="Q41" i="81"/>
  <c r="U41" i="81" s="1"/>
  <c r="Q39" i="81"/>
  <c r="Q35" i="81"/>
  <c r="U35" i="81" s="1"/>
  <c r="Q34" i="81"/>
  <c r="U34" i="81" s="1"/>
  <c r="Q33" i="81"/>
  <c r="U33" i="81" s="1"/>
  <c r="Q32" i="81"/>
  <c r="U32" i="81"/>
  <c r="Q30" i="81"/>
  <c r="U30" i="81" s="1"/>
  <c r="Q26" i="81"/>
  <c r="Q23" i="81"/>
  <c r="U23" i="81" s="1"/>
  <c r="Q21" i="81"/>
  <c r="Q17" i="81"/>
  <c r="Q16" i="81"/>
  <c r="Q15" i="81"/>
  <c r="R51" i="81" s="1"/>
  <c r="Q14" i="81"/>
  <c r="P13" i="81"/>
  <c r="O13" i="81"/>
  <c r="N13" i="81"/>
  <c r="M13" i="81"/>
  <c r="L13" i="81"/>
  <c r="K13" i="81"/>
  <c r="J13" i="81"/>
  <c r="I13" i="81"/>
  <c r="H13" i="81"/>
  <c r="G13" i="81"/>
  <c r="F13" i="81"/>
  <c r="E13" i="81"/>
  <c r="T12" i="81"/>
  <c r="Q12" i="81"/>
  <c r="R48" i="81" s="1"/>
  <c r="D5" i="81"/>
  <c r="D4" i="81"/>
  <c r="Q123" i="149"/>
  <c r="T123" i="149" s="1"/>
  <c r="O120" i="149"/>
  <c r="N120" i="149"/>
  <c r="M120" i="149"/>
  <c r="L120" i="149"/>
  <c r="K120" i="149"/>
  <c r="J120" i="149"/>
  <c r="I120" i="149"/>
  <c r="H120" i="149"/>
  <c r="G120" i="149"/>
  <c r="F120" i="149"/>
  <c r="E120" i="149"/>
  <c r="P119" i="149"/>
  <c r="Q119" i="149" s="1"/>
  <c r="T119" i="149" s="1"/>
  <c r="P118" i="149"/>
  <c r="Q118" i="149" s="1"/>
  <c r="T118" i="149" s="1"/>
  <c r="Q117" i="149"/>
  <c r="T117" i="149" s="1"/>
  <c r="P116" i="149"/>
  <c r="Q116" i="149" s="1"/>
  <c r="Q115" i="149"/>
  <c r="T115" i="149" s="1"/>
  <c r="Q114" i="149"/>
  <c r="T114" i="149" s="1"/>
  <c r="Q113" i="149"/>
  <c r="T113" i="149" s="1"/>
  <c r="Q112" i="149"/>
  <c r="T112" i="149" s="1"/>
  <c r="P110" i="149"/>
  <c r="O110" i="149"/>
  <c r="N110" i="149"/>
  <c r="M110" i="149"/>
  <c r="L110" i="149"/>
  <c r="K110" i="149"/>
  <c r="J110" i="149"/>
  <c r="I110" i="149"/>
  <c r="H110" i="149"/>
  <c r="G110" i="149"/>
  <c r="F110" i="149"/>
  <c r="E110" i="149"/>
  <c r="Q109" i="149"/>
  <c r="T109" i="149" s="1"/>
  <c r="Q108" i="149"/>
  <c r="T108" i="149" s="1"/>
  <c r="Q107" i="149"/>
  <c r="T107" i="149" s="1"/>
  <c r="Q106" i="149"/>
  <c r="Q105" i="149"/>
  <c r="T105" i="149" s="1"/>
  <c r="Q104" i="149"/>
  <c r="T104" i="149" s="1"/>
  <c r="Q103" i="149"/>
  <c r="T103" i="149" s="1"/>
  <c r="Q102" i="149"/>
  <c r="P100" i="149"/>
  <c r="O100" i="149"/>
  <c r="N100" i="149"/>
  <c r="M100" i="149"/>
  <c r="L100" i="149"/>
  <c r="K100" i="149"/>
  <c r="J100" i="149"/>
  <c r="I100" i="149"/>
  <c r="H100" i="149"/>
  <c r="G100" i="149"/>
  <c r="F100" i="149"/>
  <c r="E100" i="149"/>
  <c r="Q99" i="149"/>
  <c r="T99" i="149" s="1"/>
  <c r="Q98" i="149"/>
  <c r="T98" i="149" s="1"/>
  <c r="Q97" i="149"/>
  <c r="Q96" i="149"/>
  <c r="T96" i="149" s="1"/>
  <c r="Q95" i="149"/>
  <c r="T95" i="149" s="1"/>
  <c r="Q94" i="149"/>
  <c r="P92" i="149"/>
  <c r="O92" i="149"/>
  <c r="N92" i="149"/>
  <c r="M92" i="149"/>
  <c r="L92" i="149"/>
  <c r="K92" i="149"/>
  <c r="J92" i="149"/>
  <c r="I92" i="149"/>
  <c r="H92" i="149"/>
  <c r="G92" i="149"/>
  <c r="F92" i="149"/>
  <c r="E92" i="149"/>
  <c r="Q91" i="149"/>
  <c r="Q90" i="149"/>
  <c r="Q82" i="149"/>
  <c r="T82" i="149" s="1"/>
  <c r="Q81" i="149"/>
  <c r="T81" i="149" s="1"/>
  <c r="Q80" i="149"/>
  <c r="Q79" i="149"/>
  <c r="T79" i="149" s="1"/>
  <c r="Q78" i="149"/>
  <c r="T78" i="149" s="1"/>
  <c r="Q77" i="149"/>
  <c r="T77" i="149" s="1"/>
  <c r="Q76" i="149"/>
  <c r="Q75" i="149"/>
  <c r="Q74" i="149"/>
  <c r="Q73" i="149"/>
  <c r="Q72" i="149"/>
  <c r="T72" i="149" s="1"/>
  <c r="P71" i="149"/>
  <c r="P83" i="149" s="1"/>
  <c r="O71" i="149"/>
  <c r="O83" i="149" s="1"/>
  <c r="N71" i="149"/>
  <c r="N83" i="149" s="1"/>
  <c r="M71" i="149"/>
  <c r="M83" i="149" s="1"/>
  <c r="L71" i="149"/>
  <c r="L83" i="149" s="1"/>
  <c r="K71" i="149"/>
  <c r="K83" i="149" s="1"/>
  <c r="J71" i="149"/>
  <c r="J83" i="149" s="1"/>
  <c r="I71" i="149"/>
  <c r="I83" i="149" s="1"/>
  <c r="H71" i="149"/>
  <c r="H83" i="149" s="1"/>
  <c r="G71" i="149"/>
  <c r="G83" i="149" s="1"/>
  <c r="F71" i="149"/>
  <c r="F83" i="149" s="1"/>
  <c r="E71" i="149"/>
  <c r="Q70" i="149"/>
  <c r="T70" i="149" s="1"/>
  <c r="Q69" i="149"/>
  <c r="Q68" i="149"/>
  <c r="T68" i="149" s="1"/>
  <c r="Q67" i="149"/>
  <c r="T67" i="149" s="1"/>
  <c r="Q66" i="149"/>
  <c r="T66" i="149" s="1"/>
  <c r="Q65" i="149"/>
  <c r="Q64" i="149"/>
  <c r="T64" i="149" s="1"/>
  <c r="Q63" i="149"/>
  <c r="T63" i="149" s="1"/>
  <c r="Q62" i="149"/>
  <c r="T62" i="149" s="1"/>
  <c r="Q61" i="149"/>
  <c r="T61" i="149" s="1"/>
  <c r="Q60" i="149"/>
  <c r="T60" i="149" s="1"/>
  <c r="Q59" i="149"/>
  <c r="T59" i="149" s="1"/>
  <c r="Q58" i="149"/>
  <c r="Q57" i="149"/>
  <c r="T57" i="149" s="1"/>
  <c r="Q56" i="149"/>
  <c r="T56" i="149" s="1"/>
  <c r="Q55" i="149"/>
  <c r="T55" i="149" s="1"/>
  <c r="Q54" i="149"/>
  <c r="Q53" i="149"/>
  <c r="T53" i="149" s="1"/>
  <c r="Q52" i="149"/>
  <c r="T52" i="149" s="1"/>
  <c r="Q51" i="149"/>
  <c r="T51" i="149" s="1"/>
  <c r="Q50" i="149"/>
  <c r="Q49" i="149"/>
  <c r="T49" i="149" s="1"/>
  <c r="Q48" i="149"/>
  <c r="T48" i="149" s="1"/>
  <c r="Q47" i="149"/>
  <c r="T47" i="149" s="1"/>
  <c r="Q46" i="149"/>
  <c r="Q45" i="149"/>
  <c r="T45" i="149" s="1"/>
  <c r="Q44" i="149"/>
  <c r="T44" i="149" s="1"/>
  <c r="Q43" i="149"/>
  <c r="Q42" i="149"/>
  <c r="T42" i="149" s="1"/>
  <c r="Q41" i="149"/>
  <c r="T41" i="149" s="1"/>
  <c r="Q40" i="149"/>
  <c r="T40" i="149" s="1"/>
  <c r="Q39" i="149"/>
  <c r="Q38" i="149"/>
  <c r="T38" i="149" s="1"/>
  <c r="Q37" i="149"/>
  <c r="T37" i="149" s="1"/>
  <c r="Q36" i="149"/>
  <c r="T36" i="149" s="1"/>
  <c r="Q35" i="149"/>
  <c r="Q34" i="149"/>
  <c r="T34" i="149" s="1"/>
  <c r="Q33" i="149"/>
  <c r="T33" i="149" s="1"/>
  <c r="Q32" i="149"/>
  <c r="T32" i="149" s="1"/>
  <c r="Q31" i="149"/>
  <c r="Q30" i="149"/>
  <c r="T30" i="149" s="1"/>
  <c r="Q29" i="149"/>
  <c r="T29" i="149" s="1"/>
  <c r="Q28" i="149"/>
  <c r="T28" i="149" s="1"/>
  <c r="Q27" i="149"/>
  <c r="Q26" i="149"/>
  <c r="T26" i="149" s="1"/>
  <c r="Q25" i="149"/>
  <c r="T25" i="149" s="1"/>
  <c r="Q24" i="149"/>
  <c r="T24" i="149" s="1"/>
  <c r="Q23" i="149"/>
  <c r="T23" i="149" s="1"/>
  <c r="Q22" i="149"/>
  <c r="T22" i="149" s="1"/>
  <c r="Q21" i="149"/>
  <c r="T21" i="149" s="1"/>
  <c r="Q20" i="149"/>
  <c r="T20" i="149" s="1"/>
  <c r="Q19" i="149"/>
  <c r="T19" i="149" s="1"/>
  <c r="Q18" i="149"/>
  <c r="T18" i="149" s="1"/>
  <c r="Q17" i="149"/>
  <c r="T17" i="149" s="1"/>
  <c r="Q16" i="149"/>
  <c r="T16" i="149" s="1"/>
  <c r="R15" i="149"/>
  <c r="Q15" i="149"/>
  <c r="D7" i="149"/>
  <c r="D5" i="149"/>
  <c r="D4" i="149"/>
  <c r="Q132" i="147"/>
  <c r="U124" i="147"/>
  <c r="Q118" i="147"/>
  <c r="Q117" i="147"/>
  <c r="U117" i="147" s="1"/>
  <c r="Q116" i="147"/>
  <c r="U116" i="147" s="1"/>
  <c r="Q115" i="147"/>
  <c r="U115" i="147" s="1"/>
  <c r="Q114" i="147"/>
  <c r="U114" i="147" s="1"/>
  <c r="Q113" i="147"/>
  <c r="U113" i="147" s="1"/>
  <c r="Q110" i="147"/>
  <c r="U110" i="147" s="1"/>
  <c r="Q108" i="147"/>
  <c r="U108" i="147" s="1"/>
  <c r="Q107" i="147"/>
  <c r="S107" i="147" s="1"/>
  <c r="Q106" i="147"/>
  <c r="S106" i="147" s="1"/>
  <c r="Q105" i="147"/>
  <c r="Q104" i="147"/>
  <c r="U104" i="147" s="1"/>
  <c r="Q103" i="147"/>
  <c r="S103" i="147" s="1"/>
  <c r="Q100" i="147"/>
  <c r="Q99" i="147"/>
  <c r="U99" i="147" s="1"/>
  <c r="Q96" i="147"/>
  <c r="S96" i="147" s="1"/>
  <c r="Q94" i="147"/>
  <c r="Q91" i="147"/>
  <c r="S91" i="147" s="1"/>
  <c r="Q90" i="147"/>
  <c r="S90" i="147" s="1"/>
  <c r="Q82" i="147"/>
  <c r="U82" i="147" s="1"/>
  <c r="Q81" i="147"/>
  <c r="S81" i="147" s="1"/>
  <c r="Q80" i="147"/>
  <c r="U80" i="147" s="1"/>
  <c r="Q79" i="147"/>
  <c r="Q78" i="147"/>
  <c r="U78" i="147" s="1"/>
  <c r="Q77" i="147"/>
  <c r="Q76" i="147"/>
  <c r="U76" i="147" s="1"/>
  <c r="Q75" i="147"/>
  <c r="Q74" i="147"/>
  <c r="U74" i="147" s="1"/>
  <c r="Q73" i="147"/>
  <c r="S73" i="147" s="1"/>
  <c r="Q72" i="147"/>
  <c r="U72" i="147" s="1"/>
  <c r="Q70" i="147"/>
  <c r="U70" i="147" s="1"/>
  <c r="Q69" i="147"/>
  <c r="S69" i="147" s="1"/>
  <c r="Q68" i="147"/>
  <c r="U68" i="147" s="1"/>
  <c r="Q67" i="147"/>
  <c r="Q66" i="147"/>
  <c r="U66" i="147" s="1"/>
  <c r="Q65" i="147"/>
  <c r="S65" i="147" s="1"/>
  <c r="Q64" i="147"/>
  <c r="U64" i="147" s="1"/>
  <c r="Q63" i="147"/>
  <c r="Q62" i="147"/>
  <c r="U62" i="147" s="1"/>
  <c r="Q61" i="147"/>
  <c r="U61" i="147" s="1"/>
  <c r="Q60" i="147"/>
  <c r="Q59" i="147"/>
  <c r="U59" i="147" s="1"/>
  <c r="Q58" i="147"/>
  <c r="S58" i="147" s="1"/>
  <c r="Q57" i="147"/>
  <c r="U57" i="147" s="1"/>
  <c r="Q56" i="147"/>
  <c r="U56" i="147" s="1"/>
  <c r="Q55" i="147"/>
  <c r="U55" i="147" s="1"/>
  <c r="Q54" i="147"/>
  <c r="S54" i="147" s="1"/>
  <c r="Q53" i="147"/>
  <c r="U53" i="147" s="1"/>
  <c r="Q52" i="147"/>
  <c r="Q51" i="147"/>
  <c r="U51" i="147" s="1"/>
  <c r="Q50" i="147"/>
  <c r="S50" i="147" s="1"/>
  <c r="Q49" i="147"/>
  <c r="U49" i="147" s="1"/>
  <c r="Q48" i="147"/>
  <c r="Q47" i="147"/>
  <c r="U47" i="147" s="1"/>
  <c r="Q46" i="147"/>
  <c r="S46" i="147" s="1"/>
  <c r="Q45" i="147"/>
  <c r="U45" i="147" s="1"/>
  <c r="Q44" i="147"/>
  <c r="Q42" i="147"/>
  <c r="S42" i="147" s="1"/>
  <c r="Q41" i="147"/>
  <c r="U41" i="147" s="1"/>
  <c r="Q40" i="147"/>
  <c r="U40" i="147" s="1"/>
  <c r="Q39" i="147"/>
  <c r="U39" i="147" s="1"/>
  <c r="Q38" i="147"/>
  <c r="S38" i="147" s="1"/>
  <c r="Q37" i="147"/>
  <c r="U37" i="147" s="1"/>
  <c r="Q36" i="147"/>
  <c r="Q35" i="147"/>
  <c r="U35" i="147" s="1"/>
  <c r="Q34" i="147"/>
  <c r="U34" i="147" s="1"/>
  <c r="Q33" i="147"/>
  <c r="U33" i="147" s="1"/>
  <c r="Q32" i="147"/>
  <c r="U32" i="147" s="1"/>
  <c r="Q31" i="147"/>
  <c r="U31" i="147" s="1"/>
  <c r="Q30" i="147"/>
  <c r="U30" i="147" s="1"/>
  <c r="Q29" i="147"/>
  <c r="U29" i="147" s="1"/>
  <c r="Q28" i="147"/>
  <c r="U28" i="147" s="1"/>
  <c r="Q27" i="147"/>
  <c r="U27" i="147" s="1"/>
  <c r="Q26" i="147"/>
  <c r="U26" i="147" s="1"/>
  <c r="Q25" i="147"/>
  <c r="U25" i="147" s="1"/>
  <c r="Q24" i="147"/>
  <c r="U24" i="147" s="1"/>
  <c r="Q23" i="147"/>
  <c r="Q22" i="147"/>
  <c r="U22" i="147" s="1"/>
  <c r="Q21" i="147"/>
  <c r="U21" i="147" s="1"/>
  <c r="Q20" i="147"/>
  <c r="U20" i="147" s="1"/>
  <c r="Q19" i="147"/>
  <c r="U19" i="147" s="1"/>
  <c r="Q18" i="147"/>
  <c r="U18" i="147" s="1"/>
  <c r="Q17" i="147"/>
  <c r="U17" i="147" s="1"/>
  <c r="Q16" i="147"/>
  <c r="U16" i="147" s="1"/>
  <c r="S15" i="147"/>
  <c r="Q15" i="147"/>
  <c r="U15" i="147" s="1"/>
  <c r="Q14" i="147"/>
  <c r="D5" i="147"/>
  <c r="D4" i="147"/>
  <c r="Q134" i="146"/>
  <c r="P131" i="146"/>
  <c r="O131" i="146"/>
  <c r="N131" i="146"/>
  <c r="M131" i="146"/>
  <c r="L131" i="146"/>
  <c r="K131" i="146"/>
  <c r="J131" i="146"/>
  <c r="I131" i="146"/>
  <c r="H131" i="146"/>
  <c r="G131" i="146"/>
  <c r="F131" i="146"/>
  <c r="E131" i="146"/>
  <c r="Q130" i="146"/>
  <c r="Q129" i="146"/>
  <c r="Q128" i="146"/>
  <c r="Q127" i="146"/>
  <c r="Q126" i="146"/>
  <c r="Q125" i="146"/>
  <c r="Q124" i="146"/>
  <c r="P122" i="146"/>
  <c r="O122" i="146"/>
  <c r="N122" i="146"/>
  <c r="M122" i="146"/>
  <c r="L122" i="146"/>
  <c r="K122" i="146"/>
  <c r="J122" i="146"/>
  <c r="I122" i="146"/>
  <c r="H122" i="146"/>
  <c r="G122" i="146"/>
  <c r="F122" i="146"/>
  <c r="E122" i="146"/>
  <c r="Q121" i="146"/>
  <c r="Q120" i="146"/>
  <c r="Q119" i="146"/>
  <c r="Q118" i="146"/>
  <c r="Q117" i="146"/>
  <c r="Q116" i="146"/>
  <c r="Q115" i="146"/>
  <c r="Q114" i="146"/>
  <c r="P112" i="146"/>
  <c r="O112" i="146"/>
  <c r="N112" i="146"/>
  <c r="M112" i="146"/>
  <c r="L112" i="146"/>
  <c r="K112" i="146"/>
  <c r="J112" i="146"/>
  <c r="I112" i="146"/>
  <c r="H112" i="146"/>
  <c r="G112" i="146"/>
  <c r="F112" i="146"/>
  <c r="E112" i="146"/>
  <c r="Q111" i="146"/>
  <c r="Q110" i="146"/>
  <c r="Q109" i="146"/>
  <c r="Q108" i="146"/>
  <c r="Q107" i="146"/>
  <c r="P105" i="146"/>
  <c r="O105" i="146"/>
  <c r="N105" i="146"/>
  <c r="M105" i="146"/>
  <c r="L105" i="146"/>
  <c r="K105" i="146"/>
  <c r="J105" i="146"/>
  <c r="I105" i="146"/>
  <c r="H105" i="146"/>
  <c r="G105" i="146"/>
  <c r="F105" i="146"/>
  <c r="E105" i="146"/>
  <c r="Q104" i="146"/>
  <c r="Q103" i="146"/>
  <c r="Q102" i="146"/>
  <c r="P96" i="146"/>
  <c r="O96" i="146"/>
  <c r="N96" i="146"/>
  <c r="M96" i="146"/>
  <c r="L96" i="146"/>
  <c r="K96" i="146"/>
  <c r="J96" i="146"/>
  <c r="I96" i="146"/>
  <c r="H96" i="146"/>
  <c r="G96" i="146"/>
  <c r="F96" i="146"/>
  <c r="E96" i="146"/>
  <c r="T95" i="146"/>
  <c r="Q94" i="146"/>
  <c r="T94" i="146" s="1"/>
  <c r="Q93" i="146"/>
  <c r="T93" i="146" s="1"/>
  <c r="Q92" i="146"/>
  <c r="T92" i="146" s="1"/>
  <c r="Q91" i="146"/>
  <c r="T91" i="146" s="1"/>
  <c r="Q90" i="146"/>
  <c r="T90" i="146" s="1"/>
  <c r="Q89" i="146"/>
  <c r="T89" i="146" s="1"/>
  <c r="Q88" i="146"/>
  <c r="T88" i="146" s="1"/>
  <c r="Q87" i="146"/>
  <c r="T87" i="146" s="1"/>
  <c r="Q86" i="146"/>
  <c r="T86" i="146" s="1"/>
  <c r="Q85" i="146"/>
  <c r="T85" i="146" s="1"/>
  <c r="Q84" i="146"/>
  <c r="T84" i="146" s="1"/>
  <c r="Q83" i="146"/>
  <c r="T83" i="146" s="1"/>
  <c r="Q82" i="146"/>
  <c r="T82" i="146" s="1"/>
  <c r="Q81" i="146"/>
  <c r="T81" i="146" s="1"/>
  <c r="Q80" i="146"/>
  <c r="T80" i="146" s="1"/>
  <c r="Q79" i="146"/>
  <c r="T79" i="146" s="1"/>
  <c r="Q78" i="146"/>
  <c r="T78" i="146" s="1"/>
  <c r="Q77" i="146"/>
  <c r="T77" i="146" s="1"/>
  <c r="Q76" i="146"/>
  <c r="T76" i="146" s="1"/>
  <c r="Q75" i="146"/>
  <c r="T75" i="146" s="1"/>
  <c r="Q74" i="146"/>
  <c r="T74" i="146" s="1"/>
  <c r="Q73" i="146"/>
  <c r="T73" i="146" s="1"/>
  <c r="Q72" i="146"/>
  <c r="T72" i="146" s="1"/>
  <c r="Q71" i="146"/>
  <c r="T71" i="146" s="1"/>
  <c r="Q70" i="146"/>
  <c r="T70" i="146" s="1"/>
  <c r="Q69" i="146"/>
  <c r="T69" i="146" s="1"/>
  <c r="Q68" i="146"/>
  <c r="T68" i="146" s="1"/>
  <c r="Q67" i="146"/>
  <c r="T67" i="146" s="1"/>
  <c r="Q66" i="146"/>
  <c r="T66" i="146" s="1"/>
  <c r="Q65" i="146"/>
  <c r="T65" i="146" s="1"/>
  <c r="Q64" i="146"/>
  <c r="T64" i="146" s="1"/>
  <c r="Q63" i="146"/>
  <c r="T63" i="146" s="1"/>
  <c r="Q62" i="146"/>
  <c r="T62" i="146" s="1"/>
  <c r="Q61" i="146"/>
  <c r="T61" i="146" s="1"/>
  <c r="Q60" i="146"/>
  <c r="T60" i="146" s="1"/>
  <c r="Q59" i="146"/>
  <c r="T59" i="146" s="1"/>
  <c r="Q58" i="146"/>
  <c r="T58" i="146" s="1"/>
  <c r="Q57" i="146"/>
  <c r="T57" i="146" s="1"/>
  <c r="Q56" i="146"/>
  <c r="T56" i="146" s="1"/>
  <c r="Q55" i="146"/>
  <c r="T55" i="146" s="1"/>
  <c r="Q54" i="146"/>
  <c r="T54" i="146" s="1"/>
  <c r="Q53" i="146"/>
  <c r="T53" i="146" s="1"/>
  <c r="Q52" i="146"/>
  <c r="T52" i="146" s="1"/>
  <c r="Q51" i="146"/>
  <c r="T51" i="146" s="1"/>
  <c r="Q50" i="146"/>
  <c r="T50" i="146" s="1"/>
  <c r="Q49" i="146"/>
  <c r="T49" i="146" s="1"/>
  <c r="Q48" i="146"/>
  <c r="T48" i="146" s="1"/>
  <c r="Q47" i="146"/>
  <c r="T47" i="146" s="1"/>
  <c r="Q46" i="146"/>
  <c r="T46" i="146" s="1"/>
  <c r="Q45" i="146"/>
  <c r="T45" i="146" s="1"/>
  <c r="Q44" i="146"/>
  <c r="T44" i="146" s="1"/>
  <c r="Q43" i="146"/>
  <c r="T43" i="146" s="1"/>
  <c r="Q42" i="146"/>
  <c r="T42" i="146" s="1"/>
  <c r="Q41" i="146"/>
  <c r="T41" i="146" s="1"/>
  <c r="Q40" i="146"/>
  <c r="T40" i="146" s="1"/>
  <c r="Q39" i="146"/>
  <c r="T39" i="146" s="1"/>
  <c r="Q38" i="146"/>
  <c r="T38" i="146" s="1"/>
  <c r="Q37" i="146"/>
  <c r="T37" i="146" s="1"/>
  <c r="Q36" i="146"/>
  <c r="T36" i="146" s="1"/>
  <c r="Q35" i="146"/>
  <c r="T35" i="146" s="1"/>
  <c r="Q34" i="146"/>
  <c r="T34" i="146" s="1"/>
  <c r="Q33" i="146"/>
  <c r="T33" i="146" s="1"/>
  <c r="Q32" i="146"/>
  <c r="T32" i="146" s="1"/>
  <c r="Q31" i="146"/>
  <c r="T31" i="146" s="1"/>
  <c r="Q30" i="146"/>
  <c r="T30" i="146" s="1"/>
  <c r="Q29" i="146"/>
  <c r="T29" i="146" s="1"/>
  <c r="Q28" i="146"/>
  <c r="T28" i="146" s="1"/>
  <c r="Q27" i="146"/>
  <c r="T27" i="146" s="1"/>
  <c r="T23" i="146"/>
  <c r="Q21" i="146"/>
  <c r="T21" i="146" s="1"/>
  <c r="Q20" i="146"/>
  <c r="T20" i="146" s="1"/>
  <c r="P19" i="146"/>
  <c r="P22" i="146" s="1"/>
  <c r="P55" i="108" s="1"/>
  <c r="O19" i="146"/>
  <c r="O22" i="146" s="1"/>
  <c r="N19" i="146"/>
  <c r="N22" i="146" s="1"/>
  <c r="N55" i="108" s="1"/>
  <c r="M19" i="146"/>
  <c r="M22" i="146" s="1"/>
  <c r="M55" i="108" s="1"/>
  <c r="L19" i="146"/>
  <c r="L22" i="146" s="1"/>
  <c r="K19" i="146"/>
  <c r="K22" i="146" s="1"/>
  <c r="K55" i="108" s="1"/>
  <c r="J19" i="146"/>
  <c r="J22" i="146" s="1"/>
  <c r="I19" i="146"/>
  <c r="I22" i="146" s="1"/>
  <c r="I55" i="108" s="1"/>
  <c r="H19" i="146"/>
  <c r="H22" i="146" s="1"/>
  <c r="H55" i="108" s="1"/>
  <c r="G19" i="146"/>
  <c r="G22" i="146" s="1"/>
  <c r="F19" i="146"/>
  <c r="F22" i="146" s="1"/>
  <c r="F55" i="108" s="1"/>
  <c r="E19" i="146"/>
  <c r="P16" i="146"/>
  <c r="P47" i="108" s="1"/>
  <c r="O16" i="146"/>
  <c r="O47" i="108" s="1"/>
  <c r="N16" i="146"/>
  <c r="N47" i="108" s="1"/>
  <c r="M16" i="146"/>
  <c r="L16" i="146"/>
  <c r="L47" i="108" s="1"/>
  <c r="K16" i="146"/>
  <c r="J16" i="146"/>
  <c r="J47" i="108" s="1"/>
  <c r="I16" i="146"/>
  <c r="I47" i="108" s="1"/>
  <c r="H16" i="146"/>
  <c r="H47" i="108" s="1"/>
  <c r="G16" i="146"/>
  <c r="F16" i="146"/>
  <c r="F47" i="108" s="1"/>
  <c r="E16" i="146"/>
  <c r="E47" i="108" s="1"/>
  <c r="Q15" i="146"/>
  <c r="T15" i="146" s="1"/>
  <c r="Q14" i="146"/>
  <c r="T14" i="146" s="1"/>
  <c r="Q13" i="146"/>
  <c r="T13" i="146" s="1"/>
  <c r="Q12" i="146"/>
  <c r="D7" i="146"/>
  <c r="D5" i="146"/>
  <c r="D4" i="146"/>
  <c r="Q161" i="121"/>
  <c r="T161" i="121" s="1"/>
  <c r="Q160" i="121"/>
  <c r="Q159" i="121"/>
  <c r="T159" i="121" s="1"/>
  <c r="Q158" i="121"/>
  <c r="T158" i="121" s="1"/>
  <c r="Q157" i="121"/>
  <c r="T157" i="121" s="1"/>
  <c r="Q156" i="121"/>
  <c r="Q153" i="121"/>
  <c r="T153" i="121" s="1"/>
  <c r="Q151" i="121"/>
  <c r="Q150" i="121"/>
  <c r="T150" i="121" s="1"/>
  <c r="Q149" i="121"/>
  <c r="T149" i="121" s="1"/>
  <c r="Q148" i="121"/>
  <c r="T148" i="121" s="1"/>
  <c r="Q147" i="121"/>
  <c r="Q146" i="121"/>
  <c r="T146" i="121" s="1"/>
  <c r="Q142" i="121"/>
  <c r="Q139" i="121"/>
  <c r="Q134" i="121"/>
  <c r="Q133" i="121"/>
  <c r="T133" i="121" s="1"/>
  <c r="Q132" i="121"/>
  <c r="T125" i="121"/>
  <c r="P125" i="121"/>
  <c r="O125" i="121"/>
  <c r="N125" i="121"/>
  <c r="M125" i="121"/>
  <c r="L125" i="121"/>
  <c r="K125" i="121"/>
  <c r="J125" i="121"/>
  <c r="I125" i="121"/>
  <c r="H125" i="121"/>
  <c r="G125" i="121"/>
  <c r="F125" i="121"/>
  <c r="E125" i="121"/>
  <c r="P124" i="121"/>
  <c r="O124" i="121"/>
  <c r="N124" i="121"/>
  <c r="M124" i="121"/>
  <c r="L124" i="121"/>
  <c r="K124" i="121"/>
  <c r="J124" i="121"/>
  <c r="I124" i="121"/>
  <c r="H124" i="121"/>
  <c r="G124" i="121"/>
  <c r="F124" i="121"/>
  <c r="E124" i="121"/>
  <c r="P123" i="121"/>
  <c r="O123" i="121"/>
  <c r="N123" i="121"/>
  <c r="M123" i="121"/>
  <c r="L123" i="121"/>
  <c r="K123" i="121"/>
  <c r="J123" i="121"/>
  <c r="I123" i="121"/>
  <c r="H123" i="121"/>
  <c r="G123" i="121"/>
  <c r="F123" i="121"/>
  <c r="E123" i="121"/>
  <c r="P122" i="121"/>
  <c r="O122" i="121"/>
  <c r="N122" i="121"/>
  <c r="M122" i="121"/>
  <c r="L122" i="121"/>
  <c r="K122" i="121"/>
  <c r="J122" i="121"/>
  <c r="I122" i="121"/>
  <c r="H122" i="121"/>
  <c r="G122" i="121"/>
  <c r="F122" i="121"/>
  <c r="E122" i="121"/>
  <c r="P121" i="121"/>
  <c r="O121" i="121"/>
  <c r="N121" i="121"/>
  <c r="M121" i="121"/>
  <c r="L121" i="121"/>
  <c r="K121" i="121"/>
  <c r="J121" i="121"/>
  <c r="I121" i="121"/>
  <c r="H121" i="121"/>
  <c r="G121" i="121"/>
  <c r="F121" i="121"/>
  <c r="E121" i="121"/>
  <c r="T120" i="121"/>
  <c r="P118" i="121"/>
  <c r="P147" i="108" s="1"/>
  <c r="O118" i="121"/>
  <c r="O147" i="108" s="1"/>
  <c r="N118" i="121"/>
  <c r="N147" i="108" s="1"/>
  <c r="M118" i="121"/>
  <c r="M147" i="108" s="1"/>
  <c r="L118" i="121"/>
  <c r="K118" i="121"/>
  <c r="K147" i="108" s="1"/>
  <c r="J118" i="121"/>
  <c r="J147" i="108" s="1"/>
  <c r="I118" i="121"/>
  <c r="I147" i="108" s="1"/>
  <c r="H118" i="121"/>
  <c r="G118" i="121"/>
  <c r="G147" i="108" s="1"/>
  <c r="F118" i="121"/>
  <c r="F147" i="108" s="1"/>
  <c r="E118" i="121"/>
  <c r="E147" i="108" s="1"/>
  <c r="T117" i="121"/>
  <c r="Q117" i="121"/>
  <c r="Q116" i="121"/>
  <c r="Q115" i="121"/>
  <c r="T115" i="121" s="1"/>
  <c r="Q114" i="121"/>
  <c r="T114" i="121" s="1"/>
  <c r="Q113" i="121"/>
  <c r="T113" i="121" s="1"/>
  <c r="Q107" i="121"/>
  <c r="Q106" i="121"/>
  <c r="T106" i="121" s="1"/>
  <c r="Q105" i="121"/>
  <c r="T105" i="121" s="1"/>
  <c r="Q104" i="121"/>
  <c r="Q103" i="121"/>
  <c r="T103" i="121" s="1"/>
  <c r="Q102" i="121"/>
  <c r="T102" i="121" s="1"/>
  <c r="Q101" i="121"/>
  <c r="T101" i="121" s="1"/>
  <c r="Q100" i="121"/>
  <c r="Q99" i="121"/>
  <c r="T99" i="121" s="1"/>
  <c r="Q98" i="121"/>
  <c r="T98" i="121" s="1"/>
  <c r="Q97" i="121"/>
  <c r="T97" i="121" s="1"/>
  <c r="Q95" i="121"/>
  <c r="T95" i="121" s="1"/>
  <c r="Q94" i="121"/>
  <c r="T94" i="121" s="1"/>
  <c r="Q93" i="121"/>
  <c r="T93" i="121" s="1"/>
  <c r="Q92" i="121"/>
  <c r="T92" i="121" s="1"/>
  <c r="Q91" i="121"/>
  <c r="T91" i="121" s="1"/>
  <c r="Q90" i="121"/>
  <c r="T90" i="121" s="1"/>
  <c r="Q89" i="121"/>
  <c r="T89" i="121" s="1"/>
  <c r="Q88" i="121"/>
  <c r="T88" i="121" s="1"/>
  <c r="Q87" i="121"/>
  <c r="T87" i="121" s="1"/>
  <c r="Q86" i="121"/>
  <c r="T86" i="121" s="1"/>
  <c r="Q85" i="121"/>
  <c r="T85" i="121" s="1"/>
  <c r="Q84" i="121"/>
  <c r="T84" i="121" s="1"/>
  <c r="Q83" i="121"/>
  <c r="T83" i="121" s="1"/>
  <c r="Q82" i="121"/>
  <c r="T82" i="121" s="1"/>
  <c r="Q81" i="121"/>
  <c r="T81" i="121" s="1"/>
  <c r="Q80" i="121"/>
  <c r="T80" i="121" s="1"/>
  <c r="Q79" i="121"/>
  <c r="T79" i="121" s="1"/>
  <c r="Q76" i="121"/>
  <c r="T76" i="121" s="1"/>
  <c r="Q75" i="121"/>
  <c r="T75" i="121" s="1"/>
  <c r="Q74" i="121"/>
  <c r="T74" i="121" s="1"/>
  <c r="Q73" i="121"/>
  <c r="Q72" i="121"/>
  <c r="T72" i="121" s="1"/>
  <c r="Q71" i="121"/>
  <c r="T71" i="121" s="1"/>
  <c r="Q70" i="121"/>
  <c r="Q69" i="121"/>
  <c r="Q66" i="121"/>
  <c r="Q60" i="121"/>
  <c r="Q58" i="121"/>
  <c r="T58" i="121" s="1"/>
  <c r="Q57" i="121"/>
  <c r="T57" i="121" s="1"/>
  <c r="Q56" i="121"/>
  <c r="Q54" i="121"/>
  <c r="T54" i="121" s="1"/>
  <c r="Q53" i="121"/>
  <c r="Q52" i="121"/>
  <c r="T52" i="121" s="1"/>
  <c r="Q51" i="121"/>
  <c r="T51" i="121" s="1"/>
  <c r="Q50" i="121"/>
  <c r="T50" i="121" s="1"/>
  <c r="Q49" i="121"/>
  <c r="T45" i="121"/>
  <c r="Q44" i="121"/>
  <c r="T44" i="121" s="1"/>
  <c r="Q42" i="121"/>
  <c r="T42" i="121" s="1"/>
  <c r="Q41" i="121"/>
  <c r="T41" i="121" s="1"/>
  <c r="Q34" i="121"/>
  <c r="Q28" i="121"/>
  <c r="T28" i="121" s="1"/>
  <c r="T27" i="121"/>
  <c r="Q27" i="121"/>
  <c r="R34" i="121" s="1"/>
  <c r="Q26" i="121"/>
  <c r="T26" i="121" s="1"/>
  <c r="P25" i="121"/>
  <c r="O25" i="121"/>
  <c r="O44" i="108" s="1"/>
  <c r="N25" i="121"/>
  <c r="M25" i="121"/>
  <c r="L25" i="121"/>
  <c r="K25" i="121"/>
  <c r="J25" i="121"/>
  <c r="I25" i="121"/>
  <c r="H25" i="121"/>
  <c r="G25" i="121"/>
  <c r="F25" i="121"/>
  <c r="E25" i="121"/>
  <c r="T24" i="121"/>
  <c r="Q24" i="121"/>
  <c r="Q23" i="121"/>
  <c r="T23" i="121" s="1"/>
  <c r="Q22" i="121"/>
  <c r="T22" i="121" s="1"/>
  <c r="Q21" i="121"/>
  <c r="T21" i="121" s="1"/>
  <c r="Q20" i="121"/>
  <c r="P17" i="121"/>
  <c r="O17" i="121"/>
  <c r="N17" i="121"/>
  <c r="M17" i="121"/>
  <c r="L17" i="121"/>
  <c r="K17" i="121"/>
  <c r="J17" i="121"/>
  <c r="I17" i="121"/>
  <c r="H17" i="121"/>
  <c r="G17" i="121"/>
  <c r="F17" i="121"/>
  <c r="E17" i="121"/>
  <c r="T16" i="121"/>
  <c r="Q16" i="121"/>
  <c r="Q15" i="121"/>
  <c r="T15" i="121" s="1"/>
  <c r="Q14" i="121"/>
  <c r="Q13" i="121"/>
  <c r="T13" i="121" s="1"/>
  <c r="Q12" i="121"/>
  <c r="T12" i="121" s="1"/>
  <c r="D5" i="121"/>
  <c r="D4" i="121"/>
  <c r="Q173" i="126"/>
  <c r="P173" i="126"/>
  <c r="O173" i="126"/>
  <c r="N173" i="126"/>
  <c r="M173" i="126"/>
  <c r="L173" i="126"/>
  <c r="K173" i="126"/>
  <c r="J173" i="126"/>
  <c r="I173" i="126"/>
  <c r="H173" i="126"/>
  <c r="G173" i="126"/>
  <c r="F173" i="126"/>
  <c r="E173" i="126"/>
  <c r="P163" i="126"/>
  <c r="O163" i="126"/>
  <c r="N163" i="126"/>
  <c r="M163" i="126"/>
  <c r="L163" i="126"/>
  <c r="K163" i="126"/>
  <c r="J163" i="126"/>
  <c r="I163" i="126"/>
  <c r="H163" i="126"/>
  <c r="G163" i="126"/>
  <c r="F163" i="126"/>
  <c r="E163" i="126"/>
  <c r="P159" i="126"/>
  <c r="O159" i="126"/>
  <c r="N159" i="126"/>
  <c r="M159" i="126"/>
  <c r="L159" i="126"/>
  <c r="K159" i="126"/>
  <c r="J159" i="126"/>
  <c r="I159" i="126"/>
  <c r="H159" i="126"/>
  <c r="G159" i="126"/>
  <c r="F159" i="126"/>
  <c r="E159" i="126"/>
  <c r="P158" i="126"/>
  <c r="O158" i="126"/>
  <c r="N158" i="126"/>
  <c r="M158" i="126"/>
  <c r="L158" i="126"/>
  <c r="K158" i="126"/>
  <c r="J158" i="126"/>
  <c r="I158" i="126"/>
  <c r="H158" i="126"/>
  <c r="G158" i="126"/>
  <c r="F158" i="126"/>
  <c r="E158" i="126"/>
  <c r="P157" i="126"/>
  <c r="O157" i="126"/>
  <c r="N157" i="126"/>
  <c r="M157" i="126"/>
  <c r="L157" i="126"/>
  <c r="K157" i="126"/>
  <c r="J157" i="126"/>
  <c r="I157" i="126"/>
  <c r="H157" i="126"/>
  <c r="G157" i="126"/>
  <c r="F157" i="126"/>
  <c r="E157" i="126"/>
  <c r="Q156" i="126"/>
  <c r="T156" i="126" s="1"/>
  <c r="Q155" i="126"/>
  <c r="T155" i="126" s="1"/>
  <c r="Q154" i="126"/>
  <c r="T154" i="126" s="1"/>
  <c r="Q153" i="126"/>
  <c r="Q150" i="126"/>
  <c r="T150" i="126" s="1"/>
  <c r="Q149" i="126"/>
  <c r="T149" i="126" s="1"/>
  <c r="P148" i="126"/>
  <c r="O148" i="126"/>
  <c r="N148" i="126"/>
  <c r="M148" i="126"/>
  <c r="L148" i="126"/>
  <c r="K148" i="126"/>
  <c r="J148" i="126"/>
  <c r="I148" i="126"/>
  <c r="H148" i="126"/>
  <c r="G148" i="126"/>
  <c r="F148" i="126"/>
  <c r="E148" i="126"/>
  <c r="P147" i="126"/>
  <c r="O147" i="126"/>
  <c r="N147" i="126"/>
  <c r="M147" i="126"/>
  <c r="L147" i="126"/>
  <c r="K147" i="126"/>
  <c r="J147" i="126"/>
  <c r="I147" i="126"/>
  <c r="H147" i="126"/>
  <c r="G147" i="126"/>
  <c r="F147" i="126"/>
  <c r="E147" i="126"/>
  <c r="P146" i="126"/>
  <c r="O146" i="126"/>
  <c r="N146" i="126"/>
  <c r="M146" i="126"/>
  <c r="L146" i="126"/>
  <c r="K146" i="126"/>
  <c r="J146" i="126"/>
  <c r="I146" i="126"/>
  <c r="H146" i="126"/>
  <c r="G146" i="126"/>
  <c r="F146" i="126"/>
  <c r="E146" i="126"/>
  <c r="P145" i="126"/>
  <c r="O145" i="126"/>
  <c r="N145" i="126"/>
  <c r="M145" i="126"/>
  <c r="L145" i="126"/>
  <c r="K145" i="126"/>
  <c r="J145" i="126"/>
  <c r="I145" i="126"/>
  <c r="H145" i="126"/>
  <c r="G145" i="126"/>
  <c r="F145" i="126"/>
  <c r="E145" i="126"/>
  <c r="P144" i="126"/>
  <c r="O144" i="126"/>
  <c r="N144" i="126"/>
  <c r="M144" i="126"/>
  <c r="L144" i="126"/>
  <c r="K144" i="126"/>
  <c r="J144" i="126"/>
  <c r="I144" i="126"/>
  <c r="H144" i="126"/>
  <c r="G144" i="126"/>
  <c r="F144" i="126"/>
  <c r="E144" i="126"/>
  <c r="P143" i="126"/>
  <c r="O143" i="126"/>
  <c r="N143" i="126"/>
  <c r="M143" i="126"/>
  <c r="L143" i="126"/>
  <c r="K143" i="126"/>
  <c r="J143" i="126"/>
  <c r="I143" i="126"/>
  <c r="I151" i="126" s="1"/>
  <c r="H143" i="126"/>
  <c r="G143" i="126"/>
  <c r="F143" i="126"/>
  <c r="E143" i="126"/>
  <c r="E151" i="126" s="1"/>
  <c r="P140" i="126"/>
  <c r="O140" i="126"/>
  <c r="N140" i="126"/>
  <c r="M140" i="126"/>
  <c r="L140" i="126"/>
  <c r="K140" i="126"/>
  <c r="J140" i="126"/>
  <c r="I140" i="126"/>
  <c r="H140" i="126"/>
  <c r="G140" i="126"/>
  <c r="F140" i="126"/>
  <c r="E140" i="126"/>
  <c r="P139" i="126"/>
  <c r="O139" i="126"/>
  <c r="N139" i="126"/>
  <c r="M139" i="126"/>
  <c r="L139" i="126"/>
  <c r="K139" i="126"/>
  <c r="J139" i="126"/>
  <c r="I139" i="126"/>
  <c r="H139" i="126"/>
  <c r="G139" i="126"/>
  <c r="F139" i="126"/>
  <c r="E139" i="126"/>
  <c r="P138" i="126"/>
  <c r="O138" i="126"/>
  <c r="N138" i="126"/>
  <c r="M138" i="126"/>
  <c r="L138" i="126"/>
  <c r="K138" i="126"/>
  <c r="J138" i="126"/>
  <c r="I138" i="126"/>
  <c r="H138" i="126"/>
  <c r="G138" i="126"/>
  <c r="F138" i="126"/>
  <c r="E138" i="126"/>
  <c r="P137" i="126"/>
  <c r="O137" i="126"/>
  <c r="N137" i="126"/>
  <c r="M137" i="126"/>
  <c r="L137" i="126"/>
  <c r="K137" i="126"/>
  <c r="J137" i="126"/>
  <c r="I137" i="126"/>
  <c r="H137" i="126"/>
  <c r="G137" i="126"/>
  <c r="F137" i="126"/>
  <c r="E137" i="126"/>
  <c r="P136" i="126"/>
  <c r="O136" i="126"/>
  <c r="N136" i="126"/>
  <c r="M136" i="126"/>
  <c r="L136" i="126"/>
  <c r="K136" i="126"/>
  <c r="J136" i="126"/>
  <c r="I136" i="126"/>
  <c r="H136" i="126"/>
  <c r="G136" i="126"/>
  <c r="F136" i="126"/>
  <c r="E136" i="126"/>
  <c r="P133" i="126"/>
  <c r="O133" i="126"/>
  <c r="N133" i="126"/>
  <c r="M133" i="126"/>
  <c r="L133" i="126"/>
  <c r="K133" i="126"/>
  <c r="J133" i="126"/>
  <c r="I133" i="126"/>
  <c r="H133" i="126"/>
  <c r="G133" i="126"/>
  <c r="F133" i="126"/>
  <c r="E133" i="126"/>
  <c r="Q132" i="126"/>
  <c r="P131" i="126"/>
  <c r="O131" i="126"/>
  <c r="N131" i="126"/>
  <c r="M131" i="126"/>
  <c r="L131" i="126"/>
  <c r="K131" i="126"/>
  <c r="J131" i="126"/>
  <c r="I131" i="126"/>
  <c r="H131" i="126"/>
  <c r="G131" i="126"/>
  <c r="F131" i="126"/>
  <c r="E131" i="126"/>
  <c r="P124" i="126"/>
  <c r="O124" i="126"/>
  <c r="N124" i="126"/>
  <c r="M124" i="126"/>
  <c r="L124" i="126"/>
  <c r="K124" i="126"/>
  <c r="J124" i="126"/>
  <c r="I124" i="126"/>
  <c r="H124" i="126"/>
  <c r="G124" i="126"/>
  <c r="F124" i="126"/>
  <c r="E124" i="126"/>
  <c r="P123" i="126"/>
  <c r="O123" i="126"/>
  <c r="N123" i="126"/>
  <c r="M123" i="126"/>
  <c r="L123" i="126"/>
  <c r="K123" i="126"/>
  <c r="J123" i="126"/>
  <c r="I123" i="126"/>
  <c r="H123" i="126"/>
  <c r="G123" i="126"/>
  <c r="F123" i="126"/>
  <c r="E123" i="126"/>
  <c r="P122" i="126"/>
  <c r="O122" i="126"/>
  <c r="N122" i="126"/>
  <c r="M122" i="126"/>
  <c r="L122" i="126"/>
  <c r="K122" i="126"/>
  <c r="J122" i="126"/>
  <c r="I122" i="126"/>
  <c r="H122" i="126"/>
  <c r="G122" i="126"/>
  <c r="F122" i="126"/>
  <c r="E122" i="126"/>
  <c r="P121" i="126"/>
  <c r="O121" i="126"/>
  <c r="N121" i="126"/>
  <c r="M121" i="126"/>
  <c r="L121" i="126"/>
  <c r="K121" i="126"/>
  <c r="J121" i="126"/>
  <c r="I121" i="126"/>
  <c r="H121" i="126"/>
  <c r="G121" i="126"/>
  <c r="F121" i="126"/>
  <c r="E121" i="126"/>
  <c r="P120" i="126"/>
  <c r="O120" i="126"/>
  <c r="N120" i="126"/>
  <c r="M120" i="126"/>
  <c r="L120" i="126"/>
  <c r="K120" i="126"/>
  <c r="J120" i="126"/>
  <c r="I120" i="126"/>
  <c r="H120" i="126"/>
  <c r="G120" i="126"/>
  <c r="F120" i="126"/>
  <c r="E120" i="126"/>
  <c r="P117" i="126"/>
  <c r="O117" i="126"/>
  <c r="O127" i="126" s="1"/>
  <c r="N117" i="126"/>
  <c r="N127" i="126" s="1"/>
  <c r="M117" i="126"/>
  <c r="M125" i="126" s="1"/>
  <c r="L117" i="126"/>
  <c r="L125" i="126" s="1"/>
  <c r="K117" i="126"/>
  <c r="K127" i="126" s="1"/>
  <c r="J117" i="126"/>
  <c r="J127" i="126" s="1"/>
  <c r="I117" i="126"/>
  <c r="I125" i="126" s="1"/>
  <c r="H117" i="126"/>
  <c r="G117" i="126"/>
  <c r="G127" i="126" s="1"/>
  <c r="F117" i="126"/>
  <c r="F127" i="126" s="1"/>
  <c r="E117" i="126"/>
  <c r="E125" i="126" s="1"/>
  <c r="Q116" i="126"/>
  <c r="T116" i="126" s="1"/>
  <c r="T115" i="126"/>
  <c r="Q115" i="126"/>
  <c r="Q122" i="126" s="1"/>
  <c r="T122" i="126" s="1"/>
  <c r="T114" i="126"/>
  <c r="Q114" i="126"/>
  <c r="Q123" i="126" s="1"/>
  <c r="T123" i="126" s="1"/>
  <c r="Q113" i="126"/>
  <c r="Q121" i="126" s="1"/>
  <c r="T121" i="126" s="1"/>
  <c r="Q112" i="126"/>
  <c r="T111" i="126"/>
  <c r="P108" i="126"/>
  <c r="O108" i="126"/>
  <c r="N108" i="126"/>
  <c r="M108" i="126"/>
  <c r="L108" i="126"/>
  <c r="K108" i="126"/>
  <c r="J108" i="126"/>
  <c r="I108" i="126"/>
  <c r="H108" i="126"/>
  <c r="G108" i="126"/>
  <c r="F108" i="126"/>
  <c r="E108" i="126"/>
  <c r="Q107" i="126"/>
  <c r="T107" i="126" s="1"/>
  <c r="Q106" i="126"/>
  <c r="T106" i="126" s="1"/>
  <c r="Q105" i="126"/>
  <c r="Q104" i="126"/>
  <c r="T104" i="126" s="1"/>
  <c r="Q103" i="126"/>
  <c r="T103" i="126" s="1"/>
  <c r="Q102" i="126"/>
  <c r="T102" i="126" s="1"/>
  <c r="Q101" i="126"/>
  <c r="Q100" i="126"/>
  <c r="T100" i="126" s="1"/>
  <c r="Q99" i="126"/>
  <c r="T99" i="126" s="1"/>
  <c r="Q98" i="126"/>
  <c r="T98" i="126" s="1"/>
  <c r="Q97" i="126"/>
  <c r="T97" i="126" s="1"/>
  <c r="Q96" i="126"/>
  <c r="T96" i="126" s="1"/>
  <c r="Q95" i="126"/>
  <c r="Q94" i="126"/>
  <c r="T94" i="126" s="1"/>
  <c r="Q93" i="126"/>
  <c r="Q92" i="126"/>
  <c r="T92" i="126" s="1"/>
  <c r="Q91" i="126"/>
  <c r="T91" i="126" s="1"/>
  <c r="Q90" i="126"/>
  <c r="T90" i="126" s="1"/>
  <c r="Q89" i="126"/>
  <c r="Q88" i="126"/>
  <c r="T88" i="126" s="1"/>
  <c r="Q87" i="126"/>
  <c r="T87" i="126" s="1"/>
  <c r="Q86" i="126"/>
  <c r="T86" i="126" s="1"/>
  <c r="Q85" i="126"/>
  <c r="T85" i="126" s="1"/>
  <c r="Q84" i="126"/>
  <c r="T84" i="126" s="1"/>
  <c r="Q83" i="126"/>
  <c r="T83" i="126" s="1"/>
  <c r="Q82" i="126"/>
  <c r="T82" i="126" s="1"/>
  <c r="Q81" i="126"/>
  <c r="Q80" i="126"/>
  <c r="T80" i="126" s="1"/>
  <c r="Q79" i="126"/>
  <c r="T79" i="126" s="1"/>
  <c r="Q78" i="126"/>
  <c r="T78" i="126" s="1"/>
  <c r="Q77" i="126"/>
  <c r="Q76" i="126"/>
  <c r="Q75" i="126"/>
  <c r="Q74" i="126"/>
  <c r="T74" i="126" s="1"/>
  <c r="Q73" i="126"/>
  <c r="Q72" i="126"/>
  <c r="T72" i="126" s="1"/>
  <c r="Q71" i="126"/>
  <c r="T71" i="126" s="1"/>
  <c r="Q70" i="126"/>
  <c r="T70" i="126" s="1"/>
  <c r="Q69" i="126"/>
  <c r="Q68" i="126"/>
  <c r="T68" i="126" s="1"/>
  <c r="Q67" i="126"/>
  <c r="T67" i="126" s="1"/>
  <c r="Q66" i="126"/>
  <c r="Q65" i="126"/>
  <c r="Q64" i="126"/>
  <c r="T64" i="126" s="1"/>
  <c r="Q63" i="126"/>
  <c r="T63" i="126" s="1"/>
  <c r="Q62" i="126"/>
  <c r="T62" i="126" s="1"/>
  <c r="Q61" i="126"/>
  <c r="Q60" i="126"/>
  <c r="T60" i="126" s="1"/>
  <c r="Q59" i="126"/>
  <c r="T59" i="126" s="1"/>
  <c r="Q58" i="126"/>
  <c r="T58" i="126" s="1"/>
  <c r="Q57" i="126"/>
  <c r="Q56" i="126"/>
  <c r="T56" i="126" s="1"/>
  <c r="Q55" i="126"/>
  <c r="T55" i="126" s="1"/>
  <c r="Q54" i="126"/>
  <c r="T54" i="126" s="1"/>
  <c r="Q53" i="126"/>
  <c r="Q52" i="126"/>
  <c r="T52" i="126" s="1"/>
  <c r="Q51" i="126"/>
  <c r="T51" i="126" s="1"/>
  <c r="Q50" i="126"/>
  <c r="T50" i="126" s="1"/>
  <c r="Q49" i="126"/>
  <c r="Q48" i="126"/>
  <c r="T48" i="126" s="1"/>
  <c r="Q47" i="126"/>
  <c r="T47" i="126" s="1"/>
  <c r="Q46" i="126"/>
  <c r="T46" i="126" s="1"/>
  <c r="Q45" i="126"/>
  <c r="Q44" i="126"/>
  <c r="T44" i="126" s="1"/>
  <c r="Q43" i="126"/>
  <c r="Q42" i="126"/>
  <c r="T42" i="126" s="1"/>
  <c r="Q41" i="126"/>
  <c r="Q40" i="126"/>
  <c r="T40" i="126" s="1"/>
  <c r="Q39" i="126"/>
  <c r="T39" i="126" s="1"/>
  <c r="Q33" i="126"/>
  <c r="T33" i="126" s="1"/>
  <c r="T26" i="126"/>
  <c r="Q26" i="126"/>
  <c r="P25" i="126"/>
  <c r="P32" i="126" s="1"/>
  <c r="O25" i="126"/>
  <c r="O32" i="126" s="1"/>
  <c r="N25" i="126"/>
  <c r="N32" i="126" s="1"/>
  <c r="M25" i="126"/>
  <c r="M32" i="126" s="1"/>
  <c r="L25" i="126"/>
  <c r="L32" i="126" s="1"/>
  <c r="K25" i="126"/>
  <c r="K32" i="126" s="1"/>
  <c r="J25" i="126"/>
  <c r="J32" i="126" s="1"/>
  <c r="I25" i="126"/>
  <c r="I32" i="126" s="1"/>
  <c r="H25" i="126"/>
  <c r="H32" i="126" s="1"/>
  <c r="G25" i="126"/>
  <c r="G32" i="126" s="1"/>
  <c r="F25" i="126"/>
  <c r="F32" i="126" s="1"/>
  <c r="E25" i="126"/>
  <c r="Q24" i="126"/>
  <c r="T24" i="126" s="1"/>
  <c r="Q23" i="126"/>
  <c r="T23" i="126" s="1"/>
  <c r="Q22" i="126"/>
  <c r="T22" i="126" s="1"/>
  <c r="Q21" i="126"/>
  <c r="T21" i="126" s="1"/>
  <c r="T20" i="126"/>
  <c r="Q20" i="126"/>
  <c r="P17" i="126"/>
  <c r="O17" i="126"/>
  <c r="O31" i="126" s="1"/>
  <c r="N17" i="126"/>
  <c r="N31" i="126" s="1"/>
  <c r="M17" i="126"/>
  <c r="M25" i="108" s="1"/>
  <c r="L17" i="126"/>
  <c r="L31" i="126" s="1"/>
  <c r="K17" i="126"/>
  <c r="K31" i="126" s="1"/>
  <c r="J17" i="126"/>
  <c r="J31" i="126" s="1"/>
  <c r="I17" i="126"/>
  <c r="I25" i="108" s="1"/>
  <c r="H17" i="126"/>
  <c r="H31" i="126" s="1"/>
  <c r="G17" i="126"/>
  <c r="G31" i="126" s="1"/>
  <c r="F17" i="126"/>
  <c r="F31" i="126" s="1"/>
  <c r="E17" i="126"/>
  <c r="E25" i="108" s="1"/>
  <c r="Q16" i="126"/>
  <c r="T16" i="126" s="1"/>
  <c r="Q15" i="126"/>
  <c r="T15" i="126" s="1"/>
  <c r="Q14" i="126"/>
  <c r="T14" i="126" s="1"/>
  <c r="Q13" i="126"/>
  <c r="T13" i="126" s="1"/>
  <c r="Q12" i="126"/>
  <c r="T12" i="126" s="1"/>
  <c r="D7" i="126"/>
  <c r="D5" i="126"/>
  <c r="D4" i="126"/>
  <c r="Q131" i="148"/>
  <c r="U125" i="148"/>
  <c r="Q120" i="148"/>
  <c r="U120" i="148" s="1"/>
  <c r="Q119" i="148"/>
  <c r="U119" i="148" s="1"/>
  <c r="Q118" i="148"/>
  <c r="Q117" i="148"/>
  <c r="U117" i="148" s="1"/>
  <c r="Q116" i="148"/>
  <c r="U116" i="148" s="1"/>
  <c r="Q115" i="148"/>
  <c r="U115" i="148" s="1"/>
  <c r="Q114" i="148"/>
  <c r="Q101" i="148"/>
  <c r="U101" i="148" s="1"/>
  <c r="Q100" i="148"/>
  <c r="Q99" i="148"/>
  <c r="U99" i="148" s="1"/>
  <c r="Q91" i="148"/>
  <c r="U91" i="148" s="1"/>
  <c r="Q90" i="148"/>
  <c r="U90" i="148" s="1"/>
  <c r="Q82" i="148"/>
  <c r="U82" i="148" s="1"/>
  <c r="Q81" i="148"/>
  <c r="U81" i="148" s="1"/>
  <c r="Q80" i="148"/>
  <c r="U80" i="148" s="1"/>
  <c r="Q79" i="148"/>
  <c r="Q78" i="148"/>
  <c r="U78" i="148" s="1"/>
  <c r="Q77" i="148"/>
  <c r="U77" i="148" s="1"/>
  <c r="Q76" i="148"/>
  <c r="U76" i="148" s="1"/>
  <c r="Q75" i="148"/>
  <c r="Q74" i="148"/>
  <c r="U74" i="148" s="1"/>
  <c r="Q73" i="148"/>
  <c r="U73" i="148" s="1"/>
  <c r="Q72" i="148"/>
  <c r="U72" i="148" s="1"/>
  <c r="Q70" i="148"/>
  <c r="U70" i="148" s="1"/>
  <c r="Q69" i="148"/>
  <c r="U69" i="148" s="1"/>
  <c r="Q68" i="148"/>
  <c r="U68" i="148" s="1"/>
  <c r="Q67" i="148"/>
  <c r="Q66" i="148"/>
  <c r="U66" i="148" s="1"/>
  <c r="Q65" i="148"/>
  <c r="U65" i="148" s="1"/>
  <c r="Q64" i="148"/>
  <c r="U64" i="148" s="1"/>
  <c r="Q63" i="148"/>
  <c r="Q62" i="148"/>
  <c r="U62" i="148" s="1"/>
  <c r="Q61" i="148"/>
  <c r="U61" i="148" s="1"/>
  <c r="Q60" i="148"/>
  <c r="Q59" i="148"/>
  <c r="U59" i="148" s="1"/>
  <c r="Q58" i="148"/>
  <c r="U58" i="148" s="1"/>
  <c r="Q57" i="148"/>
  <c r="U57" i="148" s="1"/>
  <c r="Q56" i="148"/>
  <c r="Q55" i="148"/>
  <c r="U55" i="148" s="1"/>
  <c r="Q54" i="148"/>
  <c r="U54" i="148" s="1"/>
  <c r="Q53" i="148"/>
  <c r="U53" i="148" s="1"/>
  <c r="Q52" i="148"/>
  <c r="Q51" i="148"/>
  <c r="U51" i="148" s="1"/>
  <c r="Q50" i="148"/>
  <c r="U50" i="148" s="1"/>
  <c r="Q49" i="148"/>
  <c r="U49" i="148" s="1"/>
  <c r="Q48" i="148"/>
  <c r="Q47" i="148"/>
  <c r="U47" i="148" s="1"/>
  <c r="Q46" i="148"/>
  <c r="U46" i="148" s="1"/>
  <c r="Q45" i="148"/>
  <c r="U45" i="148" s="1"/>
  <c r="Q44" i="148"/>
  <c r="K90" i="108"/>
  <c r="Q42" i="148"/>
  <c r="U42" i="148" s="1"/>
  <c r="Q41" i="148"/>
  <c r="U41" i="148" s="1"/>
  <c r="Q40" i="148"/>
  <c r="Q39" i="148"/>
  <c r="U39" i="148" s="1"/>
  <c r="Q38" i="148"/>
  <c r="U38" i="148" s="1"/>
  <c r="Q37" i="148"/>
  <c r="U37" i="148"/>
  <c r="Q36" i="148"/>
  <c r="Q35" i="148"/>
  <c r="U35" i="148" s="1"/>
  <c r="Q34" i="148"/>
  <c r="U34" i="148" s="1"/>
  <c r="Q33" i="148"/>
  <c r="U33" i="148" s="1"/>
  <c r="Q32" i="148"/>
  <c r="U32" i="148" s="1"/>
  <c r="Q31" i="148"/>
  <c r="U31" i="148" s="1"/>
  <c r="Q30" i="148"/>
  <c r="U30" i="148" s="1"/>
  <c r="Q29" i="148"/>
  <c r="U29" i="148" s="1"/>
  <c r="Q28" i="148"/>
  <c r="U28" i="148" s="1"/>
  <c r="Q27" i="148"/>
  <c r="U27" i="148" s="1"/>
  <c r="Q26" i="148"/>
  <c r="U26" i="148" s="1"/>
  <c r="Q25" i="148"/>
  <c r="U25" i="148" s="1"/>
  <c r="Q24" i="148"/>
  <c r="U24" i="148" s="1"/>
  <c r="Q23" i="148"/>
  <c r="Q22" i="148"/>
  <c r="U22" i="148" s="1"/>
  <c r="Q21" i="148"/>
  <c r="U21" i="148" s="1"/>
  <c r="Q20" i="148"/>
  <c r="U20" i="148" s="1"/>
  <c r="Q19" i="148"/>
  <c r="U19" i="148" s="1"/>
  <c r="Q18" i="148"/>
  <c r="U18" i="148" s="1"/>
  <c r="Q17" i="148"/>
  <c r="U17" i="148" s="1"/>
  <c r="Q16" i="148"/>
  <c r="U16" i="148" s="1"/>
  <c r="Q15" i="148"/>
  <c r="U15" i="148" s="1"/>
  <c r="U14" i="148"/>
  <c r="U13" i="148"/>
  <c r="D5" i="148"/>
  <c r="D4" i="148"/>
  <c r="Q160" i="122"/>
  <c r="Q159" i="122"/>
  <c r="Q158" i="122"/>
  <c r="Q157" i="122"/>
  <c r="Q156" i="122"/>
  <c r="Q155" i="122"/>
  <c r="Q150" i="122"/>
  <c r="Q149" i="122"/>
  <c r="Q148" i="122"/>
  <c r="Q147" i="122"/>
  <c r="Q146" i="122"/>
  <c r="Q145" i="122"/>
  <c r="Q139" i="122"/>
  <c r="Q138" i="122"/>
  <c r="Q136" i="122"/>
  <c r="Q133" i="122"/>
  <c r="Q132" i="122"/>
  <c r="Q131" i="122"/>
  <c r="P124" i="122"/>
  <c r="O124" i="122"/>
  <c r="N124" i="122"/>
  <c r="M124" i="122"/>
  <c r="L124" i="122"/>
  <c r="K124" i="122"/>
  <c r="J124" i="122"/>
  <c r="I124" i="122"/>
  <c r="H124" i="122"/>
  <c r="G124" i="122"/>
  <c r="F124" i="122"/>
  <c r="P123" i="122"/>
  <c r="O123" i="122"/>
  <c r="N123" i="122"/>
  <c r="M123" i="122"/>
  <c r="L123" i="122"/>
  <c r="K123" i="122"/>
  <c r="J123" i="122"/>
  <c r="I123" i="122"/>
  <c r="H123" i="122"/>
  <c r="G123" i="122"/>
  <c r="F123" i="122"/>
  <c r="P122" i="122"/>
  <c r="O122" i="122"/>
  <c r="N122" i="122"/>
  <c r="M122" i="122"/>
  <c r="L122" i="122"/>
  <c r="K122" i="122"/>
  <c r="J122" i="122"/>
  <c r="I122" i="122"/>
  <c r="H122" i="122"/>
  <c r="G122" i="122"/>
  <c r="F122" i="122"/>
  <c r="P121" i="122"/>
  <c r="O121" i="122"/>
  <c r="N121" i="122"/>
  <c r="M121" i="122"/>
  <c r="L121" i="122"/>
  <c r="K121" i="122"/>
  <c r="J121" i="122"/>
  <c r="I121" i="122"/>
  <c r="H121" i="122"/>
  <c r="G121" i="122"/>
  <c r="P120" i="122"/>
  <c r="O120" i="122"/>
  <c r="N120" i="122"/>
  <c r="M120" i="122"/>
  <c r="L120" i="122"/>
  <c r="K120" i="122"/>
  <c r="J120" i="122"/>
  <c r="I120" i="122"/>
  <c r="H120" i="122"/>
  <c r="G120" i="122"/>
  <c r="F120" i="122"/>
  <c r="P117" i="122"/>
  <c r="P135" i="108" s="1"/>
  <c r="O117" i="122"/>
  <c r="O135" i="108" s="1"/>
  <c r="N117" i="122"/>
  <c r="N135" i="108" s="1"/>
  <c r="M117" i="122"/>
  <c r="L117" i="122"/>
  <c r="L135" i="108" s="1"/>
  <c r="K117" i="122"/>
  <c r="K135" i="108" s="1"/>
  <c r="J117" i="122"/>
  <c r="J135" i="108" s="1"/>
  <c r="I117" i="122"/>
  <c r="I135" i="108" s="1"/>
  <c r="H117" i="122"/>
  <c r="H135" i="108" s="1"/>
  <c r="G117" i="122"/>
  <c r="G135" i="108" s="1"/>
  <c r="F117" i="122"/>
  <c r="F135" i="108" s="1"/>
  <c r="E135" i="108"/>
  <c r="Q116" i="122"/>
  <c r="Q115" i="122"/>
  <c r="Q114" i="122"/>
  <c r="Q113" i="122"/>
  <c r="Q112" i="122"/>
  <c r="Q106" i="122"/>
  <c r="Q105" i="122"/>
  <c r="Q104" i="122"/>
  <c r="Q103" i="122"/>
  <c r="Q102" i="122"/>
  <c r="Q101" i="122"/>
  <c r="Q100" i="122"/>
  <c r="Q99" i="122"/>
  <c r="Q98" i="122"/>
  <c r="Q97" i="122"/>
  <c r="Q96" i="122"/>
  <c r="Q94" i="122"/>
  <c r="Q93" i="122"/>
  <c r="Q92" i="122"/>
  <c r="Q91" i="122"/>
  <c r="Q90" i="122"/>
  <c r="Q89" i="122"/>
  <c r="Q88" i="122"/>
  <c r="Q87" i="122"/>
  <c r="Q86" i="122"/>
  <c r="Q85" i="122"/>
  <c r="Q84" i="122"/>
  <c r="Q83" i="122"/>
  <c r="Q82" i="122"/>
  <c r="Q81" i="122"/>
  <c r="Q80" i="122"/>
  <c r="Q79" i="122"/>
  <c r="Q78" i="122"/>
  <c r="Q76" i="122"/>
  <c r="Q75" i="122"/>
  <c r="Q74" i="122"/>
  <c r="Q73" i="122"/>
  <c r="Q72" i="122"/>
  <c r="Q71" i="122"/>
  <c r="Q70" i="122"/>
  <c r="Q69" i="122"/>
  <c r="Q68" i="122"/>
  <c r="Q66" i="122"/>
  <c r="Q65" i="122"/>
  <c r="Q59" i="122"/>
  <c r="Q57" i="122"/>
  <c r="Q56" i="122"/>
  <c r="Q55" i="122"/>
  <c r="Q53" i="122"/>
  <c r="Q52" i="122"/>
  <c r="Q51" i="122"/>
  <c r="Q50" i="122"/>
  <c r="Q49" i="122"/>
  <c r="Q48" i="122"/>
  <c r="Q45" i="122"/>
  <c r="Q44" i="122"/>
  <c r="Q43" i="122"/>
  <c r="Q41" i="122"/>
  <c r="Q40" i="122"/>
  <c r="Q39" i="122"/>
  <c r="Q27" i="122"/>
  <c r="Q26" i="122"/>
  <c r="P25" i="122"/>
  <c r="P32" i="122" s="1"/>
  <c r="O25" i="122"/>
  <c r="O32" i="122" s="1"/>
  <c r="N25" i="122"/>
  <c r="N32" i="122" s="1"/>
  <c r="M25" i="122"/>
  <c r="L25" i="122"/>
  <c r="K25" i="122"/>
  <c r="J25" i="122"/>
  <c r="I25" i="122"/>
  <c r="H25" i="122"/>
  <c r="G25" i="122"/>
  <c r="Q24" i="122"/>
  <c r="Q23" i="122"/>
  <c r="Q22" i="122"/>
  <c r="Q21" i="122"/>
  <c r="Q20" i="122"/>
  <c r="P17" i="122"/>
  <c r="O17" i="122"/>
  <c r="N17" i="122"/>
  <c r="M17" i="122"/>
  <c r="L17" i="122"/>
  <c r="K17" i="122"/>
  <c r="J17" i="122"/>
  <c r="I17" i="122"/>
  <c r="H17" i="122"/>
  <c r="G17" i="122"/>
  <c r="Q16" i="122"/>
  <c r="Q15" i="122"/>
  <c r="Q14" i="122"/>
  <c r="Q12" i="122"/>
  <c r="D5" i="122"/>
  <c r="D4" i="122"/>
  <c r="P163" i="125"/>
  <c r="O163" i="125"/>
  <c r="N163" i="125"/>
  <c r="M163" i="125"/>
  <c r="L163" i="125"/>
  <c r="K163" i="125"/>
  <c r="J163" i="125"/>
  <c r="I163" i="125"/>
  <c r="H163" i="125"/>
  <c r="G163" i="125"/>
  <c r="F163" i="125"/>
  <c r="E163" i="125"/>
  <c r="P159" i="125"/>
  <c r="O159" i="125"/>
  <c r="N159" i="125"/>
  <c r="M159" i="125"/>
  <c r="L159" i="125"/>
  <c r="K159" i="125"/>
  <c r="J159" i="125"/>
  <c r="I159" i="125"/>
  <c r="H159" i="125"/>
  <c r="G159" i="125"/>
  <c r="F159" i="125"/>
  <c r="E159" i="125"/>
  <c r="P158" i="125"/>
  <c r="O158" i="125"/>
  <c r="N158" i="125"/>
  <c r="M158" i="125"/>
  <c r="L158" i="125"/>
  <c r="K158" i="125"/>
  <c r="J158" i="125"/>
  <c r="I158" i="125"/>
  <c r="H158" i="125"/>
  <c r="G158" i="125"/>
  <c r="F158" i="125"/>
  <c r="E158" i="125"/>
  <c r="P157" i="125"/>
  <c r="O157" i="125"/>
  <c r="N157" i="125"/>
  <c r="M157" i="125"/>
  <c r="L157" i="125"/>
  <c r="K157" i="125"/>
  <c r="J157" i="125"/>
  <c r="I157" i="125"/>
  <c r="H157" i="125"/>
  <c r="G157" i="125"/>
  <c r="F157" i="125"/>
  <c r="E157" i="125"/>
  <c r="Q156" i="125"/>
  <c r="T156" i="125" s="1"/>
  <c r="Q155" i="125"/>
  <c r="T155" i="125" s="1"/>
  <c r="Q154" i="125"/>
  <c r="T154" i="125" s="1"/>
  <c r="Q153" i="125"/>
  <c r="Q150" i="125"/>
  <c r="T150" i="125" s="1"/>
  <c r="Q149" i="125"/>
  <c r="T149" i="125" s="1"/>
  <c r="P148" i="125"/>
  <c r="O148" i="125"/>
  <c r="N148" i="125"/>
  <c r="M148" i="125"/>
  <c r="L148" i="125"/>
  <c r="K148" i="125"/>
  <c r="J148" i="125"/>
  <c r="I148" i="125"/>
  <c r="H148" i="125"/>
  <c r="G148" i="125"/>
  <c r="F148" i="125"/>
  <c r="E148" i="125"/>
  <c r="P147" i="125"/>
  <c r="O147" i="125"/>
  <c r="N147" i="125"/>
  <c r="M147" i="125"/>
  <c r="L147" i="125"/>
  <c r="K147" i="125"/>
  <c r="J147" i="125"/>
  <c r="I147" i="125"/>
  <c r="H147" i="125"/>
  <c r="G147" i="125"/>
  <c r="F147" i="125"/>
  <c r="E147" i="125"/>
  <c r="P146" i="125"/>
  <c r="O146" i="125"/>
  <c r="N146" i="125"/>
  <c r="M146" i="125"/>
  <c r="L146" i="125"/>
  <c r="K146" i="125"/>
  <c r="J146" i="125"/>
  <c r="I146" i="125"/>
  <c r="H146" i="125"/>
  <c r="G146" i="125"/>
  <c r="F146" i="125"/>
  <c r="E146" i="125"/>
  <c r="P145" i="125"/>
  <c r="O145" i="125"/>
  <c r="N145" i="125"/>
  <c r="M145" i="125"/>
  <c r="L145" i="125"/>
  <c r="K145" i="125"/>
  <c r="J145" i="125"/>
  <c r="I145" i="125"/>
  <c r="H145" i="125"/>
  <c r="G145" i="125"/>
  <c r="F145" i="125"/>
  <c r="E145" i="125"/>
  <c r="P144" i="125"/>
  <c r="O144" i="125"/>
  <c r="N144" i="125"/>
  <c r="M144" i="125"/>
  <c r="L144" i="125"/>
  <c r="K144" i="125"/>
  <c r="J144" i="125"/>
  <c r="I144" i="125"/>
  <c r="H144" i="125"/>
  <c r="G144" i="125"/>
  <c r="F144" i="125"/>
  <c r="E144" i="125"/>
  <c r="P143" i="125"/>
  <c r="O143" i="125"/>
  <c r="N143" i="125"/>
  <c r="M143" i="125"/>
  <c r="L143" i="125"/>
  <c r="K143" i="125"/>
  <c r="J143" i="125"/>
  <c r="I143" i="125"/>
  <c r="H143" i="125"/>
  <c r="G143" i="125"/>
  <c r="F143" i="125"/>
  <c r="E143" i="125"/>
  <c r="P140" i="125"/>
  <c r="O140" i="125"/>
  <c r="N140" i="125"/>
  <c r="M140" i="125"/>
  <c r="L140" i="125"/>
  <c r="K140" i="125"/>
  <c r="J140" i="125"/>
  <c r="I140" i="125"/>
  <c r="H140" i="125"/>
  <c r="G140" i="125"/>
  <c r="F140" i="125"/>
  <c r="E140" i="125"/>
  <c r="P139" i="125"/>
  <c r="O139" i="125"/>
  <c r="N139" i="125"/>
  <c r="M139" i="125"/>
  <c r="L139" i="125"/>
  <c r="K139" i="125"/>
  <c r="J139" i="125"/>
  <c r="I139" i="125"/>
  <c r="H139" i="125"/>
  <c r="G139" i="125"/>
  <c r="F139" i="125"/>
  <c r="E139" i="125"/>
  <c r="P138" i="125"/>
  <c r="O138" i="125"/>
  <c r="N138" i="125"/>
  <c r="M138" i="125"/>
  <c r="L138" i="125"/>
  <c r="K138" i="125"/>
  <c r="J138" i="125"/>
  <c r="I138" i="125"/>
  <c r="H138" i="125"/>
  <c r="G138" i="125"/>
  <c r="F138" i="125"/>
  <c r="E138" i="125"/>
  <c r="P137" i="125"/>
  <c r="O137" i="125"/>
  <c r="N137" i="125"/>
  <c r="M137" i="125"/>
  <c r="L137" i="125"/>
  <c r="K137" i="125"/>
  <c r="J137" i="125"/>
  <c r="I137" i="125"/>
  <c r="H137" i="125"/>
  <c r="G137" i="125"/>
  <c r="F137" i="125"/>
  <c r="E137" i="125"/>
  <c r="P136" i="125"/>
  <c r="O136" i="125"/>
  <c r="N136" i="125"/>
  <c r="M136" i="125"/>
  <c r="L136" i="125"/>
  <c r="K136" i="125"/>
  <c r="J136" i="125"/>
  <c r="I136" i="125"/>
  <c r="H136" i="125"/>
  <c r="G136" i="125"/>
  <c r="F136" i="125"/>
  <c r="E136" i="125"/>
  <c r="P133" i="125"/>
  <c r="O133" i="125"/>
  <c r="N133" i="125"/>
  <c r="M133" i="125"/>
  <c r="L133" i="125"/>
  <c r="K133" i="125"/>
  <c r="J133" i="125"/>
  <c r="I133" i="125"/>
  <c r="H133" i="125"/>
  <c r="G133" i="125"/>
  <c r="F133" i="125"/>
  <c r="E133" i="125"/>
  <c r="P132" i="125"/>
  <c r="O132" i="125"/>
  <c r="N132" i="125"/>
  <c r="M132" i="125"/>
  <c r="L132" i="125"/>
  <c r="K132" i="125"/>
  <c r="J132" i="125"/>
  <c r="I132" i="125"/>
  <c r="H132" i="125"/>
  <c r="G132" i="125"/>
  <c r="F132" i="125"/>
  <c r="E132" i="125"/>
  <c r="P131" i="125"/>
  <c r="O131" i="125"/>
  <c r="O134" i="125" s="1"/>
  <c r="N131" i="125"/>
  <c r="M131" i="125"/>
  <c r="L131" i="125"/>
  <c r="K131" i="125"/>
  <c r="J131" i="125"/>
  <c r="I131" i="125"/>
  <c r="H131" i="125"/>
  <c r="G131" i="125"/>
  <c r="G134" i="125" s="1"/>
  <c r="F131" i="125"/>
  <c r="E131" i="125"/>
  <c r="P124" i="125"/>
  <c r="O124" i="125"/>
  <c r="N124" i="125"/>
  <c r="M124" i="125"/>
  <c r="L124" i="125"/>
  <c r="K124" i="125"/>
  <c r="J124" i="125"/>
  <c r="I124" i="125"/>
  <c r="H124" i="125"/>
  <c r="G124" i="125"/>
  <c r="F124" i="125"/>
  <c r="E124" i="125"/>
  <c r="T123" i="125"/>
  <c r="P123" i="125"/>
  <c r="O123" i="125"/>
  <c r="N123" i="125"/>
  <c r="M123" i="125"/>
  <c r="L123" i="125"/>
  <c r="K123" i="125"/>
  <c r="J123" i="125"/>
  <c r="I123" i="125"/>
  <c r="H123" i="125"/>
  <c r="G123" i="125"/>
  <c r="F123" i="125"/>
  <c r="E123" i="125"/>
  <c r="T122" i="125"/>
  <c r="P122" i="125"/>
  <c r="O122" i="125"/>
  <c r="N122" i="125"/>
  <c r="M122" i="125"/>
  <c r="L122" i="125"/>
  <c r="K122" i="125"/>
  <c r="J122" i="125"/>
  <c r="I122" i="125"/>
  <c r="H122" i="125"/>
  <c r="G122" i="125"/>
  <c r="F122" i="125"/>
  <c r="E122" i="125"/>
  <c r="P121" i="125"/>
  <c r="O121" i="125"/>
  <c r="N121" i="125"/>
  <c r="M121" i="125"/>
  <c r="L121" i="125"/>
  <c r="K121" i="125"/>
  <c r="J121" i="125"/>
  <c r="I121" i="125"/>
  <c r="H121" i="125"/>
  <c r="G121" i="125"/>
  <c r="F121" i="125"/>
  <c r="E121" i="125"/>
  <c r="P120" i="125"/>
  <c r="O120" i="125"/>
  <c r="N120" i="125"/>
  <c r="M120" i="125"/>
  <c r="L120" i="125"/>
  <c r="K120" i="125"/>
  <c r="J120" i="125"/>
  <c r="I120" i="125"/>
  <c r="H120" i="125"/>
  <c r="G120" i="125"/>
  <c r="F120" i="125"/>
  <c r="E120" i="125"/>
  <c r="P117" i="125"/>
  <c r="P127" i="125" s="1"/>
  <c r="O117" i="125"/>
  <c r="O138" i="108" s="1"/>
  <c r="O155" i="108" s="1"/>
  <c r="N117" i="125"/>
  <c r="M117" i="125"/>
  <c r="L117" i="125"/>
  <c r="L138" i="108" s="1"/>
  <c r="L155" i="108" s="1"/>
  <c r="K117" i="125"/>
  <c r="K125" i="125" s="1"/>
  <c r="J117" i="125"/>
  <c r="J125" i="125" s="1"/>
  <c r="I117" i="125"/>
  <c r="H117" i="125"/>
  <c r="H127" i="125" s="1"/>
  <c r="G117" i="125"/>
  <c r="G138" i="108" s="1"/>
  <c r="G155" i="108" s="1"/>
  <c r="F117" i="125"/>
  <c r="E117" i="125"/>
  <c r="Q116" i="125"/>
  <c r="Q124" i="125" s="1"/>
  <c r="T124" i="125" s="1"/>
  <c r="T115" i="125"/>
  <c r="Q115" i="125"/>
  <c r="Q123" i="125" s="1"/>
  <c r="T114" i="125"/>
  <c r="Q114" i="125"/>
  <c r="Q122" i="125" s="1"/>
  <c r="Q113" i="125"/>
  <c r="Q112" i="125"/>
  <c r="Q120" i="125" s="1"/>
  <c r="T120" i="125" s="1"/>
  <c r="Q106" i="125"/>
  <c r="Q105" i="125"/>
  <c r="Q104" i="125"/>
  <c r="Q103" i="125"/>
  <c r="Q102" i="125"/>
  <c r="Q101" i="125"/>
  <c r="Q100" i="125"/>
  <c r="Q99" i="125"/>
  <c r="Q98" i="125"/>
  <c r="Q97" i="125"/>
  <c r="Q96" i="125"/>
  <c r="T96" i="125" s="1"/>
  <c r="P95" i="125"/>
  <c r="O95" i="125"/>
  <c r="N95" i="125"/>
  <c r="M95" i="125"/>
  <c r="L95" i="125"/>
  <c r="K95" i="125"/>
  <c r="J95" i="125"/>
  <c r="I95" i="125"/>
  <c r="H95" i="125"/>
  <c r="G95" i="125"/>
  <c r="F95" i="125"/>
  <c r="E95" i="125"/>
  <c r="Q94" i="125"/>
  <c r="Q93" i="125"/>
  <c r="T93" i="125" s="1"/>
  <c r="Q92" i="125"/>
  <c r="T92" i="125" s="1"/>
  <c r="Q91" i="125"/>
  <c r="T91" i="125" s="1"/>
  <c r="Q90" i="125"/>
  <c r="Q89" i="125"/>
  <c r="T89" i="125" s="1"/>
  <c r="Q88" i="125"/>
  <c r="T88" i="125" s="1"/>
  <c r="Q87" i="125"/>
  <c r="T87" i="125" s="1"/>
  <c r="Q86" i="125"/>
  <c r="Q85" i="125"/>
  <c r="T85" i="125" s="1"/>
  <c r="Q84" i="125"/>
  <c r="T84" i="125" s="1"/>
  <c r="Q83" i="125"/>
  <c r="T83" i="125" s="1"/>
  <c r="Q82" i="125"/>
  <c r="Q81" i="125"/>
  <c r="T81" i="125" s="1"/>
  <c r="Q80" i="125"/>
  <c r="T80" i="125" s="1"/>
  <c r="Q79" i="125"/>
  <c r="T79" i="125" s="1"/>
  <c r="Q78" i="125"/>
  <c r="Q77" i="125"/>
  <c r="T77" i="125" s="1"/>
  <c r="Q76" i="125"/>
  <c r="T76" i="125" s="1"/>
  <c r="Q75" i="125"/>
  <c r="T75" i="125" s="1"/>
  <c r="Q74" i="125"/>
  <c r="Q73" i="125"/>
  <c r="Q72" i="125"/>
  <c r="Q71" i="125"/>
  <c r="Q70" i="125"/>
  <c r="Q69" i="125"/>
  <c r="Q68" i="125"/>
  <c r="Q67" i="125"/>
  <c r="Q66" i="125"/>
  <c r="Q65" i="125"/>
  <c r="Q64" i="125"/>
  <c r="Q63" i="125"/>
  <c r="Q62" i="125"/>
  <c r="Q61" i="125"/>
  <c r="Q60" i="125"/>
  <c r="Q59" i="125"/>
  <c r="Q58" i="125"/>
  <c r="Q57" i="125"/>
  <c r="T57" i="125" s="1"/>
  <c r="Q56" i="125"/>
  <c r="T56" i="125" s="1"/>
  <c r="Q55" i="125"/>
  <c r="Q53" i="125"/>
  <c r="T53" i="125" s="1"/>
  <c r="Q52" i="125"/>
  <c r="T52" i="125" s="1"/>
  <c r="Q51" i="125"/>
  <c r="T51" i="125" s="1"/>
  <c r="Q50" i="125"/>
  <c r="Q49" i="125"/>
  <c r="T49" i="125" s="1"/>
  <c r="Q48" i="125"/>
  <c r="T48" i="125" s="1"/>
  <c r="Q47" i="125"/>
  <c r="T47" i="125" s="1"/>
  <c r="Q46" i="125"/>
  <c r="T46" i="125" s="1"/>
  <c r="Q45" i="125"/>
  <c r="T45" i="125" s="1"/>
  <c r="Q44" i="125"/>
  <c r="Q43" i="125"/>
  <c r="T43" i="125" s="1"/>
  <c r="Q42" i="125"/>
  <c r="T42" i="125" s="1"/>
  <c r="Q41" i="125"/>
  <c r="T41" i="125" s="1"/>
  <c r="Q40" i="125"/>
  <c r="Q39" i="125"/>
  <c r="T39" i="125" s="1"/>
  <c r="Q33" i="125"/>
  <c r="T26" i="125"/>
  <c r="Q26" i="125"/>
  <c r="P25" i="125"/>
  <c r="O25" i="125"/>
  <c r="O32" i="125" s="1"/>
  <c r="N25" i="125"/>
  <c r="N32" i="125" s="1"/>
  <c r="M25" i="125"/>
  <c r="L25" i="125"/>
  <c r="L34" i="108" s="1"/>
  <c r="K25" i="125"/>
  <c r="K32" i="125" s="1"/>
  <c r="J25" i="125"/>
  <c r="I25" i="125"/>
  <c r="H25" i="125"/>
  <c r="G25" i="125"/>
  <c r="F25" i="125"/>
  <c r="E25" i="125"/>
  <c r="E32" i="125" s="1"/>
  <c r="Q24" i="125"/>
  <c r="T24" i="125" s="1"/>
  <c r="Q23" i="125"/>
  <c r="T23" i="125" s="1"/>
  <c r="Q22" i="125"/>
  <c r="T22" i="125" s="1"/>
  <c r="Q21" i="125"/>
  <c r="T21" i="125" s="1"/>
  <c r="Q20" i="125"/>
  <c r="P17" i="125"/>
  <c r="P16" i="108" s="1"/>
  <c r="O17" i="125"/>
  <c r="N17" i="125"/>
  <c r="M17" i="125"/>
  <c r="M31" i="125" s="1"/>
  <c r="L17" i="125"/>
  <c r="K17" i="125"/>
  <c r="K16" i="108" s="1"/>
  <c r="J17" i="125"/>
  <c r="I17" i="125"/>
  <c r="H17" i="125"/>
  <c r="H16" i="108" s="1"/>
  <c r="G17" i="125"/>
  <c r="G16" i="108" s="1"/>
  <c r="F17" i="125"/>
  <c r="E17" i="125"/>
  <c r="E31" i="125" s="1"/>
  <c r="Q16" i="125"/>
  <c r="T16" i="125" s="1"/>
  <c r="Q15" i="125"/>
  <c r="T15" i="125" s="1"/>
  <c r="Q14" i="125"/>
  <c r="Q13" i="125"/>
  <c r="T13" i="125" s="1"/>
  <c r="Q12" i="125"/>
  <c r="D7" i="125"/>
  <c r="D5" i="125"/>
  <c r="D4" i="125"/>
  <c r="P163" i="124"/>
  <c r="O163" i="124"/>
  <c r="N163" i="124"/>
  <c r="M163" i="124"/>
  <c r="L163" i="124"/>
  <c r="K163" i="124"/>
  <c r="J163" i="124"/>
  <c r="I163" i="124"/>
  <c r="H163" i="124"/>
  <c r="G163" i="124"/>
  <c r="F163" i="124"/>
  <c r="E163" i="124"/>
  <c r="P159" i="124"/>
  <c r="O159" i="124"/>
  <c r="N159" i="124"/>
  <c r="M159" i="124"/>
  <c r="L159" i="124"/>
  <c r="K159" i="124"/>
  <c r="J159" i="124"/>
  <c r="I159" i="124"/>
  <c r="H159" i="124"/>
  <c r="G159" i="124"/>
  <c r="F159" i="124"/>
  <c r="E159" i="124"/>
  <c r="P158" i="124"/>
  <c r="O158" i="124"/>
  <c r="N158" i="124"/>
  <c r="M158" i="124"/>
  <c r="L158" i="124"/>
  <c r="K158" i="124"/>
  <c r="J158" i="124"/>
  <c r="I158" i="124"/>
  <c r="H158" i="124"/>
  <c r="G158" i="124"/>
  <c r="F158" i="124"/>
  <c r="E158" i="124"/>
  <c r="P157" i="124"/>
  <c r="O157" i="124"/>
  <c r="N157" i="124"/>
  <c r="M157" i="124"/>
  <c r="L157" i="124"/>
  <c r="L160" i="124" s="1"/>
  <c r="K157" i="124"/>
  <c r="J157" i="124"/>
  <c r="I157" i="124"/>
  <c r="H157" i="124"/>
  <c r="G157" i="124"/>
  <c r="F157" i="124"/>
  <c r="E157" i="124"/>
  <c r="Q156" i="124"/>
  <c r="T156" i="124" s="1"/>
  <c r="Q155" i="124"/>
  <c r="T155" i="124" s="1"/>
  <c r="Q154" i="124"/>
  <c r="T154" i="124" s="1"/>
  <c r="Q153" i="124"/>
  <c r="Q150" i="124"/>
  <c r="T150" i="124" s="1"/>
  <c r="Q149" i="124"/>
  <c r="T149" i="124" s="1"/>
  <c r="P148" i="124"/>
  <c r="O148" i="124"/>
  <c r="N148" i="124"/>
  <c r="M148" i="124"/>
  <c r="L148" i="124"/>
  <c r="K148" i="124"/>
  <c r="J148" i="124"/>
  <c r="I148" i="124"/>
  <c r="H148" i="124"/>
  <c r="G148" i="124"/>
  <c r="F148" i="124"/>
  <c r="E148" i="124"/>
  <c r="P147" i="124"/>
  <c r="O147" i="124"/>
  <c r="N147" i="124"/>
  <c r="M147" i="124"/>
  <c r="L147" i="124"/>
  <c r="K147" i="124"/>
  <c r="J147" i="124"/>
  <c r="I147" i="124"/>
  <c r="H147" i="124"/>
  <c r="G147" i="124"/>
  <c r="F147" i="124"/>
  <c r="E147" i="124"/>
  <c r="P146" i="124"/>
  <c r="O146" i="124"/>
  <c r="N146" i="124"/>
  <c r="M146" i="124"/>
  <c r="L146" i="124"/>
  <c r="K146" i="124"/>
  <c r="J146" i="124"/>
  <c r="I146" i="124"/>
  <c r="H146" i="124"/>
  <c r="G146" i="124"/>
  <c r="F146" i="124"/>
  <c r="E146" i="124"/>
  <c r="P145" i="124"/>
  <c r="O145" i="124"/>
  <c r="N145" i="124"/>
  <c r="M145" i="124"/>
  <c r="L145" i="124"/>
  <c r="K145" i="124"/>
  <c r="J145" i="124"/>
  <c r="I145" i="124"/>
  <c r="H145" i="124"/>
  <c r="G145" i="124"/>
  <c r="F145" i="124"/>
  <c r="E145" i="124"/>
  <c r="P144" i="124"/>
  <c r="O144" i="124"/>
  <c r="N144" i="124"/>
  <c r="M144" i="124"/>
  <c r="L144" i="124"/>
  <c r="K144" i="124"/>
  <c r="J144" i="124"/>
  <c r="I144" i="124"/>
  <c r="H144" i="124"/>
  <c r="G144" i="124"/>
  <c r="F144" i="124"/>
  <c r="E144" i="124"/>
  <c r="P143" i="124"/>
  <c r="P151" i="124" s="1"/>
  <c r="O143" i="124"/>
  <c r="N143" i="124"/>
  <c r="N151" i="124" s="1"/>
  <c r="M143" i="124"/>
  <c r="L143" i="124"/>
  <c r="L151" i="124" s="1"/>
  <c r="K143" i="124"/>
  <c r="J143" i="124"/>
  <c r="I143" i="124"/>
  <c r="H143" i="124"/>
  <c r="G143" i="124"/>
  <c r="F143" i="124"/>
  <c r="E143" i="124"/>
  <c r="P140" i="124"/>
  <c r="O140" i="124"/>
  <c r="N140" i="124"/>
  <c r="M140" i="124"/>
  <c r="L140" i="124"/>
  <c r="K140" i="124"/>
  <c r="J140" i="124"/>
  <c r="I140" i="124"/>
  <c r="H140" i="124"/>
  <c r="G140" i="124"/>
  <c r="F140" i="124"/>
  <c r="E140" i="124"/>
  <c r="P139" i="124"/>
  <c r="O139" i="124"/>
  <c r="N139" i="124"/>
  <c r="M139" i="124"/>
  <c r="L139" i="124"/>
  <c r="K139" i="124"/>
  <c r="J139" i="124"/>
  <c r="I139" i="124"/>
  <c r="H139" i="124"/>
  <c r="G139" i="124"/>
  <c r="F139" i="124"/>
  <c r="E139" i="124"/>
  <c r="P138" i="124"/>
  <c r="O138" i="124"/>
  <c r="N138" i="124"/>
  <c r="M138" i="124"/>
  <c r="L138" i="124"/>
  <c r="K138" i="124"/>
  <c r="J138" i="124"/>
  <c r="I138" i="124"/>
  <c r="H138" i="124"/>
  <c r="G138" i="124"/>
  <c r="F138" i="124"/>
  <c r="E138" i="124"/>
  <c r="P137" i="124"/>
  <c r="O137" i="124"/>
  <c r="N137" i="124"/>
  <c r="M137" i="124"/>
  <c r="L137" i="124"/>
  <c r="K137" i="124"/>
  <c r="J137" i="124"/>
  <c r="I137" i="124"/>
  <c r="H137" i="124"/>
  <c r="G137" i="124"/>
  <c r="F137" i="124"/>
  <c r="E137" i="124"/>
  <c r="P136" i="124"/>
  <c r="O136" i="124"/>
  <c r="N136" i="124"/>
  <c r="N141" i="124" s="1"/>
  <c r="M136" i="124"/>
  <c r="L136" i="124"/>
  <c r="K136" i="124"/>
  <c r="J136" i="124"/>
  <c r="I136" i="124"/>
  <c r="H136" i="124"/>
  <c r="G136" i="124"/>
  <c r="F136" i="124"/>
  <c r="F141" i="124" s="1"/>
  <c r="E136" i="124"/>
  <c r="P133" i="124"/>
  <c r="O133" i="124"/>
  <c r="N133" i="124"/>
  <c r="M133" i="124"/>
  <c r="L133" i="124"/>
  <c r="K133" i="124"/>
  <c r="J133" i="124"/>
  <c r="I133" i="124"/>
  <c r="H133" i="124"/>
  <c r="G133" i="124"/>
  <c r="F133" i="124"/>
  <c r="E133" i="124"/>
  <c r="P132" i="124"/>
  <c r="O132" i="124"/>
  <c r="N132" i="124"/>
  <c r="M132" i="124"/>
  <c r="L132" i="124"/>
  <c r="K132" i="124"/>
  <c r="J132" i="124"/>
  <c r="I132" i="124"/>
  <c r="H132" i="124"/>
  <c r="G132" i="124"/>
  <c r="F132" i="124"/>
  <c r="E132" i="124"/>
  <c r="P131" i="124"/>
  <c r="P134" i="124" s="1"/>
  <c r="O131" i="124"/>
  <c r="N131" i="124"/>
  <c r="M131" i="124"/>
  <c r="L131" i="124"/>
  <c r="K131" i="124"/>
  <c r="J131" i="124"/>
  <c r="I131" i="124"/>
  <c r="H131" i="124"/>
  <c r="H134" i="124" s="1"/>
  <c r="G131" i="124"/>
  <c r="F131" i="124"/>
  <c r="E131" i="124"/>
  <c r="P124" i="124"/>
  <c r="O124" i="124"/>
  <c r="N124" i="124"/>
  <c r="M124" i="124"/>
  <c r="L124" i="124"/>
  <c r="K124" i="124"/>
  <c r="J124" i="124"/>
  <c r="I124" i="124"/>
  <c r="H124" i="124"/>
  <c r="G124" i="124"/>
  <c r="F124" i="124"/>
  <c r="E124" i="124"/>
  <c r="P123" i="124"/>
  <c r="O123" i="124"/>
  <c r="N123" i="124"/>
  <c r="M123" i="124"/>
  <c r="L123" i="124"/>
  <c r="K123" i="124"/>
  <c r="J123" i="124"/>
  <c r="I123" i="124"/>
  <c r="H123" i="124"/>
  <c r="G123" i="124"/>
  <c r="F123" i="124"/>
  <c r="E123" i="124"/>
  <c r="P122" i="124"/>
  <c r="O122" i="124"/>
  <c r="N122" i="124"/>
  <c r="M122" i="124"/>
  <c r="L122" i="124"/>
  <c r="K122" i="124"/>
  <c r="J122" i="124"/>
  <c r="I122" i="124"/>
  <c r="H122" i="124"/>
  <c r="G122" i="124"/>
  <c r="F122" i="124"/>
  <c r="E122" i="124"/>
  <c r="P121" i="124"/>
  <c r="O121" i="124"/>
  <c r="N121" i="124"/>
  <c r="M121" i="124"/>
  <c r="L121" i="124"/>
  <c r="K121" i="124"/>
  <c r="J121" i="124"/>
  <c r="I121" i="124"/>
  <c r="H121" i="124"/>
  <c r="G121" i="124"/>
  <c r="F121" i="124"/>
  <c r="E121" i="124"/>
  <c r="P120" i="124"/>
  <c r="O120" i="124"/>
  <c r="N120" i="124"/>
  <c r="M120" i="124"/>
  <c r="L120" i="124"/>
  <c r="K120" i="124"/>
  <c r="J120" i="124"/>
  <c r="I120" i="124"/>
  <c r="H120" i="124"/>
  <c r="G120" i="124"/>
  <c r="F120" i="124"/>
  <c r="E120" i="124"/>
  <c r="P117" i="124"/>
  <c r="P125" i="124" s="1"/>
  <c r="O117" i="124"/>
  <c r="N117" i="124"/>
  <c r="N127" i="124" s="1"/>
  <c r="M117" i="124"/>
  <c r="M125" i="124" s="1"/>
  <c r="L117" i="124"/>
  <c r="K117" i="124"/>
  <c r="K127" i="124" s="1"/>
  <c r="J117" i="124"/>
  <c r="J127" i="124" s="1"/>
  <c r="I117" i="124"/>
  <c r="H117" i="124"/>
  <c r="G117" i="124"/>
  <c r="G127" i="124" s="1"/>
  <c r="F117" i="124"/>
  <c r="F127" i="124" s="1"/>
  <c r="E117" i="124"/>
  <c r="E125" i="124" s="1"/>
  <c r="Q116" i="124"/>
  <c r="Q124" i="124" s="1"/>
  <c r="T124" i="124" s="1"/>
  <c r="Q115" i="124"/>
  <c r="Q123" i="124" s="1"/>
  <c r="T123" i="124" s="1"/>
  <c r="Q114" i="124"/>
  <c r="Q122" i="124" s="1"/>
  <c r="T122" i="124" s="1"/>
  <c r="Q113" i="124"/>
  <c r="Q112" i="124"/>
  <c r="T112" i="124" s="1"/>
  <c r="Q106" i="124"/>
  <c r="Q105" i="124"/>
  <c r="Q104" i="124"/>
  <c r="Q103" i="124"/>
  <c r="Q102" i="124"/>
  <c r="Q101" i="124"/>
  <c r="Q100" i="124"/>
  <c r="Q99" i="124"/>
  <c r="Q98" i="124"/>
  <c r="Q97" i="124"/>
  <c r="Q96" i="124"/>
  <c r="T96" i="124" s="1"/>
  <c r="Q95" i="124"/>
  <c r="T95" i="124" s="1"/>
  <c r="Q94" i="124"/>
  <c r="Q93" i="124"/>
  <c r="T93" i="124" s="1"/>
  <c r="Q92" i="124"/>
  <c r="T92" i="124" s="1"/>
  <c r="Q91" i="124"/>
  <c r="T91" i="124" s="1"/>
  <c r="Q90" i="124"/>
  <c r="Q89" i="124"/>
  <c r="T89" i="124" s="1"/>
  <c r="Q88" i="124"/>
  <c r="T88" i="124" s="1"/>
  <c r="Q87" i="124"/>
  <c r="T87" i="124" s="1"/>
  <c r="Q86" i="124"/>
  <c r="Q85" i="124"/>
  <c r="Q84" i="124"/>
  <c r="T84" i="124" s="1"/>
  <c r="Q83" i="124"/>
  <c r="Q82" i="124"/>
  <c r="Q81" i="124"/>
  <c r="Q80" i="124"/>
  <c r="T80" i="124" s="1"/>
  <c r="Q79" i="124"/>
  <c r="T79" i="124" s="1"/>
  <c r="Q78" i="124"/>
  <c r="Q77" i="124"/>
  <c r="T77" i="124" s="1"/>
  <c r="Q76" i="124"/>
  <c r="T76" i="124" s="1"/>
  <c r="Q75" i="124"/>
  <c r="T75" i="124" s="1"/>
  <c r="Q74" i="124"/>
  <c r="Q73" i="124"/>
  <c r="T73" i="124" s="1"/>
  <c r="Q72" i="124"/>
  <c r="T72" i="124" s="1"/>
  <c r="Q71" i="124"/>
  <c r="Q70" i="124"/>
  <c r="T70" i="124" s="1"/>
  <c r="Q69" i="124"/>
  <c r="T69" i="124" s="1"/>
  <c r="Q68" i="124"/>
  <c r="T68" i="124" s="1"/>
  <c r="Q67" i="124"/>
  <c r="Q66" i="124"/>
  <c r="T66" i="124" s="1"/>
  <c r="Q65" i="124"/>
  <c r="Q64" i="124"/>
  <c r="Q63" i="124"/>
  <c r="Q62" i="124"/>
  <c r="Q61" i="124"/>
  <c r="Q60" i="124"/>
  <c r="Q59" i="124"/>
  <c r="Q58" i="124"/>
  <c r="Q57" i="124"/>
  <c r="Q56" i="124"/>
  <c r="T56" i="124" s="1"/>
  <c r="Q55" i="124"/>
  <c r="T55" i="124" s="1"/>
  <c r="Q54" i="124"/>
  <c r="Q53" i="124"/>
  <c r="Q52" i="124"/>
  <c r="T52" i="124" s="1"/>
  <c r="Q51" i="124"/>
  <c r="T51" i="124" s="1"/>
  <c r="Q50" i="124"/>
  <c r="Q49" i="124"/>
  <c r="Q48" i="124"/>
  <c r="Q47" i="124"/>
  <c r="Q46" i="124"/>
  <c r="Q45" i="124"/>
  <c r="Q44" i="124"/>
  <c r="T44" i="124" s="1"/>
  <c r="Q43" i="124"/>
  <c r="T43" i="124" s="1"/>
  <c r="Q42" i="124"/>
  <c r="Q41" i="124"/>
  <c r="Q40" i="124"/>
  <c r="T40" i="124" s="1"/>
  <c r="Q39" i="124"/>
  <c r="T38" i="124"/>
  <c r="Q33" i="124"/>
  <c r="T33" i="124" s="1"/>
  <c r="T26" i="124"/>
  <c r="Q26" i="124"/>
  <c r="P25" i="124"/>
  <c r="P32" i="124" s="1"/>
  <c r="O25" i="124"/>
  <c r="O32" i="124" s="1"/>
  <c r="N25" i="124"/>
  <c r="N32" i="124" s="1"/>
  <c r="M25" i="124"/>
  <c r="M33" i="108" s="1"/>
  <c r="L25" i="124"/>
  <c r="L33" i="108" s="1"/>
  <c r="K25" i="124"/>
  <c r="K33" i="108" s="1"/>
  <c r="J25" i="124"/>
  <c r="I25" i="124"/>
  <c r="I33" i="108" s="1"/>
  <c r="H25" i="124"/>
  <c r="H33" i="108" s="1"/>
  <c r="G25" i="124"/>
  <c r="G33" i="108" s="1"/>
  <c r="F25" i="124"/>
  <c r="F33" i="108" s="1"/>
  <c r="E25" i="124"/>
  <c r="E33" i="108" s="1"/>
  <c r="Q24" i="124"/>
  <c r="T24" i="124" s="1"/>
  <c r="Q23" i="124"/>
  <c r="T23" i="124" s="1"/>
  <c r="Q22" i="124"/>
  <c r="T22" i="124" s="1"/>
  <c r="Q21" i="124"/>
  <c r="T21" i="124" s="1"/>
  <c r="Q20" i="124"/>
  <c r="T20" i="124" s="1"/>
  <c r="T19" i="124"/>
  <c r="P17" i="124"/>
  <c r="O17" i="124"/>
  <c r="O31" i="124" s="1"/>
  <c r="N17" i="124"/>
  <c r="N15" i="108" s="1"/>
  <c r="M17" i="124"/>
  <c r="L17" i="124"/>
  <c r="K17" i="124"/>
  <c r="J17" i="124"/>
  <c r="J15" i="108" s="1"/>
  <c r="I17" i="124"/>
  <c r="H17" i="124"/>
  <c r="H31" i="124" s="1"/>
  <c r="H34" i="124" s="1"/>
  <c r="G17" i="124"/>
  <c r="G31" i="124" s="1"/>
  <c r="G34" i="124" s="1"/>
  <c r="F17" i="124"/>
  <c r="F15" i="108" s="1"/>
  <c r="E17" i="124"/>
  <c r="Q16" i="124"/>
  <c r="T16" i="124" s="1"/>
  <c r="Q15" i="124"/>
  <c r="Q14" i="124"/>
  <c r="T14" i="124" s="1"/>
  <c r="Q13" i="124"/>
  <c r="T13" i="124" s="1"/>
  <c r="Q12" i="124"/>
  <c r="T12" i="124" s="1"/>
  <c r="D7" i="124"/>
  <c r="D5" i="124"/>
  <c r="D4" i="124"/>
  <c r="P163" i="123"/>
  <c r="O163" i="123"/>
  <c r="N163" i="123"/>
  <c r="M163" i="123"/>
  <c r="L163" i="123"/>
  <c r="K163" i="123"/>
  <c r="J163" i="123"/>
  <c r="I163" i="123"/>
  <c r="H163" i="123"/>
  <c r="G163" i="123"/>
  <c r="F163" i="123"/>
  <c r="E163" i="123"/>
  <c r="P159" i="123"/>
  <c r="O159" i="123"/>
  <c r="N159" i="123"/>
  <c r="M159" i="123"/>
  <c r="L159" i="123"/>
  <c r="K159" i="123"/>
  <c r="J159" i="123"/>
  <c r="I159" i="123"/>
  <c r="H159" i="123"/>
  <c r="G159" i="123"/>
  <c r="F159" i="123"/>
  <c r="E159" i="123"/>
  <c r="P158" i="123"/>
  <c r="O158" i="123"/>
  <c r="N158" i="123"/>
  <c r="M158" i="123"/>
  <c r="L158" i="123"/>
  <c r="K158" i="123"/>
  <c r="J158" i="123"/>
  <c r="I158" i="123"/>
  <c r="H158" i="123"/>
  <c r="G158" i="123"/>
  <c r="F158" i="123"/>
  <c r="E158" i="123"/>
  <c r="P157" i="123"/>
  <c r="O157" i="123"/>
  <c r="N157" i="123"/>
  <c r="M157" i="123"/>
  <c r="M160" i="123" s="1"/>
  <c r="L157" i="123"/>
  <c r="K157" i="123"/>
  <c r="J157" i="123"/>
  <c r="I157" i="123"/>
  <c r="H157" i="123"/>
  <c r="G157" i="123"/>
  <c r="F157" i="123"/>
  <c r="E157" i="123"/>
  <c r="Q156" i="123"/>
  <c r="T156" i="123" s="1"/>
  <c r="Q155" i="123"/>
  <c r="T155" i="123" s="1"/>
  <c r="Q154" i="123"/>
  <c r="T154" i="123" s="1"/>
  <c r="Q153" i="123"/>
  <c r="T153" i="123" s="1"/>
  <c r="Q150" i="123"/>
  <c r="T150" i="123" s="1"/>
  <c r="Q149" i="123"/>
  <c r="T149" i="123" s="1"/>
  <c r="P148" i="123"/>
  <c r="O148" i="123"/>
  <c r="N148" i="123"/>
  <c r="M148" i="123"/>
  <c r="L148" i="123"/>
  <c r="K148" i="123"/>
  <c r="J148" i="123"/>
  <c r="I148" i="123"/>
  <c r="H148" i="123"/>
  <c r="G148" i="123"/>
  <c r="F148" i="123"/>
  <c r="E148" i="123"/>
  <c r="P147" i="123"/>
  <c r="O147" i="123"/>
  <c r="N147" i="123"/>
  <c r="M147" i="123"/>
  <c r="L147" i="123"/>
  <c r="K147" i="123"/>
  <c r="J147" i="123"/>
  <c r="I147" i="123"/>
  <c r="H147" i="123"/>
  <c r="G147" i="123"/>
  <c r="F147" i="123"/>
  <c r="E147" i="123"/>
  <c r="P146" i="123"/>
  <c r="O146" i="123"/>
  <c r="N146" i="123"/>
  <c r="M146" i="123"/>
  <c r="L146" i="123"/>
  <c r="K146" i="123"/>
  <c r="J146" i="123"/>
  <c r="I146" i="123"/>
  <c r="H146" i="123"/>
  <c r="G146" i="123"/>
  <c r="F146" i="123"/>
  <c r="E146" i="123"/>
  <c r="P145" i="123"/>
  <c r="O145" i="123"/>
  <c r="N145" i="123"/>
  <c r="M145" i="123"/>
  <c r="L145" i="123"/>
  <c r="K145" i="123"/>
  <c r="J145" i="123"/>
  <c r="I145" i="123"/>
  <c r="H145" i="123"/>
  <c r="G145" i="123"/>
  <c r="F145" i="123"/>
  <c r="E145" i="123"/>
  <c r="P144" i="123"/>
  <c r="O144" i="123"/>
  <c r="N144" i="123"/>
  <c r="M144" i="123"/>
  <c r="L144" i="123"/>
  <c r="K144" i="123"/>
  <c r="J144" i="123"/>
  <c r="I144" i="123"/>
  <c r="H144" i="123"/>
  <c r="G144" i="123"/>
  <c r="F144" i="123"/>
  <c r="E144" i="123"/>
  <c r="P143" i="123"/>
  <c r="O143" i="123"/>
  <c r="N143" i="123"/>
  <c r="M143" i="123"/>
  <c r="L143" i="123"/>
  <c r="K143" i="123"/>
  <c r="K151" i="123" s="1"/>
  <c r="J143" i="123"/>
  <c r="I143" i="123"/>
  <c r="H143" i="123"/>
  <c r="G143" i="123"/>
  <c r="F143" i="123"/>
  <c r="E143" i="123"/>
  <c r="P140" i="123"/>
  <c r="O140" i="123"/>
  <c r="N140" i="123"/>
  <c r="M140" i="123"/>
  <c r="L140" i="123"/>
  <c r="K140" i="123"/>
  <c r="J140" i="123"/>
  <c r="I140" i="123"/>
  <c r="H140" i="123"/>
  <c r="G140" i="123"/>
  <c r="F140" i="123"/>
  <c r="E140" i="123"/>
  <c r="P139" i="123"/>
  <c r="O139" i="123"/>
  <c r="N139" i="123"/>
  <c r="M139" i="123"/>
  <c r="L139" i="123"/>
  <c r="K139" i="123"/>
  <c r="J139" i="123"/>
  <c r="I139" i="123"/>
  <c r="H139" i="123"/>
  <c r="G139" i="123"/>
  <c r="F139" i="123"/>
  <c r="E139" i="123"/>
  <c r="P138" i="123"/>
  <c r="O138" i="123"/>
  <c r="N138" i="123"/>
  <c r="M138" i="123"/>
  <c r="L138" i="123"/>
  <c r="K138" i="123"/>
  <c r="J138" i="123"/>
  <c r="I138" i="123"/>
  <c r="H138" i="123"/>
  <c r="G138" i="123"/>
  <c r="F138" i="123"/>
  <c r="E138" i="123"/>
  <c r="P137" i="123"/>
  <c r="O137" i="123"/>
  <c r="N137" i="123"/>
  <c r="M137" i="123"/>
  <c r="L137" i="123"/>
  <c r="K137" i="123"/>
  <c r="J137" i="123"/>
  <c r="I137" i="123"/>
  <c r="H137" i="123"/>
  <c r="G137" i="123"/>
  <c r="F137" i="123"/>
  <c r="E137" i="123"/>
  <c r="P136" i="123"/>
  <c r="O136" i="123"/>
  <c r="N136" i="123"/>
  <c r="M136" i="123"/>
  <c r="L136" i="123"/>
  <c r="K136" i="123"/>
  <c r="J136" i="123"/>
  <c r="I136" i="123"/>
  <c r="H136" i="123"/>
  <c r="G136" i="123"/>
  <c r="G141" i="123" s="1"/>
  <c r="F136" i="123"/>
  <c r="E136" i="123"/>
  <c r="P133" i="123"/>
  <c r="O133" i="123"/>
  <c r="N133" i="123"/>
  <c r="M133" i="123"/>
  <c r="L133" i="123"/>
  <c r="K133" i="123"/>
  <c r="J133" i="123"/>
  <c r="I133" i="123"/>
  <c r="H133" i="123"/>
  <c r="G133" i="123"/>
  <c r="F133" i="123"/>
  <c r="E133" i="123"/>
  <c r="P132" i="123"/>
  <c r="O132" i="123"/>
  <c r="N132" i="123"/>
  <c r="M132" i="123"/>
  <c r="L132" i="123"/>
  <c r="K132" i="123"/>
  <c r="J132" i="123"/>
  <c r="I132" i="123"/>
  <c r="H132" i="123"/>
  <c r="G132" i="123"/>
  <c r="F132" i="123"/>
  <c r="E132" i="123"/>
  <c r="P131" i="123"/>
  <c r="O131" i="123"/>
  <c r="N131" i="123"/>
  <c r="M131" i="123"/>
  <c r="L131" i="123"/>
  <c r="K131" i="123"/>
  <c r="J131" i="123"/>
  <c r="I131" i="123"/>
  <c r="H131" i="123"/>
  <c r="G131" i="123"/>
  <c r="G134" i="123" s="1"/>
  <c r="F131" i="123"/>
  <c r="E131" i="123"/>
  <c r="P124" i="123"/>
  <c r="O124" i="123"/>
  <c r="N124" i="123"/>
  <c r="M124" i="123"/>
  <c r="L124" i="123"/>
  <c r="K124" i="123"/>
  <c r="J124" i="123"/>
  <c r="I124" i="123"/>
  <c r="H124" i="123"/>
  <c r="G124" i="123"/>
  <c r="F124" i="123"/>
  <c r="E124" i="123"/>
  <c r="P123" i="123"/>
  <c r="O123" i="123"/>
  <c r="N123" i="123"/>
  <c r="M123" i="123"/>
  <c r="L123" i="123"/>
  <c r="K123" i="123"/>
  <c r="J123" i="123"/>
  <c r="I123" i="123"/>
  <c r="H123" i="123"/>
  <c r="G123" i="123"/>
  <c r="F123" i="123"/>
  <c r="E123" i="123"/>
  <c r="P122" i="123"/>
  <c r="O122" i="123"/>
  <c r="N122" i="123"/>
  <c r="M122" i="123"/>
  <c r="L122" i="123"/>
  <c r="K122" i="123"/>
  <c r="J122" i="123"/>
  <c r="I122" i="123"/>
  <c r="H122" i="123"/>
  <c r="G122" i="123"/>
  <c r="F122" i="123"/>
  <c r="E122" i="123"/>
  <c r="P121" i="123"/>
  <c r="O121" i="123"/>
  <c r="N121" i="123"/>
  <c r="M121" i="123"/>
  <c r="L121" i="123"/>
  <c r="K121" i="123"/>
  <c r="J121" i="123"/>
  <c r="I121" i="123"/>
  <c r="H121" i="123"/>
  <c r="G121" i="123"/>
  <c r="F121" i="123"/>
  <c r="E121" i="123"/>
  <c r="P120" i="123"/>
  <c r="O120" i="123"/>
  <c r="N120" i="123"/>
  <c r="M120" i="123"/>
  <c r="L120" i="123"/>
  <c r="K120" i="123"/>
  <c r="J120" i="123"/>
  <c r="I120" i="123"/>
  <c r="H120" i="123"/>
  <c r="G120" i="123"/>
  <c r="F120" i="123"/>
  <c r="E120" i="123"/>
  <c r="T119" i="123"/>
  <c r="T118" i="123"/>
  <c r="P117" i="123"/>
  <c r="P127" i="123" s="1"/>
  <c r="O117" i="123"/>
  <c r="O127" i="123" s="1"/>
  <c r="N117" i="123"/>
  <c r="N127" i="123" s="1"/>
  <c r="M117" i="123"/>
  <c r="L117" i="123"/>
  <c r="L127" i="123" s="1"/>
  <c r="K117" i="123"/>
  <c r="K127" i="123" s="1"/>
  <c r="J117" i="123"/>
  <c r="J127" i="123" s="1"/>
  <c r="I117" i="123"/>
  <c r="I127" i="123" s="1"/>
  <c r="H117" i="123"/>
  <c r="G117" i="123"/>
  <c r="G127" i="123" s="1"/>
  <c r="F117" i="123"/>
  <c r="E117" i="123"/>
  <c r="E127" i="123" s="1"/>
  <c r="Q116" i="123"/>
  <c r="Q124" i="123" s="1"/>
  <c r="T124" i="123" s="1"/>
  <c r="Q115" i="123"/>
  <c r="T115" i="123" s="1"/>
  <c r="Q114" i="123"/>
  <c r="Q113" i="123"/>
  <c r="T113" i="123" s="1"/>
  <c r="Q112" i="123"/>
  <c r="Q120" i="123" s="1"/>
  <c r="T120" i="123" s="1"/>
  <c r="P106" i="123"/>
  <c r="P129" i="108" s="1"/>
  <c r="O106" i="123"/>
  <c r="O129" i="108" s="1"/>
  <c r="N106" i="123"/>
  <c r="N129" i="108" s="1"/>
  <c r="M106" i="123"/>
  <c r="M129" i="108" s="1"/>
  <c r="L106" i="123"/>
  <c r="L129" i="108" s="1"/>
  <c r="K106" i="123"/>
  <c r="K129" i="108" s="1"/>
  <c r="J106" i="123"/>
  <c r="J129" i="108" s="1"/>
  <c r="I106" i="123"/>
  <c r="I129" i="108" s="1"/>
  <c r="H106" i="123"/>
  <c r="H129" i="108" s="1"/>
  <c r="G106" i="123"/>
  <c r="G129" i="108" s="1"/>
  <c r="F106" i="123"/>
  <c r="E106" i="123"/>
  <c r="E129" i="108" s="1"/>
  <c r="Q105" i="123"/>
  <c r="T105" i="123" s="1"/>
  <c r="Q104" i="123"/>
  <c r="Q103" i="123"/>
  <c r="T103" i="123" s="1"/>
  <c r="Q102" i="123"/>
  <c r="T102" i="123" s="1"/>
  <c r="Q101" i="123"/>
  <c r="T101" i="123" s="1"/>
  <c r="Q100" i="123"/>
  <c r="Q99" i="123"/>
  <c r="T99" i="123" s="1"/>
  <c r="Q98" i="123"/>
  <c r="T98" i="123" s="1"/>
  <c r="Q97" i="123"/>
  <c r="Q96" i="123"/>
  <c r="T96" i="123" s="1"/>
  <c r="P95" i="123"/>
  <c r="O95" i="123"/>
  <c r="N95" i="123"/>
  <c r="M95" i="123"/>
  <c r="L95" i="123"/>
  <c r="K95" i="123"/>
  <c r="J95" i="123"/>
  <c r="I95" i="123"/>
  <c r="H95" i="123"/>
  <c r="G95" i="123"/>
  <c r="F95" i="123"/>
  <c r="E95" i="123"/>
  <c r="Q94" i="123"/>
  <c r="T94" i="123" s="1"/>
  <c r="Q93" i="123"/>
  <c r="Q92" i="123"/>
  <c r="T92" i="123" s="1"/>
  <c r="Q91" i="123"/>
  <c r="T91" i="123" s="1"/>
  <c r="Q90" i="123"/>
  <c r="T90" i="123" s="1"/>
  <c r="Q89" i="123"/>
  <c r="Q88" i="123"/>
  <c r="T88" i="123" s="1"/>
  <c r="Q87" i="123"/>
  <c r="T87" i="123" s="1"/>
  <c r="Q86" i="123"/>
  <c r="T86" i="123" s="1"/>
  <c r="Q85" i="123"/>
  <c r="Q84" i="123"/>
  <c r="T84" i="123" s="1"/>
  <c r="Q83" i="123"/>
  <c r="T83" i="123" s="1"/>
  <c r="Q82" i="123"/>
  <c r="T82" i="123" s="1"/>
  <c r="Q81" i="123"/>
  <c r="Q80" i="123"/>
  <c r="T80" i="123" s="1"/>
  <c r="Q79" i="123"/>
  <c r="T79" i="123" s="1"/>
  <c r="Q78" i="123"/>
  <c r="T78" i="123" s="1"/>
  <c r="Q77" i="123"/>
  <c r="Q76" i="123"/>
  <c r="T76" i="123" s="1"/>
  <c r="Q75" i="123"/>
  <c r="T75" i="123" s="1"/>
  <c r="Q74" i="123"/>
  <c r="T74" i="123" s="1"/>
  <c r="Q73" i="123"/>
  <c r="Q72" i="123"/>
  <c r="T72" i="123"/>
  <c r="Q71" i="123"/>
  <c r="T71" i="123" s="1"/>
  <c r="Q70" i="123"/>
  <c r="T70" i="123" s="1"/>
  <c r="Q69" i="123"/>
  <c r="Q68" i="123"/>
  <c r="T68" i="123" s="1"/>
  <c r="Q67" i="123"/>
  <c r="T67" i="123" s="1"/>
  <c r="Q66" i="123"/>
  <c r="T66" i="123" s="1"/>
  <c r="Q65" i="123"/>
  <c r="Q64" i="123"/>
  <c r="T64" i="123" s="1"/>
  <c r="Q63" i="123"/>
  <c r="T63" i="123" s="1"/>
  <c r="Q62" i="123"/>
  <c r="Q61" i="123"/>
  <c r="Q60" i="123"/>
  <c r="Q59" i="123"/>
  <c r="Q58" i="123"/>
  <c r="T58" i="123" s="1"/>
  <c r="Q57" i="123"/>
  <c r="Q56" i="123"/>
  <c r="T56" i="123" s="1"/>
  <c r="Q55" i="123"/>
  <c r="T55" i="123" s="1"/>
  <c r="Q54" i="123"/>
  <c r="T54" i="123" s="1"/>
  <c r="Q53" i="123"/>
  <c r="Q52" i="123"/>
  <c r="T52" i="123" s="1"/>
  <c r="Q51" i="123"/>
  <c r="T51" i="123" s="1"/>
  <c r="Q50" i="123"/>
  <c r="T50" i="123" s="1"/>
  <c r="Q49" i="123"/>
  <c r="Q48" i="123"/>
  <c r="T48" i="123" s="1"/>
  <c r="Q47" i="123"/>
  <c r="T47" i="123" s="1"/>
  <c r="Q46" i="123"/>
  <c r="T46" i="123" s="1"/>
  <c r="Q45" i="123"/>
  <c r="Q44" i="123"/>
  <c r="T44" i="123" s="1"/>
  <c r="Q43" i="123"/>
  <c r="T43" i="123" s="1"/>
  <c r="Q42" i="123"/>
  <c r="T42" i="123" s="1"/>
  <c r="Q41" i="123"/>
  <c r="Q40" i="123"/>
  <c r="T40" i="123" s="1"/>
  <c r="Q39" i="123"/>
  <c r="T39" i="123" s="1"/>
  <c r="T38" i="123"/>
  <c r="Q33" i="123"/>
  <c r="Q26" i="123"/>
  <c r="T26" i="123" s="1"/>
  <c r="P25" i="123"/>
  <c r="P32" i="123" s="1"/>
  <c r="O25" i="123"/>
  <c r="O32" i="123" s="1"/>
  <c r="N25" i="123"/>
  <c r="M25" i="123"/>
  <c r="L25" i="123"/>
  <c r="L32" i="123" s="1"/>
  <c r="K25" i="123"/>
  <c r="J25" i="123"/>
  <c r="J32" i="123" s="1"/>
  <c r="I25" i="123"/>
  <c r="H25" i="123"/>
  <c r="H32" i="123" s="1"/>
  <c r="G25" i="123"/>
  <c r="F25" i="123"/>
  <c r="F32" i="123" s="1"/>
  <c r="E25" i="123"/>
  <c r="Q24" i="123"/>
  <c r="T24" i="123" s="1"/>
  <c r="Q23" i="123"/>
  <c r="T23" i="123" s="1"/>
  <c r="Q22" i="123"/>
  <c r="T22" i="123" s="1"/>
  <c r="Q21" i="123"/>
  <c r="T21" i="123" s="1"/>
  <c r="Q20" i="123"/>
  <c r="P17" i="123"/>
  <c r="P31" i="123" s="1"/>
  <c r="O17" i="123"/>
  <c r="O31" i="123" s="1"/>
  <c r="N17" i="123"/>
  <c r="M17" i="123"/>
  <c r="L17" i="123"/>
  <c r="K17" i="123"/>
  <c r="J17" i="123"/>
  <c r="J31" i="123" s="1"/>
  <c r="I17" i="123"/>
  <c r="I31" i="123" s="1"/>
  <c r="H17" i="123"/>
  <c r="H31" i="123" s="1"/>
  <c r="G17" i="123"/>
  <c r="G31" i="123" s="1"/>
  <c r="F17" i="123"/>
  <c r="E17" i="123"/>
  <c r="Q16" i="123"/>
  <c r="T16" i="123" s="1"/>
  <c r="Q15" i="123"/>
  <c r="T15" i="123" s="1"/>
  <c r="Q14" i="123"/>
  <c r="T14" i="123" s="1"/>
  <c r="Q13" i="123"/>
  <c r="T13" i="123" s="1"/>
  <c r="Q12" i="123"/>
  <c r="D7" i="123"/>
  <c r="D5" i="123"/>
  <c r="D4" i="123"/>
  <c r="P163" i="119"/>
  <c r="O163" i="119"/>
  <c r="N163" i="119"/>
  <c r="M163" i="119"/>
  <c r="L163" i="119"/>
  <c r="K163" i="119"/>
  <c r="J163" i="119"/>
  <c r="I163" i="119"/>
  <c r="H163" i="119"/>
  <c r="G163" i="119"/>
  <c r="F163" i="119"/>
  <c r="E163" i="119"/>
  <c r="P159" i="119"/>
  <c r="O159" i="119"/>
  <c r="N159" i="119"/>
  <c r="M159" i="119"/>
  <c r="L159" i="119"/>
  <c r="K159" i="119"/>
  <c r="J159" i="119"/>
  <c r="I159" i="119"/>
  <c r="H159" i="119"/>
  <c r="G159" i="119"/>
  <c r="F159" i="119"/>
  <c r="E159" i="119"/>
  <c r="P158" i="119"/>
  <c r="O158" i="119"/>
  <c r="N158" i="119"/>
  <c r="M158" i="119"/>
  <c r="L158" i="119"/>
  <c r="K158" i="119"/>
  <c r="J158" i="119"/>
  <c r="I158" i="119"/>
  <c r="H158" i="119"/>
  <c r="G158" i="119"/>
  <c r="F158" i="119"/>
  <c r="E158" i="119"/>
  <c r="P157" i="119"/>
  <c r="O157" i="119"/>
  <c r="N157" i="119"/>
  <c r="M157" i="119"/>
  <c r="L157" i="119"/>
  <c r="K157" i="119"/>
  <c r="J157" i="119"/>
  <c r="I157" i="119"/>
  <c r="H157" i="119"/>
  <c r="G157" i="119"/>
  <c r="F157" i="119"/>
  <c r="E157" i="119"/>
  <c r="Q156" i="119"/>
  <c r="U156" i="119" s="1"/>
  <c r="Q155" i="119"/>
  <c r="U155" i="119" s="1"/>
  <c r="Q154" i="119"/>
  <c r="U154" i="119" s="1"/>
  <c r="Q153" i="119"/>
  <c r="U153" i="119" s="1"/>
  <c r="Q150" i="119"/>
  <c r="Q149" i="119"/>
  <c r="P148" i="119"/>
  <c r="O148" i="119"/>
  <c r="N148" i="119"/>
  <c r="M148" i="119"/>
  <c r="L148" i="119"/>
  <c r="K148" i="119"/>
  <c r="J148" i="119"/>
  <c r="I148" i="119"/>
  <c r="H148" i="119"/>
  <c r="G148" i="119"/>
  <c r="F148" i="119"/>
  <c r="E148" i="119"/>
  <c r="P147" i="119"/>
  <c r="O147" i="119"/>
  <c r="N147" i="119"/>
  <c r="M147" i="119"/>
  <c r="L147" i="119"/>
  <c r="K147" i="119"/>
  <c r="J147" i="119"/>
  <c r="I147" i="119"/>
  <c r="H147" i="119"/>
  <c r="G147" i="119"/>
  <c r="F147" i="119"/>
  <c r="E147" i="119"/>
  <c r="P146" i="119"/>
  <c r="O146" i="119"/>
  <c r="N146" i="119"/>
  <c r="M146" i="119"/>
  <c r="L146" i="119"/>
  <c r="K146" i="119"/>
  <c r="J146" i="119"/>
  <c r="I146" i="119"/>
  <c r="H146" i="119"/>
  <c r="G146" i="119"/>
  <c r="F146" i="119"/>
  <c r="E146" i="119"/>
  <c r="P145" i="119"/>
  <c r="O145" i="119"/>
  <c r="N145" i="119"/>
  <c r="M145" i="119"/>
  <c r="L145" i="119"/>
  <c r="K145" i="119"/>
  <c r="J145" i="119"/>
  <c r="I145" i="119"/>
  <c r="H145" i="119"/>
  <c r="G145" i="119"/>
  <c r="F145" i="119"/>
  <c r="E145" i="119"/>
  <c r="P144" i="119"/>
  <c r="O144" i="119"/>
  <c r="N144" i="119"/>
  <c r="M144" i="119"/>
  <c r="L144" i="119"/>
  <c r="K144" i="119"/>
  <c r="J144" i="119"/>
  <c r="I144" i="119"/>
  <c r="H144" i="119"/>
  <c r="G144" i="119"/>
  <c r="F144" i="119"/>
  <c r="E144" i="119"/>
  <c r="P143" i="119"/>
  <c r="O143" i="119"/>
  <c r="N143" i="119"/>
  <c r="M143" i="119"/>
  <c r="L143" i="119"/>
  <c r="K143" i="119"/>
  <c r="J143" i="119"/>
  <c r="I143" i="119"/>
  <c r="H143" i="119"/>
  <c r="G143" i="119"/>
  <c r="G151" i="119" s="1"/>
  <c r="F143" i="119"/>
  <c r="E143" i="119"/>
  <c r="P140" i="119"/>
  <c r="O140" i="119"/>
  <c r="N140" i="119"/>
  <c r="M140" i="119"/>
  <c r="L140" i="119"/>
  <c r="K140" i="119"/>
  <c r="J140" i="119"/>
  <c r="I140" i="119"/>
  <c r="H140" i="119"/>
  <c r="G140" i="119"/>
  <c r="F140" i="119"/>
  <c r="E140" i="119"/>
  <c r="P139" i="119"/>
  <c r="O139" i="119"/>
  <c r="N139" i="119"/>
  <c r="M139" i="119"/>
  <c r="L139" i="119"/>
  <c r="K139" i="119"/>
  <c r="J139" i="119"/>
  <c r="I139" i="119"/>
  <c r="H139" i="119"/>
  <c r="G139" i="119"/>
  <c r="F139" i="119"/>
  <c r="E139" i="119"/>
  <c r="P138" i="119"/>
  <c r="O138" i="119"/>
  <c r="N138" i="119"/>
  <c r="M138" i="119"/>
  <c r="L138" i="119"/>
  <c r="K138" i="119"/>
  <c r="J138" i="119"/>
  <c r="I138" i="119"/>
  <c r="H138" i="119"/>
  <c r="G138" i="119"/>
  <c r="F138" i="119"/>
  <c r="E138" i="119"/>
  <c r="P137" i="119"/>
  <c r="O137" i="119"/>
  <c r="N137" i="119"/>
  <c r="M137" i="119"/>
  <c r="L137" i="119"/>
  <c r="K137" i="119"/>
  <c r="J137" i="119"/>
  <c r="I137" i="119"/>
  <c r="H137" i="119"/>
  <c r="G137" i="119"/>
  <c r="F137" i="119"/>
  <c r="E137" i="119"/>
  <c r="P136" i="119"/>
  <c r="O136" i="119"/>
  <c r="N136" i="119"/>
  <c r="M136" i="119"/>
  <c r="L136" i="119"/>
  <c r="K136" i="119"/>
  <c r="J136" i="119"/>
  <c r="I136" i="119"/>
  <c r="H136" i="119"/>
  <c r="G136" i="119"/>
  <c r="F136" i="119"/>
  <c r="E136" i="119"/>
  <c r="P133" i="119"/>
  <c r="O133" i="119"/>
  <c r="N133" i="119"/>
  <c r="M133" i="119"/>
  <c r="L133" i="119"/>
  <c r="K133" i="119"/>
  <c r="J133" i="119"/>
  <c r="I133" i="119"/>
  <c r="H133" i="119"/>
  <c r="G133" i="119"/>
  <c r="F133" i="119"/>
  <c r="E133" i="119"/>
  <c r="Q132" i="119"/>
  <c r="P131" i="119"/>
  <c r="O131" i="119"/>
  <c r="N131" i="119"/>
  <c r="M131" i="119"/>
  <c r="L131" i="119"/>
  <c r="K131" i="119"/>
  <c r="J131" i="119"/>
  <c r="I131" i="119"/>
  <c r="H131" i="119"/>
  <c r="G131" i="119"/>
  <c r="F131" i="119"/>
  <c r="E131" i="119"/>
  <c r="P124" i="119"/>
  <c r="O124" i="119"/>
  <c r="N124" i="119"/>
  <c r="M124" i="119"/>
  <c r="L124" i="119"/>
  <c r="K124" i="119"/>
  <c r="J124" i="119"/>
  <c r="I124" i="119"/>
  <c r="H124" i="119"/>
  <c r="G124" i="119"/>
  <c r="F124" i="119"/>
  <c r="E124" i="119"/>
  <c r="P123" i="119"/>
  <c r="O123" i="119"/>
  <c r="N123" i="119"/>
  <c r="M123" i="119"/>
  <c r="L123" i="119"/>
  <c r="K123" i="119"/>
  <c r="J123" i="119"/>
  <c r="I123" i="119"/>
  <c r="H123" i="119"/>
  <c r="G123" i="119"/>
  <c r="F123" i="119"/>
  <c r="E123" i="119"/>
  <c r="P122" i="119"/>
  <c r="O122" i="119"/>
  <c r="N122" i="119"/>
  <c r="M122" i="119"/>
  <c r="L122" i="119"/>
  <c r="K122" i="119"/>
  <c r="J122" i="119"/>
  <c r="I122" i="119"/>
  <c r="H122" i="119"/>
  <c r="G122" i="119"/>
  <c r="F122" i="119"/>
  <c r="E122" i="119"/>
  <c r="P121" i="119"/>
  <c r="O121" i="119"/>
  <c r="N121" i="119"/>
  <c r="M121" i="119"/>
  <c r="L121" i="119"/>
  <c r="K121" i="119"/>
  <c r="J121" i="119"/>
  <c r="I121" i="119"/>
  <c r="H121" i="119"/>
  <c r="G121" i="119"/>
  <c r="F121" i="119"/>
  <c r="E121" i="119"/>
  <c r="P120" i="119"/>
  <c r="O120" i="119"/>
  <c r="N120" i="119"/>
  <c r="M120" i="119"/>
  <c r="L120" i="119"/>
  <c r="K120" i="119"/>
  <c r="J120" i="119"/>
  <c r="I120" i="119"/>
  <c r="H120" i="119"/>
  <c r="G120" i="119"/>
  <c r="F120" i="119"/>
  <c r="E120" i="119"/>
  <c r="P117" i="119"/>
  <c r="O117" i="119"/>
  <c r="N117" i="119"/>
  <c r="N125" i="119" s="1"/>
  <c r="M117" i="119"/>
  <c r="L117" i="119"/>
  <c r="L127" i="119" s="1"/>
  <c r="K117" i="119"/>
  <c r="J117" i="119"/>
  <c r="J125" i="119" s="1"/>
  <c r="I117" i="119"/>
  <c r="H117" i="119"/>
  <c r="H127" i="119" s="1"/>
  <c r="G117" i="119"/>
  <c r="F117" i="119"/>
  <c r="E117" i="119"/>
  <c r="Q116" i="119"/>
  <c r="Q124" i="119" s="1"/>
  <c r="Q115" i="119"/>
  <c r="Q123" i="119" s="1"/>
  <c r="U123" i="119" s="1"/>
  <c r="Q114" i="119"/>
  <c r="U114" i="119" s="1"/>
  <c r="Q113" i="119"/>
  <c r="Q112" i="119"/>
  <c r="Q120" i="119" s="1"/>
  <c r="U120" i="119" s="1"/>
  <c r="Q107" i="119"/>
  <c r="U107" i="119" s="1"/>
  <c r="Q106" i="119"/>
  <c r="Q105" i="119"/>
  <c r="U105" i="119" s="1"/>
  <c r="Q104" i="119"/>
  <c r="U104" i="119" s="1"/>
  <c r="Q103" i="119"/>
  <c r="U103" i="119" s="1"/>
  <c r="Q102" i="119"/>
  <c r="Q101" i="119"/>
  <c r="U101" i="119" s="1"/>
  <c r="Q100" i="119"/>
  <c r="U100" i="119" s="1"/>
  <c r="Q99" i="119"/>
  <c r="Q98" i="119"/>
  <c r="U98" i="119" s="1"/>
  <c r="Q97" i="119"/>
  <c r="U97" i="119" s="1"/>
  <c r="Q96" i="119"/>
  <c r="U96" i="119" s="1"/>
  <c r="P95" i="119"/>
  <c r="O95" i="119"/>
  <c r="N95" i="119"/>
  <c r="M95" i="119"/>
  <c r="L95" i="119"/>
  <c r="K95" i="119"/>
  <c r="J95" i="119"/>
  <c r="I95" i="119"/>
  <c r="H95" i="119"/>
  <c r="G95" i="119"/>
  <c r="F95" i="119"/>
  <c r="E95" i="119"/>
  <c r="Q94" i="119"/>
  <c r="U94" i="119" s="1"/>
  <c r="Q93" i="119"/>
  <c r="Q92" i="119"/>
  <c r="U92" i="119" s="1"/>
  <c r="Q91" i="119"/>
  <c r="Q90" i="119"/>
  <c r="U90" i="119" s="1"/>
  <c r="Q89" i="119"/>
  <c r="U89" i="119" s="1"/>
  <c r="Q88" i="119"/>
  <c r="U88" i="119" s="1"/>
  <c r="Q87" i="119"/>
  <c r="Q86" i="119"/>
  <c r="U86" i="119" s="1"/>
  <c r="Q85" i="119"/>
  <c r="Q84" i="119"/>
  <c r="U84" i="119" s="1"/>
  <c r="Q83" i="119"/>
  <c r="Q82" i="119"/>
  <c r="U82" i="119" s="1"/>
  <c r="Q81" i="119"/>
  <c r="Q80" i="119"/>
  <c r="U80" i="119" s="1"/>
  <c r="Q79" i="119"/>
  <c r="Q78" i="119"/>
  <c r="U78" i="119" s="1"/>
  <c r="Q77" i="119"/>
  <c r="U77" i="119" s="1"/>
  <c r="Q76" i="119"/>
  <c r="U76" i="119" s="1"/>
  <c r="Q75" i="119"/>
  <c r="U75" i="119" s="1"/>
  <c r="Q74" i="119"/>
  <c r="U74" i="119" s="1"/>
  <c r="Q73" i="119"/>
  <c r="Q72" i="119"/>
  <c r="U72" i="119" s="1"/>
  <c r="Q71" i="119"/>
  <c r="Q70" i="119"/>
  <c r="U70" i="119" s="1"/>
  <c r="Q69" i="119"/>
  <c r="Q68" i="119"/>
  <c r="U68" i="119" s="1"/>
  <c r="Q67" i="119"/>
  <c r="Q66" i="119"/>
  <c r="U66" i="119" s="1"/>
  <c r="Q65" i="119"/>
  <c r="Q64" i="119"/>
  <c r="Q63" i="119"/>
  <c r="U63" i="119" s="1"/>
  <c r="Q62" i="119"/>
  <c r="Q61" i="119"/>
  <c r="Q60" i="119"/>
  <c r="Q59" i="119"/>
  <c r="Q58" i="119"/>
  <c r="U58" i="119" s="1"/>
  <c r="Q57" i="119"/>
  <c r="Q56" i="119"/>
  <c r="U56" i="119" s="1"/>
  <c r="Q55" i="119"/>
  <c r="Q53" i="119"/>
  <c r="Q52" i="119"/>
  <c r="U52" i="119" s="1"/>
  <c r="Q51" i="119"/>
  <c r="Q50" i="119"/>
  <c r="Q49" i="119"/>
  <c r="U49" i="119" s="1"/>
  <c r="Q48" i="119"/>
  <c r="U48" i="119" s="1"/>
  <c r="Q47" i="119"/>
  <c r="U47" i="119" s="1"/>
  <c r="U46" i="119"/>
  <c r="Q46" i="119"/>
  <c r="U45" i="119"/>
  <c r="Q45" i="119"/>
  <c r="U44" i="119"/>
  <c r="Q44" i="119"/>
  <c r="U43" i="119"/>
  <c r="Q43" i="119"/>
  <c r="U42" i="119"/>
  <c r="Q42" i="119"/>
  <c r="U41" i="119"/>
  <c r="Q41" i="119"/>
  <c r="U40" i="119"/>
  <c r="Q40" i="119"/>
  <c r="U39" i="119"/>
  <c r="Q39" i="119"/>
  <c r="Q33" i="119"/>
  <c r="U33" i="119" s="1"/>
  <c r="Q26" i="119"/>
  <c r="P25" i="119"/>
  <c r="P32" i="119" s="1"/>
  <c r="O25" i="119"/>
  <c r="O32" i="119" s="1"/>
  <c r="N25" i="119"/>
  <c r="M25" i="119"/>
  <c r="L25" i="119"/>
  <c r="K25" i="119"/>
  <c r="K32" i="119" s="1"/>
  <c r="J25" i="119"/>
  <c r="I25" i="119"/>
  <c r="H25" i="119"/>
  <c r="H32" i="119" s="1"/>
  <c r="G25" i="119"/>
  <c r="G32" i="119" s="1"/>
  <c r="F25" i="119"/>
  <c r="F32" i="119" s="1"/>
  <c r="E25" i="119"/>
  <c r="Q24" i="119"/>
  <c r="Q23" i="119"/>
  <c r="U23" i="119" s="1"/>
  <c r="Q22" i="119"/>
  <c r="U22" i="119" s="1"/>
  <c r="Q21" i="119"/>
  <c r="U21" i="119" s="1"/>
  <c r="U20" i="119"/>
  <c r="Q20" i="119"/>
  <c r="P17" i="119"/>
  <c r="O17" i="119"/>
  <c r="N17" i="119"/>
  <c r="N12" i="108" s="1"/>
  <c r="M17" i="119"/>
  <c r="L17" i="119"/>
  <c r="K17" i="119"/>
  <c r="J17" i="119"/>
  <c r="J12" i="108" s="1"/>
  <c r="I17" i="119"/>
  <c r="I31" i="119" s="1"/>
  <c r="H17" i="119"/>
  <c r="G17" i="119"/>
  <c r="G12" i="108" s="1"/>
  <c r="F17" i="119"/>
  <c r="F12" i="108" s="1"/>
  <c r="E17" i="119"/>
  <c r="E31" i="119" s="1"/>
  <c r="Q16" i="119"/>
  <c r="Q15" i="119"/>
  <c r="U15" i="119" s="1"/>
  <c r="Q14" i="119"/>
  <c r="U14" i="119" s="1"/>
  <c r="Q13" i="119"/>
  <c r="U13" i="119" s="1"/>
  <c r="Q12" i="119"/>
  <c r="D7" i="119"/>
  <c r="D5" i="119"/>
  <c r="D4" i="119"/>
  <c r="U205" i="108"/>
  <c r="U203" i="108"/>
  <c r="U202" i="108"/>
  <c r="U201" i="108"/>
  <c r="U200" i="108"/>
  <c r="U199" i="108"/>
  <c r="U198" i="108"/>
  <c r="P198" i="108"/>
  <c r="O198" i="108"/>
  <c r="N198" i="108"/>
  <c r="M198" i="108"/>
  <c r="L198" i="108"/>
  <c r="K198" i="108"/>
  <c r="J198" i="108"/>
  <c r="I198" i="108"/>
  <c r="H198" i="108"/>
  <c r="G198" i="108"/>
  <c r="F198" i="108"/>
  <c r="E198" i="108"/>
  <c r="U197" i="108"/>
  <c r="P197" i="108"/>
  <c r="O197" i="108"/>
  <c r="N197" i="108"/>
  <c r="M197" i="108"/>
  <c r="L197" i="108"/>
  <c r="K197" i="108"/>
  <c r="J197" i="108"/>
  <c r="I197" i="108"/>
  <c r="H197" i="108"/>
  <c r="G197" i="108"/>
  <c r="F197" i="108"/>
  <c r="E197" i="108"/>
  <c r="U196" i="108"/>
  <c r="P196" i="108"/>
  <c r="O196" i="108"/>
  <c r="N196" i="108"/>
  <c r="M196" i="108"/>
  <c r="L196" i="108"/>
  <c r="K196" i="108"/>
  <c r="J196" i="108"/>
  <c r="I196" i="108"/>
  <c r="H196" i="108"/>
  <c r="G196" i="108"/>
  <c r="F196" i="108"/>
  <c r="E196" i="108"/>
  <c r="U195" i="108"/>
  <c r="P195" i="108"/>
  <c r="O195" i="108"/>
  <c r="N195" i="108"/>
  <c r="M195" i="108"/>
  <c r="L195" i="108"/>
  <c r="K195" i="108"/>
  <c r="J195" i="108"/>
  <c r="I195" i="108"/>
  <c r="H195" i="108"/>
  <c r="G195" i="108"/>
  <c r="F195" i="108"/>
  <c r="E195" i="108"/>
  <c r="P192" i="108"/>
  <c r="O192" i="108"/>
  <c r="N192" i="108"/>
  <c r="M192" i="108"/>
  <c r="L192" i="108"/>
  <c r="J192" i="108"/>
  <c r="I192" i="108"/>
  <c r="H192" i="108"/>
  <c r="G192" i="108"/>
  <c r="F192" i="108"/>
  <c r="P162" i="108"/>
  <c r="O162" i="108"/>
  <c r="N162" i="108"/>
  <c r="M162" i="108"/>
  <c r="L162" i="108"/>
  <c r="K162" i="108"/>
  <c r="J162" i="108"/>
  <c r="I162" i="108"/>
  <c r="H162" i="108"/>
  <c r="G162" i="108"/>
  <c r="F162" i="108"/>
  <c r="E162" i="108"/>
  <c r="P161" i="108"/>
  <c r="O161" i="108"/>
  <c r="N161" i="108"/>
  <c r="M161" i="108"/>
  <c r="L161" i="108"/>
  <c r="K161" i="108"/>
  <c r="J161" i="108"/>
  <c r="I161" i="108"/>
  <c r="H161" i="108"/>
  <c r="G161" i="108"/>
  <c r="F161" i="108"/>
  <c r="E161" i="108"/>
  <c r="P160" i="108"/>
  <c r="O160" i="108"/>
  <c r="N160" i="108"/>
  <c r="M160" i="108"/>
  <c r="L160" i="108"/>
  <c r="K160" i="108"/>
  <c r="J160" i="108"/>
  <c r="I160" i="108"/>
  <c r="H160" i="108"/>
  <c r="G160" i="108"/>
  <c r="F160" i="108"/>
  <c r="E160" i="108"/>
  <c r="P159" i="108"/>
  <c r="O159" i="108"/>
  <c r="N159" i="108"/>
  <c r="M159" i="108"/>
  <c r="L159" i="108"/>
  <c r="K159" i="108"/>
  <c r="J159" i="108"/>
  <c r="I159" i="108"/>
  <c r="H159" i="108"/>
  <c r="G159" i="108"/>
  <c r="F159" i="108"/>
  <c r="E159" i="108"/>
  <c r="P158" i="108"/>
  <c r="O158" i="108"/>
  <c r="N158" i="108"/>
  <c r="M158" i="108"/>
  <c r="L158" i="108"/>
  <c r="K158" i="108"/>
  <c r="J158" i="108"/>
  <c r="I158" i="108"/>
  <c r="H158" i="108"/>
  <c r="G158" i="108"/>
  <c r="F158" i="108"/>
  <c r="E158" i="108"/>
  <c r="P157" i="108"/>
  <c r="O157" i="108"/>
  <c r="N157" i="108"/>
  <c r="M157" i="108"/>
  <c r="L157" i="108"/>
  <c r="K157" i="108"/>
  <c r="J157" i="108"/>
  <c r="I157" i="108"/>
  <c r="H157" i="108"/>
  <c r="G157" i="108"/>
  <c r="F157" i="108"/>
  <c r="E157" i="108"/>
  <c r="P156" i="108"/>
  <c r="O156" i="108"/>
  <c r="N156" i="108"/>
  <c r="M156" i="108"/>
  <c r="L156" i="108"/>
  <c r="K156" i="108"/>
  <c r="J156" i="108"/>
  <c r="I156" i="108"/>
  <c r="H156" i="108"/>
  <c r="G156" i="108"/>
  <c r="F156" i="108"/>
  <c r="E156" i="108"/>
  <c r="H147" i="108"/>
  <c r="Q145" i="108"/>
  <c r="V145" i="108" s="1"/>
  <c r="Q144" i="108"/>
  <c r="Q143" i="108"/>
  <c r="Q142" i="108"/>
  <c r="Q141" i="108"/>
  <c r="V141" i="108" s="1"/>
  <c r="Q140" i="108"/>
  <c r="Q139" i="108"/>
  <c r="V139" i="108" s="1"/>
  <c r="P128" i="108"/>
  <c r="O128" i="108"/>
  <c r="N128" i="108"/>
  <c r="M128" i="108"/>
  <c r="L128" i="108"/>
  <c r="K128" i="108"/>
  <c r="J128" i="108"/>
  <c r="I128" i="108"/>
  <c r="H128" i="108"/>
  <c r="G128" i="108"/>
  <c r="F128" i="108"/>
  <c r="E128" i="108"/>
  <c r="P127" i="108"/>
  <c r="O127" i="108"/>
  <c r="N127" i="108"/>
  <c r="M127" i="108"/>
  <c r="L127" i="108"/>
  <c r="K127" i="108"/>
  <c r="J127" i="108"/>
  <c r="I127" i="108"/>
  <c r="H127" i="108"/>
  <c r="G127" i="108"/>
  <c r="F127" i="108"/>
  <c r="E127" i="108"/>
  <c r="P126" i="108"/>
  <c r="O126" i="108"/>
  <c r="N126" i="108"/>
  <c r="M126" i="108"/>
  <c r="L126" i="108"/>
  <c r="K126" i="108"/>
  <c r="J126" i="108"/>
  <c r="I126" i="108"/>
  <c r="H126" i="108"/>
  <c r="G126" i="108"/>
  <c r="F126" i="108"/>
  <c r="E126" i="108"/>
  <c r="P125" i="108"/>
  <c r="O125" i="108"/>
  <c r="N125" i="108"/>
  <c r="M125" i="108"/>
  <c r="L125" i="108"/>
  <c r="K125" i="108"/>
  <c r="J125" i="108"/>
  <c r="I125" i="108"/>
  <c r="H125" i="108"/>
  <c r="G125" i="108"/>
  <c r="F125" i="108"/>
  <c r="E125" i="108"/>
  <c r="P124" i="108"/>
  <c r="O124" i="108"/>
  <c r="N124" i="108"/>
  <c r="M124" i="108"/>
  <c r="L124" i="108"/>
  <c r="K124" i="108"/>
  <c r="J124" i="108"/>
  <c r="I124" i="108"/>
  <c r="H124" i="108"/>
  <c r="G124" i="108"/>
  <c r="F124" i="108"/>
  <c r="E124" i="108"/>
  <c r="P123" i="108"/>
  <c r="O123" i="108"/>
  <c r="N123" i="108"/>
  <c r="M123" i="108"/>
  <c r="L123" i="108"/>
  <c r="K123" i="108"/>
  <c r="J123" i="108"/>
  <c r="I123" i="108"/>
  <c r="H123" i="108"/>
  <c r="G123" i="108"/>
  <c r="F123" i="108"/>
  <c r="E123" i="108"/>
  <c r="P122" i="108"/>
  <c r="O122" i="108"/>
  <c r="N122" i="108"/>
  <c r="M122" i="108"/>
  <c r="L122" i="108"/>
  <c r="K122" i="108"/>
  <c r="J122" i="108"/>
  <c r="I122" i="108"/>
  <c r="H122" i="108"/>
  <c r="G122" i="108"/>
  <c r="F122" i="108"/>
  <c r="E122" i="108"/>
  <c r="P121" i="108"/>
  <c r="O121" i="108"/>
  <c r="N121" i="108"/>
  <c r="M121" i="108"/>
  <c r="L121" i="108"/>
  <c r="K121" i="108"/>
  <c r="J121" i="108"/>
  <c r="I121" i="108"/>
  <c r="H121" i="108"/>
  <c r="G121" i="108"/>
  <c r="F121" i="108"/>
  <c r="E121" i="108"/>
  <c r="P120" i="108"/>
  <c r="O120" i="108"/>
  <c r="N120" i="108"/>
  <c r="M120" i="108"/>
  <c r="L120" i="108"/>
  <c r="K120" i="108"/>
  <c r="J120" i="108"/>
  <c r="I120" i="108"/>
  <c r="H120" i="108"/>
  <c r="G120" i="108"/>
  <c r="F120" i="108"/>
  <c r="E120" i="108"/>
  <c r="P119" i="108"/>
  <c r="O119" i="108"/>
  <c r="N119" i="108"/>
  <c r="M119" i="108"/>
  <c r="L119" i="108"/>
  <c r="K119" i="108"/>
  <c r="J119" i="108"/>
  <c r="I119" i="108"/>
  <c r="H119" i="108"/>
  <c r="G119" i="108"/>
  <c r="F119" i="108"/>
  <c r="E119" i="108"/>
  <c r="P117" i="108"/>
  <c r="O117" i="108"/>
  <c r="N117" i="108"/>
  <c r="M117" i="108"/>
  <c r="L117" i="108"/>
  <c r="K117" i="108"/>
  <c r="J117" i="108"/>
  <c r="I117" i="108"/>
  <c r="H117" i="108"/>
  <c r="G117" i="108"/>
  <c r="F117" i="108"/>
  <c r="E117" i="108"/>
  <c r="P116" i="108"/>
  <c r="O116" i="108"/>
  <c r="N116" i="108"/>
  <c r="M116" i="108"/>
  <c r="L116" i="108"/>
  <c r="K116" i="108"/>
  <c r="J116" i="108"/>
  <c r="I116" i="108"/>
  <c r="H116" i="108"/>
  <c r="G116" i="108"/>
  <c r="F116" i="108"/>
  <c r="E116" i="108"/>
  <c r="P115" i="108"/>
  <c r="O115" i="108"/>
  <c r="N115" i="108"/>
  <c r="M115" i="108"/>
  <c r="L115" i="108"/>
  <c r="K115" i="108"/>
  <c r="J115" i="108"/>
  <c r="I115" i="108"/>
  <c r="H115" i="108"/>
  <c r="G115" i="108"/>
  <c r="F115" i="108"/>
  <c r="E115" i="108"/>
  <c r="P114" i="108"/>
  <c r="O114" i="108"/>
  <c r="N114" i="108"/>
  <c r="M114" i="108"/>
  <c r="L114" i="108"/>
  <c r="K114" i="108"/>
  <c r="J114" i="108"/>
  <c r="I114" i="108"/>
  <c r="H114" i="108"/>
  <c r="G114" i="108"/>
  <c r="F114" i="108"/>
  <c r="E114" i="108"/>
  <c r="P113" i="108"/>
  <c r="O113" i="108"/>
  <c r="N113" i="108"/>
  <c r="M113" i="108"/>
  <c r="L113" i="108"/>
  <c r="K113" i="108"/>
  <c r="J113" i="108"/>
  <c r="I113" i="108"/>
  <c r="H113" i="108"/>
  <c r="G113" i="108"/>
  <c r="F113" i="108"/>
  <c r="E113" i="108"/>
  <c r="P112" i="108"/>
  <c r="O112" i="108"/>
  <c r="N112" i="108"/>
  <c r="M112" i="108"/>
  <c r="L112" i="108"/>
  <c r="K112" i="108"/>
  <c r="J112" i="108"/>
  <c r="I112" i="108"/>
  <c r="H112" i="108"/>
  <c r="G112" i="108"/>
  <c r="F112" i="108"/>
  <c r="E112" i="108"/>
  <c r="P111" i="108"/>
  <c r="O111" i="108"/>
  <c r="N111" i="108"/>
  <c r="M111" i="108"/>
  <c r="L111" i="108"/>
  <c r="K111" i="108"/>
  <c r="J111" i="108"/>
  <c r="I111" i="108"/>
  <c r="H111" i="108"/>
  <c r="G111" i="108"/>
  <c r="F111" i="108"/>
  <c r="E111" i="108"/>
  <c r="P110" i="108"/>
  <c r="O110" i="108"/>
  <c r="N110" i="108"/>
  <c r="M110" i="108"/>
  <c r="L110" i="108"/>
  <c r="K110" i="108"/>
  <c r="J110" i="108"/>
  <c r="I110" i="108"/>
  <c r="H110" i="108"/>
  <c r="G110" i="108"/>
  <c r="F110" i="108"/>
  <c r="E110" i="108"/>
  <c r="P109" i="108"/>
  <c r="O109" i="108"/>
  <c r="N109" i="108"/>
  <c r="M109" i="108"/>
  <c r="L109" i="108"/>
  <c r="K109" i="108"/>
  <c r="J109" i="108"/>
  <c r="I109" i="108"/>
  <c r="H109" i="108"/>
  <c r="G109" i="108"/>
  <c r="F109" i="108"/>
  <c r="E109" i="108"/>
  <c r="P108" i="108"/>
  <c r="O108" i="108"/>
  <c r="N108" i="108"/>
  <c r="M108" i="108"/>
  <c r="L108" i="108"/>
  <c r="K108" i="108"/>
  <c r="J108" i="108"/>
  <c r="I108" i="108"/>
  <c r="H108" i="108"/>
  <c r="G108" i="108"/>
  <c r="F108" i="108"/>
  <c r="E108" i="108"/>
  <c r="P107" i="108"/>
  <c r="O107" i="108"/>
  <c r="N107" i="108"/>
  <c r="M107" i="108"/>
  <c r="L107" i="108"/>
  <c r="K107" i="108"/>
  <c r="J107" i="108"/>
  <c r="I107" i="108"/>
  <c r="H107" i="108"/>
  <c r="G107" i="108"/>
  <c r="F107" i="108"/>
  <c r="E107" i="108"/>
  <c r="P106" i="108"/>
  <c r="O106" i="108"/>
  <c r="N106" i="108"/>
  <c r="M106" i="108"/>
  <c r="L106" i="108"/>
  <c r="K106" i="108"/>
  <c r="J106" i="108"/>
  <c r="I106" i="108"/>
  <c r="H106" i="108"/>
  <c r="G106" i="108"/>
  <c r="F106" i="108"/>
  <c r="E106" i="108"/>
  <c r="P105" i="108"/>
  <c r="O105" i="108"/>
  <c r="N105" i="108"/>
  <c r="M105" i="108"/>
  <c r="L105" i="108"/>
  <c r="K105" i="108"/>
  <c r="J105" i="108"/>
  <c r="I105" i="108"/>
  <c r="H105" i="108"/>
  <c r="G105" i="108"/>
  <c r="F105" i="108"/>
  <c r="E105" i="108"/>
  <c r="P104" i="108"/>
  <c r="O104" i="108"/>
  <c r="N104" i="108"/>
  <c r="M104" i="108"/>
  <c r="L104" i="108"/>
  <c r="K104" i="108"/>
  <c r="J104" i="108"/>
  <c r="I104" i="108"/>
  <c r="H104" i="108"/>
  <c r="G104" i="108"/>
  <c r="F104" i="108"/>
  <c r="E104" i="108"/>
  <c r="P103" i="108"/>
  <c r="O103" i="108"/>
  <c r="N103" i="108"/>
  <c r="M103" i="108"/>
  <c r="L103" i="108"/>
  <c r="K103" i="108"/>
  <c r="J103" i="108"/>
  <c r="I103" i="108"/>
  <c r="H103" i="108"/>
  <c r="G103" i="108"/>
  <c r="F103" i="108"/>
  <c r="E103" i="108"/>
  <c r="P102" i="108"/>
  <c r="O102" i="108"/>
  <c r="N102" i="108"/>
  <c r="M102" i="108"/>
  <c r="L102" i="108"/>
  <c r="K102" i="108"/>
  <c r="J102" i="108"/>
  <c r="I102" i="108"/>
  <c r="H102" i="108"/>
  <c r="G102" i="108"/>
  <c r="F102" i="108"/>
  <c r="E102" i="108"/>
  <c r="P101" i="108"/>
  <c r="O101" i="108"/>
  <c r="N101" i="108"/>
  <c r="M101" i="108"/>
  <c r="L101" i="108"/>
  <c r="K101" i="108"/>
  <c r="J101" i="108"/>
  <c r="I101" i="108"/>
  <c r="H101" i="108"/>
  <c r="G101" i="108"/>
  <c r="F101" i="108"/>
  <c r="E101" i="108"/>
  <c r="P98" i="108"/>
  <c r="O98" i="108"/>
  <c r="N98" i="108"/>
  <c r="M98" i="108"/>
  <c r="L98" i="108"/>
  <c r="K98" i="108"/>
  <c r="J98" i="108"/>
  <c r="I98" i="108"/>
  <c r="H98" i="108"/>
  <c r="G98" i="108"/>
  <c r="F98" i="108"/>
  <c r="E98" i="108"/>
  <c r="P97" i="108"/>
  <c r="O97" i="108"/>
  <c r="N97" i="108"/>
  <c r="M97" i="108"/>
  <c r="L97" i="108"/>
  <c r="K97" i="108"/>
  <c r="J97" i="108"/>
  <c r="I97" i="108"/>
  <c r="H97" i="108"/>
  <c r="G97" i="108"/>
  <c r="F97" i="108"/>
  <c r="E97" i="108"/>
  <c r="P96" i="108"/>
  <c r="O96" i="108"/>
  <c r="N96" i="108"/>
  <c r="M96" i="108"/>
  <c r="L96" i="108"/>
  <c r="K96" i="108"/>
  <c r="J96" i="108"/>
  <c r="I96" i="108"/>
  <c r="H96" i="108"/>
  <c r="G96" i="108"/>
  <c r="F96" i="108"/>
  <c r="E96" i="108"/>
  <c r="P95" i="108"/>
  <c r="O95" i="108"/>
  <c r="N95" i="108"/>
  <c r="M95" i="108"/>
  <c r="L95" i="108"/>
  <c r="K95" i="108"/>
  <c r="J95" i="108"/>
  <c r="I95" i="108"/>
  <c r="H95" i="108"/>
  <c r="G95" i="108"/>
  <c r="F95" i="108"/>
  <c r="E95" i="108"/>
  <c r="P94" i="108"/>
  <c r="O94" i="108"/>
  <c r="N94" i="108"/>
  <c r="M94" i="108"/>
  <c r="L94" i="108"/>
  <c r="K94" i="108"/>
  <c r="J94" i="108"/>
  <c r="I94" i="108"/>
  <c r="H94" i="108"/>
  <c r="G94" i="108"/>
  <c r="F94" i="108"/>
  <c r="E94" i="108"/>
  <c r="P93" i="108"/>
  <c r="O93" i="108"/>
  <c r="N93" i="108"/>
  <c r="M93" i="108"/>
  <c r="L93" i="108"/>
  <c r="K93" i="108"/>
  <c r="J93" i="108"/>
  <c r="I93" i="108"/>
  <c r="H93" i="108"/>
  <c r="G93" i="108"/>
  <c r="F93" i="108"/>
  <c r="E93" i="108"/>
  <c r="P92" i="108"/>
  <c r="O92" i="108"/>
  <c r="N92" i="108"/>
  <c r="M92" i="108"/>
  <c r="L92" i="108"/>
  <c r="K92" i="108"/>
  <c r="J92" i="108"/>
  <c r="I92" i="108"/>
  <c r="H92" i="108"/>
  <c r="G92" i="108"/>
  <c r="F92" i="108"/>
  <c r="E92" i="108"/>
  <c r="P91" i="108"/>
  <c r="O91" i="108"/>
  <c r="N91" i="108"/>
  <c r="M91" i="108"/>
  <c r="L91" i="108"/>
  <c r="K91" i="108"/>
  <c r="J91" i="108"/>
  <c r="I91" i="108"/>
  <c r="H91" i="108"/>
  <c r="G91" i="108"/>
  <c r="F91" i="108"/>
  <c r="E91" i="108"/>
  <c r="O90" i="108"/>
  <c r="J90" i="108"/>
  <c r="G90" i="108"/>
  <c r="P88" i="108"/>
  <c r="O88" i="108"/>
  <c r="N88" i="108"/>
  <c r="M88" i="108"/>
  <c r="L88" i="108"/>
  <c r="K88" i="108"/>
  <c r="J88" i="108"/>
  <c r="I88" i="108"/>
  <c r="H88" i="108"/>
  <c r="G88" i="108"/>
  <c r="F88" i="108"/>
  <c r="E88" i="108"/>
  <c r="P82" i="108"/>
  <c r="O82" i="108"/>
  <c r="N82" i="108"/>
  <c r="M82" i="108"/>
  <c r="L82" i="108"/>
  <c r="K82" i="108"/>
  <c r="J82" i="108"/>
  <c r="I82" i="108"/>
  <c r="H82" i="108"/>
  <c r="G82" i="108"/>
  <c r="F82" i="108"/>
  <c r="E82" i="108"/>
  <c r="P80" i="108"/>
  <c r="O80" i="108"/>
  <c r="N80" i="108"/>
  <c r="M80" i="108"/>
  <c r="L80" i="108"/>
  <c r="K80" i="108"/>
  <c r="J80" i="108"/>
  <c r="I80" i="108"/>
  <c r="H80" i="108"/>
  <c r="G80" i="108"/>
  <c r="F80" i="108"/>
  <c r="E80" i="108"/>
  <c r="P79" i="108"/>
  <c r="O79" i="108"/>
  <c r="N79" i="108"/>
  <c r="M79" i="108"/>
  <c r="L79" i="108"/>
  <c r="K79" i="108"/>
  <c r="J79" i="108"/>
  <c r="I79" i="108"/>
  <c r="H79" i="108"/>
  <c r="G79" i="108"/>
  <c r="F79" i="108"/>
  <c r="E79" i="108"/>
  <c r="P78" i="108"/>
  <c r="O78" i="108"/>
  <c r="N78" i="108"/>
  <c r="M78" i="108"/>
  <c r="L78" i="108"/>
  <c r="K78" i="108"/>
  <c r="J78" i="108"/>
  <c r="I78" i="108"/>
  <c r="H78" i="108"/>
  <c r="G78" i="108"/>
  <c r="F78" i="108"/>
  <c r="E78" i="108"/>
  <c r="P76" i="108"/>
  <c r="O76" i="108"/>
  <c r="N76" i="108"/>
  <c r="M76" i="108"/>
  <c r="L76" i="108"/>
  <c r="K76" i="108"/>
  <c r="J76" i="108"/>
  <c r="I76" i="108"/>
  <c r="H76" i="108"/>
  <c r="G76" i="108"/>
  <c r="F76" i="108"/>
  <c r="E76" i="108"/>
  <c r="P75" i="108"/>
  <c r="O75" i="108"/>
  <c r="N75" i="108"/>
  <c r="M75" i="108"/>
  <c r="L75" i="108"/>
  <c r="K75" i="108"/>
  <c r="J75" i="108"/>
  <c r="I75" i="108"/>
  <c r="H75" i="108"/>
  <c r="G75" i="108"/>
  <c r="F75" i="108"/>
  <c r="E75" i="108"/>
  <c r="P74" i="108"/>
  <c r="O74" i="108"/>
  <c r="N74" i="108"/>
  <c r="M74" i="108"/>
  <c r="L74" i="108"/>
  <c r="K74" i="108"/>
  <c r="J74" i="108"/>
  <c r="I74" i="108"/>
  <c r="H74" i="108"/>
  <c r="G74" i="108"/>
  <c r="F74" i="108"/>
  <c r="E74" i="108"/>
  <c r="P73" i="108"/>
  <c r="O73" i="108"/>
  <c r="N73" i="108"/>
  <c r="M73" i="108"/>
  <c r="L73" i="108"/>
  <c r="K73" i="108"/>
  <c r="J73" i="108"/>
  <c r="I73" i="108"/>
  <c r="H73" i="108"/>
  <c r="G73" i="108"/>
  <c r="F73" i="108"/>
  <c r="E73" i="108"/>
  <c r="P72" i="108"/>
  <c r="O72" i="108"/>
  <c r="N72" i="108"/>
  <c r="M72" i="108"/>
  <c r="L72" i="108"/>
  <c r="K72" i="108"/>
  <c r="J72" i="108"/>
  <c r="I72" i="108"/>
  <c r="H72" i="108"/>
  <c r="G72" i="108"/>
  <c r="F72" i="108"/>
  <c r="E72" i="108"/>
  <c r="P71" i="108"/>
  <c r="O71" i="108"/>
  <c r="N71" i="108"/>
  <c r="M71" i="108"/>
  <c r="L71" i="108"/>
  <c r="K71" i="108"/>
  <c r="J71" i="108"/>
  <c r="I71" i="108"/>
  <c r="H71" i="108"/>
  <c r="G71" i="108"/>
  <c r="F71" i="108"/>
  <c r="E71" i="108"/>
  <c r="P68" i="108"/>
  <c r="O68" i="108"/>
  <c r="N68" i="108"/>
  <c r="M68" i="108"/>
  <c r="L68" i="108"/>
  <c r="K68" i="108"/>
  <c r="J68" i="108"/>
  <c r="I68" i="108"/>
  <c r="H68" i="108"/>
  <c r="G68" i="108"/>
  <c r="F68" i="108"/>
  <c r="E68" i="108"/>
  <c r="P67" i="108"/>
  <c r="O67" i="108"/>
  <c r="N67" i="108"/>
  <c r="M67" i="108"/>
  <c r="L67" i="108"/>
  <c r="K67" i="108"/>
  <c r="J67" i="108"/>
  <c r="I67" i="108"/>
  <c r="H67" i="108"/>
  <c r="G67" i="108"/>
  <c r="F67" i="108"/>
  <c r="E67" i="108"/>
  <c r="P66" i="108"/>
  <c r="O66" i="108"/>
  <c r="N66" i="108"/>
  <c r="M66" i="108"/>
  <c r="L66" i="108"/>
  <c r="K66" i="108"/>
  <c r="J66" i="108"/>
  <c r="I66" i="108"/>
  <c r="H66" i="108"/>
  <c r="G66" i="108"/>
  <c r="F66" i="108"/>
  <c r="E66" i="108"/>
  <c r="P64" i="108"/>
  <c r="O64" i="108"/>
  <c r="N64" i="108"/>
  <c r="M64" i="108"/>
  <c r="L64" i="108"/>
  <c r="K64" i="108"/>
  <c r="J64" i="108"/>
  <c r="I64" i="108"/>
  <c r="H64" i="108"/>
  <c r="G64" i="108"/>
  <c r="F64" i="108"/>
  <c r="E64" i="108"/>
  <c r="P63" i="108"/>
  <c r="O63" i="108"/>
  <c r="N63" i="108"/>
  <c r="M63" i="108"/>
  <c r="L63" i="108"/>
  <c r="K63" i="108"/>
  <c r="J63" i="108"/>
  <c r="I63" i="108"/>
  <c r="H63" i="108"/>
  <c r="G63" i="108"/>
  <c r="F63" i="108"/>
  <c r="E63" i="108"/>
  <c r="P56" i="108"/>
  <c r="O56" i="108"/>
  <c r="N56" i="108"/>
  <c r="M56" i="108"/>
  <c r="L56" i="108"/>
  <c r="K56" i="108"/>
  <c r="J56" i="108"/>
  <c r="I56" i="108"/>
  <c r="H56" i="108"/>
  <c r="G56" i="108"/>
  <c r="F56" i="108"/>
  <c r="E56" i="108"/>
  <c r="P48" i="108"/>
  <c r="O48" i="108"/>
  <c r="N48" i="108"/>
  <c r="M48" i="108"/>
  <c r="L48" i="108"/>
  <c r="K48" i="108"/>
  <c r="J48" i="108"/>
  <c r="I48" i="108"/>
  <c r="H48" i="108"/>
  <c r="G48" i="108"/>
  <c r="F48" i="108"/>
  <c r="E48" i="108"/>
  <c r="M47" i="108"/>
  <c r="G47" i="108"/>
  <c r="P46" i="108"/>
  <c r="O46" i="108"/>
  <c r="N46" i="108"/>
  <c r="M46" i="108"/>
  <c r="L46" i="108"/>
  <c r="K46" i="108"/>
  <c r="J46" i="108"/>
  <c r="I46" i="108"/>
  <c r="H46" i="108"/>
  <c r="G46" i="108"/>
  <c r="F46" i="108"/>
  <c r="E46" i="108"/>
  <c r="G44" i="108"/>
  <c r="I43" i="108"/>
  <c r="Q42" i="108"/>
  <c r="V42" i="108" s="1"/>
  <c r="Q41" i="108"/>
  <c r="V41" i="108" s="1"/>
  <c r="Q40" i="108"/>
  <c r="V40" i="108" s="1"/>
  <c r="Q39" i="108"/>
  <c r="V39" i="108" s="1"/>
  <c r="Q38" i="108"/>
  <c r="V38" i="108" s="1"/>
  <c r="Q37" i="108"/>
  <c r="V37" i="108" s="1"/>
  <c r="Q36" i="108"/>
  <c r="V36" i="108" s="1"/>
  <c r="Q35" i="108"/>
  <c r="V35" i="108" s="1"/>
  <c r="K34" i="108"/>
  <c r="O33" i="108"/>
  <c r="P25" i="108"/>
  <c r="N25" i="108"/>
  <c r="K25" i="108"/>
  <c r="H25" i="108"/>
  <c r="Q24" i="108"/>
  <c r="V24" i="108" s="1"/>
  <c r="Q23" i="108"/>
  <c r="V23" i="108" s="1"/>
  <c r="Q22" i="108"/>
  <c r="V22" i="108" s="1"/>
  <c r="Q21" i="108"/>
  <c r="V21" i="108" s="1"/>
  <c r="Q20" i="108"/>
  <c r="V20" i="108" s="1"/>
  <c r="Q19" i="108"/>
  <c r="V19" i="108" s="1"/>
  <c r="Q18" i="108"/>
  <c r="V18" i="108" s="1"/>
  <c r="Q17" i="108"/>
  <c r="V17" i="108" s="1"/>
  <c r="L16" i="108"/>
  <c r="M15" i="108"/>
  <c r="O14" i="108"/>
  <c r="D5" i="108"/>
  <c r="D4" i="108"/>
  <c r="Q118" i="144"/>
  <c r="P114" i="144"/>
  <c r="O114" i="144"/>
  <c r="N114" i="144"/>
  <c r="M114" i="144"/>
  <c r="L114" i="144"/>
  <c r="K114" i="144"/>
  <c r="J114" i="144"/>
  <c r="I114" i="144"/>
  <c r="H114" i="144"/>
  <c r="G114" i="144"/>
  <c r="F114" i="144"/>
  <c r="E114" i="144"/>
  <c r="Q113" i="144"/>
  <c r="Q112" i="144"/>
  <c r="Q111" i="144"/>
  <c r="Q110" i="144"/>
  <c r="Q109" i="144"/>
  <c r="Q108" i="144"/>
  <c r="Q107" i="144"/>
  <c r="P105" i="144"/>
  <c r="O105" i="144"/>
  <c r="N105" i="144"/>
  <c r="M105" i="144"/>
  <c r="L105" i="144"/>
  <c r="K105" i="144"/>
  <c r="J105" i="144"/>
  <c r="I105" i="144"/>
  <c r="H105" i="144"/>
  <c r="G105" i="144"/>
  <c r="F105" i="144"/>
  <c r="E105" i="144"/>
  <c r="Q104" i="144"/>
  <c r="Q103" i="144"/>
  <c r="Q102" i="144"/>
  <c r="Q101" i="144"/>
  <c r="Q100" i="144"/>
  <c r="Q99" i="144"/>
  <c r="Q98" i="144"/>
  <c r="Q97" i="144"/>
  <c r="P95" i="144"/>
  <c r="O95" i="144"/>
  <c r="N95" i="144"/>
  <c r="M95" i="144"/>
  <c r="L95" i="144"/>
  <c r="K95" i="144"/>
  <c r="J95" i="144"/>
  <c r="I95" i="144"/>
  <c r="H95" i="144"/>
  <c r="G95" i="144"/>
  <c r="F95" i="144"/>
  <c r="E95" i="144"/>
  <c r="Q94" i="144"/>
  <c r="Q93" i="144"/>
  <c r="Q92" i="144"/>
  <c r="Q91" i="144"/>
  <c r="Q90" i="144"/>
  <c r="P88" i="144"/>
  <c r="O88" i="144"/>
  <c r="N88" i="144"/>
  <c r="M88" i="144"/>
  <c r="L88" i="144"/>
  <c r="K88" i="144"/>
  <c r="J88" i="144"/>
  <c r="I88" i="144"/>
  <c r="H88" i="144"/>
  <c r="G88" i="144"/>
  <c r="F88" i="144"/>
  <c r="F115" i="144" s="1"/>
  <c r="E88" i="144"/>
  <c r="Q87" i="144"/>
  <c r="Q86" i="144"/>
  <c r="P81" i="144"/>
  <c r="P82" i="144" s="1"/>
  <c r="O81" i="144"/>
  <c r="O82" i="144" s="1"/>
  <c r="N81" i="144"/>
  <c r="N82" i="144" s="1"/>
  <c r="M81" i="144"/>
  <c r="M82" i="144" s="1"/>
  <c r="L81" i="144"/>
  <c r="L82" i="144" s="1"/>
  <c r="K81" i="144"/>
  <c r="K82" i="144" s="1"/>
  <c r="J81" i="144"/>
  <c r="J82" i="144" s="1"/>
  <c r="I81" i="144"/>
  <c r="I82" i="144" s="1"/>
  <c r="H81" i="144"/>
  <c r="H82" i="144" s="1"/>
  <c r="G81" i="144"/>
  <c r="G82" i="144" s="1"/>
  <c r="F81" i="144"/>
  <c r="F82" i="144" s="1"/>
  <c r="E81" i="144"/>
  <c r="E82" i="144" s="1"/>
  <c r="Q80" i="144"/>
  <c r="Q79" i="144"/>
  <c r="Q78" i="144"/>
  <c r="Q77" i="144"/>
  <c r="Q76" i="144"/>
  <c r="Q75" i="144"/>
  <c r="Q74" i="144"/>
  <c r="Q73" i="144"/>
  <c r="Q72" i="144"/>
  <c r="Q71" i="144"/>
  <c r="Q70" i="144"/>
  <c r="Q69" i="144"/>
  <c r="Q68" i="144"/>
  <c r="Q67" i="144"/>
  <c r="Q66" i="144"/>
  <c r="Q65" i="144"/>
  <c r="Q64" i="144"/>
  <c r="Q63" i="144"/>
  <c r="Q62" i="144"/>
  <c r="Q61" i="144"/>
  <c r="Q60" i="144"/>
  <c r="Q59" i="144"/>
  <c r="Q58" i="144"/>
  <c r="Q57" i="144"/>
  <c r="Q56" i="144"/>
  <c r="Q55" i="144"/>
  <c r="Q54" i="144"/>
  <c r="Q53" i="144"/>
  <c r="Q52" i="144"/>
  <c r="Q51" i="144"/>
  <c r="Q50" i="144"/>
  <c r="Q49" i="144"/>
  <c r="Q48" i="144"/>
  <c r="Q47" i="144"/>
  <c r="Q46" i="144"/>
  <c r="Q45" i="144"/>
  <c r="Q44" i="144"/>
  <c r="Q43" i="144"/>
  <c r="Q42" i="144"/>
  <c r="Q41" i="144"/>
  <c r="Q40" i="144"/>
  <c r="Q39" i="144"/>
  <c r="Q38" i="144"/>
  <c r="Q37" i="144"/>
  <c r="Q36" i="144"/>
  <c r="Q35" i="144"/>
  <c r="Q34" i="144"/>
  <c r="Q33" i="144"/>
  <c r="Q32" i="144"/>
  <c r="Q31" i="144"/>
  <c r="Q30" i="144"/>
  <c r="Q29" i="144"/>
  <c r="Q28" i="144"/>
  <c r="Q27" i="144"/>
  <c r="Q26" i="144"/>
  <c r="Q25" i="144"/>
  <c r="Q24" i="144"/>
  <c r="Q23" i="144"/>
  <c r="Q22" i="144"/>
  <c r="Q21" i="144"/>
  <c r="Q20" i="144"/>
  <c r="Q19" i="144"/>
  <c r="Q18" i="144"/>
  <c r="Q17" i="144"/>
  <c r="Q16" i="144"/>
  <c r="Q15" i="144"/>
  <c r="Q14" i="144"/>
  <c r="Q11" i="144"/>
  <c r="D7" i="144"/>
  <c r="D5" i="144"/>
  <c r="D4" i="144"/>
  <c r="P3" i="144"/>
  <c r="O3" i="144"/>
  <c r="N3" i="144"/>
  <c r="M3" i="144"/>
  <c r="L3" i="144"/>
  <c r="K3" i="144"/>
  <c r="J3" i="144"/>
  <c r="P118" i="131"/>
  <c r="O118" i="131"/>
  <c r="O159" i="132" s="1"/>
  <c r="N118" i="131"/>
  <c r="N159" i="132" s="1"/>
  <c r="M118" i="131"/>
  <c r="L118" i="131"/>
  <c r="K118" i="131"/>
  <c r="K159" i="132" s="1"/>
  <c r="J118" i="131"/>
  <c r="J159" i="132" s="1"/>
  <c r="I118" i="131"/>
  <c r="H118" i="131"/>
  <c r="G118" i="131"/>
  <c r="G159" i="132" s="1"/>
  <c r="F118" i="131"/>
  <c r="F159" i="132" s="1"/>
  <c r="E118" i="131"/>
  <c r="E159" i="132" s="1"/>
  <c r="P114" i="131"/>
  <c r="O114" i="131"/>
  <c r="N114" i="131"/>
  <c r="M114" i="131"/>
  <c r="L114" i="131"/>
  <c r="K114" i="131"/>
  <c r="J114" i="131"/>
  <c r="I114" i="131"/>
  <c r="H114" i="131"/>
  <c r="G114" i="131"/>
  <c r="F114" i="131"/>
  <c r="E114" i="131"/>
  <c r="Q113" i="131"/>
  <c r="Q112" i="131"/>
  <c r="Q111" i="131"/>
  <c r="T111" i="131" s="1"/>
  <c r="Q110" i="131"/>
  <c r="Q109" i="131"/>
  <c r="Q108" i="131"/>
  <c r="Q107" i="131"/>
  <c r="P105" i="131"/>
  <c r="O105" i="131"/>
  <c r="N105" i="131"/>
  <c r="M105" i="131"/>
  <c r="L105" i="131"/>
  <c r="K105" i="131"/>
  <c r="J105" i="131"/>
  <c r="I105" i="131"/>
  <c r="H105" i="131"/>
  <c r="G105" i="131"/>
  <c r="F105" i="131"/>
  <c r="E105" i="131"/>
  <c r="Q104" i="131"/>
  <c r="Q103" i="131"/>
  <c r="Q102" i="131"/>
  <c r="T102" i="131" s="1"/>
  <c r="Q101" i="131"/>
  <c r="T101" i="131" s="1"/>
  <c r="Q100" i="131"/>
  <c r="T100" i="131" s="1"/>
  <c r="Q99" i="131"/>
  <c r="Q98" i="131"/>
  <c r="T98" i="131" s="1"/>
  <c r="Q97" i="131"/>
  <c r="T97" i="131" s="1"/>
  <c r="P95" i="131"/>
  <c r="O95" i="131"/>
  <c r="O134" i="132" s="1"/>
  <c r="N95" i="131"/>
  <c r="M95" i="131"/>
  <c r="M134" i="132" s="1"/>
  <c r="L95" i="131"/>
  <c r="K95" i="131"/>
  <c r="K134" i="132" s="1"/>
  <c r="J95" i="131"/>
  <c r="I95" i="131"/>
  <c r="H95" i="131"/>
  <c r="H134" i="132" s="1"/>
  <c r="G95" i="131"/>
  <c r="G134" i="132" s="1"/>
  <c r="F95" i="131"/>
  <c r="E95" i="131"/>
  <c r="E134" i="132" s="1"/>
  <c r="Q94" i="131"/>
  <c r="T94" i="131" s="1"/>
  <c r="Q93" i="131"/>
  <c r="T93" i="131" s="1"/>
  <c r="Q92" i="131"/>
  <c r="T92" i="131" s="1"/>
  <c r="Q91" i="131"/>
  <c r="T91" i="131" s="1"/>
  <c r="Q90" i="131"/>
  <c r="T90" i="131" s="1"/>
  <c r="P88" i="131"/>
  <c r="O88" i="131"/>
  <c r="N88" i="131"/>
  <c r="M88" i="131"/>
  <c r="L88" i="131"/>
  <c r="K88" i="131"/>
  <c r="J88" i="131"/>
  <c r="I88" i="131"/>
  <c r="H88" i="131"/>
  <c r="G88" i="131"/>
  <c r="F88" i="131"/>
  <c r="E88" i="131"/>
  <c r="Q87" i="131"/>
  <c r="T87" i="131" s="1"/>
  <c r="Q86" i="131"/>
  <c r="P81" i="131"/>
  <c r="O81" i="131"/>
  <c r="N81" i="131"/>
  <c r="M81" i="131"/>
  <c r="L81" i="131"/>
  <c r="K81" i="131"/>
  <c r="J81" i="131"/>
  <c r="I81" i="131"/>
  <c r="H81" i="131"/>
  <c r="G81" i="131"/>
  <c r="F81" i="131"/>
  <c r="E81" i="131"/>
  <c r="Q80" i="131"/>
  <c r="T80" i="131" s="1"/>
  <c r="Q79" i="131"/>
  <c r="T79" i="131" s="1"/>
  <c r="Q78" i="131"/>
  <c r="T78" i="131" s="1"/>
  <c r="Q77" i="131"/>
  <c r="T77" i="131" s="1"/>
  <c r="Q76" i="131"/>
  <c r="T76" i="131" s="1"/>
  <c r="Q75" i="131"/>
  <c r="T75" i="131" s="1"/>
  <c r="Q74" i="131"/>
  <c r="T74" i="131" s="1"/>
  <c r="Q73" i="131"/>
  <c r="T73" i="131" s="1"/>
  <c r="Q72" i="131"/>
  <c r="T72" i="131" s="1"/>
  <c r="Q71" i="131"/>
  <c r="T71" i="131" s="1"/>
  <c r="Q70" i="131"/>
  <c r="T70" i="131" s="1"/>
  <c r="Q69" i="131"/>
  <c r="T69" i="131" s="1"/>
  <c r="Q68" i="131"/>
  <c r="T68" i="131" s="1"/>
  <c r="Q67" i="131"/>
  <c r="T67" i="131" s="1"/>
  <c r="Q66" i="131"/>
  <c r="T66" i="131" s="1"/>
  <c r="Q65" i="131"/>
  <c r="T65" i="131" s="1"/>
  <c r="Q64" i="131"/>
  <c r="T64" i="131" s="1"/>
  <c r="Q63" i="131"/>
  <c r="T63" i="131" s="1"/>
  <c r="Q62" i="131"/>
  <c r="T62" i="131" s="1"/>
  <c r="Q61" i="131"/>
  <c r="T61" i="131" s="1"/>
  <c r="Q60" i="131"/>
  <c r="T60" i="131" s="1"/>
  <c r="Q59" i="131"/>
  <c r="T59" i="131" s="1"/>
  <c r="Q58" i="131"/>
  <c r="T58" i="131" s="1"/>
  <c r="Q57" i="131"/>
  <c r="T57" i="131" s="1"/>
  <c r="Q56" i="131"/>
  <c r="T56" i="131" s="1"/>
  <c r="Q55" i="131"/>
  <c r="T55" i="131" s="1"/>
  <c r="Q54" i="131"/>
  <c r="T54" i="131" s="1"/>
  <c r="Q53" i="131"/>
  <c r="T53" i="131" s="1"/>
  <c r="Q52" i="131"/>
  <c r="T52" i="131" s="1"/>
  <c r="Q51" i="131"/>
  <c r="T51" i="131" s="1"/>
  <c r="Q50" i="131"/>
  <c r="T50" i="131" s="1"/>
  <c r="Q49" i="131"/>
  <c r="T49" i="131" s="1"/>
  <c r="Q48" i="131"/>
  <c r="T48" i="131" s="1"/>
  <c r="Q47" i="131"/>
  <c r="T47" i="131" s="1"/>
  <c r="Q46" i="131"/>
  <c r="T46" i="131" s="1"/>
  <c r="Q45" i="131"/>
  <c r="T45" i="131" s="1"/>
  <c r="Q44" i="131"/>
  <c r="T44" i="131" s="1"/>
  <c r="Q43" i="131"/>
  <c r="T43" i="131" s="1"/>
  <c r="Q42" i="131"/>
  <c r="T42" i="131" s="1"/>
  <c r="Q41" i="131"/>
  <c r="T41" i="131" s="1"/>
  <c r="Q40" i="131"/>
  <c r="T40" i="131" s="1"/>
  <c r="Q39" i="131"/>
  <c r="T39" i="131" s="1"/>
  <c r="Q38" i="131"/>
  <c r="T38" i="131" s="1"/>
  <c r="Q37" i="131"/>
  <c r="T37" i="131" s="1"/>
  <c r="Q36" i="131"/>
  <c r="T36" i="131" s="1"/>
  <c r="Q35" i="131"/>
  <c r="T35" i="131" s="1"/>
  <c r="Q34" i="131"/>
  <c r="T34" i="131" s="1"/>
  <c r="Q33" i="131"/>
  <c r="T33" i="131" s="1"/>
  <c r="Q32" i="131"/>
  <c r="T32" i="131" s="1"/>
  <c r="Q31" i="131"/>
  <c r="T31" i="131" s="1"/>
  <c r="Q30" i="131"/>
  <c r="T30" i="131" s="1"/>
  <c r="Q29" i="131"/>
  <c r="T29" i="131" s="1"/>
  <c r="Q28" i="131"/>
  <c r="T28" i="131" s="1"/>
  <c r="Q27" i="131"/>
  <c r="T27" i="131" s="1"/>
  <c r="Q26" i="131"/>
  <c r="T26" i="131" s="1"/>
  <c r="Q25" i="131"/>
  <c r="T25" i="131" s="1"/>
  <c r="Q24" i="131"/>
  <c r="T24" i="131" s="1"/>
  <c r="Q23" i="131"/>
  <c r="T23" i="131" s="1"/>
  <c r="Q22" i="131"/>
  <c r="T22" i="131" s="1"/>
  <c r="Q21" i="131"/>
  <c r="T21" i="131" s="1"/>
  <c r="Q20" i="131"/>
  <c r="T20" i="131" s="1"/>
  <c r="Q19" i="131"/>
  <c r="T19" i="131" s="1"/>
  <c r="Q18" i="131"/>
  <c r="T18" i="131" s="1"/>
  <c r="Q17" i="131"/>
  <c r="Q16" i="131"/>
  <c r="T16" i="131" s="1"/>
  <c r="Q15" i="131"/>
  <c r="T15" i="131" s="1"/>
  <c r="Q14" i="131"/>
  <c r="T14" i="131" s="1"/>
  <c r="D7" i="131"/>
  <c r="D5" i="131"/>
  <c r="D4" i="131"/>
  <c r="V120" i="130"/>
  <c r="Q114" i="130"/>
  <c r="V114" i="130" s="1"/>
  <c r="Q113" i="130"/>
  <c r="V113" i="130" s="1"/>
  <c r="Q112" i="130"/>
  <c r="Q111" i="130"/>
  <c r="Q110" i="130"/>
  <c r="Q109" i="130"/>
  <c r="Q106" i="130"/>
  <c r="Q104" i="130"/>
  <c r="V104" i="130" s="1"/>
  <c r="Q103" i="130"/>
  <c r="V103" i="130" s="1"/>
  <c r="Q102" i="130"/>
  <c r="V102" i="130" s="1"/>
  <c r="Q101" i="130"/>
  <c r="V101" i="130" s="1"/>
  <c r="Q100" i="130"/>
  <c r="Q99" i="130"/>
  <c r="V99" i="130" s="1"/>
  <c r="Q96" i="130"/>
  <c r="V96" i="130" s="1"/>
  <c r="Q93" i="130"/>
  <c r="V93" i="130" s="1"/>
  <c r="Q92" i="130"/>
  <c r="Q87" i="130"/>
  <c r="V87" i="130" s="1"/>
  <c r="Q86" i="130"/>
  <c r="Q80" i="130"/>
  <c r="V80" i="130" s="1"/>
  <c r="Q79" i="130"/>
  <c r="V79" i="130" s="1"/>
  <c r="Q78" i="130"/>
  <c r="V78" i="130" s="1"/>
  <c r="Q77" i="130"/>
  <c r="V77" i="130" s="1"/>
  <c r="Q76" i="130"/>
  <c r="V76" i="130" s="1"/>
  <c r="Q75" i="130"/>
  <c r="V75" i="130" s="1"/>
  <c r="Q74" i="130"/>
  <c r="Q73" i="130"/>
  <c r="V73" i="130" s="1"/>
  <c r="Q72" i="130"/>
  <c r="V72" i="130" s="1"/>
  <c r="Q71" i="130"/>
  <c r="V71" i="130" s="1"/>
  <c r="Q70" i="130"/>
  <c r="V70" i="130" s="1"/>
  <c r="Q68" i="130"/>
  <c r="V68" i="130" s="1"/>
  <c r="Q67" i="130"/>
  <c r="Q66" i="130"/>
  <c r="V66" i="130" s="1"/>
  <c r="Q65" i="130"/>
  <c r="V65" i="130" s="1"/>
  <c r="Q64" i="130"/>
  <c r="V64" i="130" s="1"/>
  <c r="Q63" i="130"/>
  <c r="V63" i="130" s="1"/>
  <c r="Q62" i="130"/>
  <c r="V62" i="130" s="1"/>
  <c r="Q61" i="130"/>
  <c r="V61" i="130" s="1"/>
  <c r="Q60" i="130"/>
  <c r="V60" i="130" s="1"/>
  <c r="Q59" i="130"/>
  <c r="V59" i="130" s="1"/>
  <c r="Q58" i="130"/>
  <c r="V58" i="130" s="1"/>
  <c r="Q57" i="130"/>
  <c r="V57" i="130" s="1"/>
  <c r="Q56" i="130"/>
  <c r="V56" i="130" s="1"/>
  <c r="Q55" i="130"/>
  <c r="V55" i="130" s="1"/>
  <c r="Q54" i="130"/>
  <c r="V54" i="130" s="1"/>
  <c r="Q53" i="130"/>
  <c r="V53" i="130" s="1"/>
  <c r="Q52" i="130"/>
  <c r="V52" i="130" s="1"/>
  <c r="Q51" i="130"/>
  <c r="V51" i="130" s="1"/>
  <c r="Q50" i="130"/>
  <c r="V50" i="130" s="1"/>
  <c r="Q49" i="130"/>
  <c r="Q48" i="130"/>
  <c r="V48" i="130" s="1"/>
  <c r="Q47" i="130"/>
  <c r="Q46" i="130"/>
  <c r="V46" i="130" s="1"/>
  <c r="Q45" i="130"/>
  <c r="V45" i="130" s="1"/>
  <c r="Q44" i="130"/>
  <c r="V44" i="130" s="1"/>
  <c r="V41" i="130"/>
  <c r="V40" i="130"/>
  <c r="V37" i="130"/>
  <c r="Q35" i="130"/>
  <c r="V35" i="130" s="1"/>
  <c r="Q33" i="130"/>
  <c r="Q32" i="130"/>
  <c r="V32" i="130" s="1"/>
  <c r="Q31" i="130"/>
  <c r="V31" i="130" s="1"/>
  <c r="V28" i="130"/>
  <c r="V27" i="130"/>
  <c r="V24" i="130"/>
  <c r="V23" i="130"/>
  <c r="V20" i="130"/>
  <c r="Q17" i="130"/>
  <c r="V17" i="130" s="1"/>
  <c r="Q16" i="130"/>
  <c r="V16" i="130" s="1"/>
  <c r="Q15" i="130"/>
  <c r="V15" i="130" s="1"/>
  <c r="Q14" i="130"/>
  <c r="D5" i="130"/>
  <c r="D4" i="130"/>
  <c r="T120" i="127"/>
  <c r="Q114" i="127"/>
  <c r="Q113" i="127"/>
  <c r="T113" i="127" s="1"/>
  <c r="Q112" i="127"/>
  <c r="Q111" i="127"/>
  <c r="Q110" i="127"/>
  <c r="Q109" i="127"/>
  <c r="Q106" i="127"/>
  <c r="Q103" i="127"/>
  <c r="T103" i="127" s="1"/>
  <c r="Q102" i="127"/>
  <c r="T102" i="127" s="1"/>
  <c r="Q101" i="127"/>
  <c r="T101" i="127" s="1"/>
  <c r="Q99" i="127"/>
  <c r="Q96" i="127"/>
  <c r="T96" i="127" s="1"/>
  <c r="Q93" i="127"/>
  <c r="T93" i="127" s="1"/>
  <c r="Q92" i="127"/>
  <c r="M129" i="132"/>
  <c r="Q87" i="127"/>
  <c r="T87" i="127" s="1"/>
  <c r="Q86" i="127"/>
  <c r="T86" i="127" s="1"/>
  <c r="Q80" i="127"/>
  <c r="T80" i="127" s="1"/>
  <c r="Q79" i="127"/>
  <c r="T79" i="127" s="1"/>
  <c r="Q78" i="127"/>
  <c r="T78" i="127" s="1"/>
  <c r="Q77" i="127"/>
  <c r="T77" i="127" s="1"/>
  <c r="Q76" i="127"/>
  <c r="Q75" i="127"/>
  <c r="T75" i="127" s="1"/>
  <c r="Q74" i="127"/>
  <c r="T74" i="127" s="1"/>
  <c r="Q73" i="127"/>
  <c r="T73" i="127" s="1"/>
  <c r="Q72" i="127"/>
  <c r="Q71" i="127"/>
  <c r="T71" i="127" s="1"/>
  <c r="Q70" i="127"/>
  <c r="T70" i="127" s="1"/>
  <c r="Q68" i="127"/>
  <c r="T68" i="127" s="1"/>
  <c r="Q67" i="127"/>
  <c r="T67" i="127" s="1"/>
  <c r="Q66" i="127"/>
  <c r="T66" i="127" s="1"/>
  <c r="Q65" i="127"/>
  <c r="T65" i="127" s="1"/>
  <c r="Q64" i="127"/>
  <c r="T64" i="127" s="1"/>
  <c r="Q63" i="127"/>
  <c r="T63" i="127" s="1"/>
  <c r="Q62" i="127"/>
  <c r="T62" i="127" s="1"/>
  <c r="Q61" i="127"/>
  <c r="T61" i="127" s="1"/>
  <c r="Q60" i="127"/>
  <c r="Q59" i="127"/>
  <c r="T59" i="127" s="1"/>
  <c r="Q58" i="127"/>
  <c r="T58" i="127" s="1"/>
  <c r="Q57" i="127"/>
  <c r="T57" i="127" s="1"/>
  <c r="Q56" i="127"/>
  <c r="T56" i="127" s="1"/>
  <c r="Q55" i="127"/>
  <c r="T55" i="127" s="1"/>
  <c r="Q54" i="127"/>
  <c r="T54" i="127" s="1"/>
  <c r="Q53" i="127"/>
  <c r="T53" i="127" s="1"/>
  <c r="Q52" i="127"/>
  <c r="T52" i="127" s="1"/>
  <c r="Q51" i="127"/>
  <c r="T51" i="127" s="1"/>
  <c r="Q50" i="127"/>
  <c r="T50" i="127" s="1"/>
  <c r="Q49" i="127"/>
  <c r="T49" i="127" s="1"/>
  <c r="Q48" i="127"/>
  <c r="Q47" i="127"/>
  <c r="T47" i="127" s="1"/>
  <c r="Q46" i="127"/>
  <c r="T46" i="127" s="1"/>
  <c r="Q45" i="127"/>
  <c r="T45" i="127" s="1"/>
  <c r="Q44" i="127"/>
  <c r="T44" i="127" s="1"/>
  <c r="Q43" i="127"/>
  <c r="T43" i="127" s="1"/>
  <c r="Q41" i="127"/>
  <c r="T41" i="127" s="1"/>
  <c r="Q40" i="127"/>
  <c r="Q39" i="127"/>
  <c r="T39" i="127" s="1"/>
  <c r="Q38" i="127"/>
  <c r="T38" i="127" s="1"/>
  <c r="Q37" i="127"/>
  <c r="T37" i="127" s="1"/>
  <c r="Q36" i="127"/>
  <c r="Q35" i="127"/>
  <c r="T35" i="127" s="1"/>
  <c r="Q34" i="127"/>
  <c r="T34" i="127" s="1"/>
  <c r="Q33" i="127"/>
  <c r="T33" i="127" s="1"/>
  <c r="Q32" i="127"/>
  <c r="Q31" i="127"/>
  <c r="T31" i="127" s="1"/>
  <c r="Q30" i="127"/>
  <c r="T30" i="127" s="1"/>
  <c r="Q29" i="127"/>
  <c r="T29" i="127" s="1"/>
  <c r="Q28" i="127"/>
  <c r="T28" i="127" s="1"/>
  <c r="Q27" i="127"/>
  <c r="T27" i="127" s="1"/>
  <c r="Q26" i="127"/>
  <c r="T26" i="127" s="1"/>
  <c r="Q25" i="127"/>
  <c r="T25" i="127" s="1"/>
  <c r="Q24" i="127"/>
  <c r="Q23" i="127"/>
  <c r="T23" i="127" s="1"/>
  <c r="Q22" i="127"/>
  <c r="Q21" i="127"/>
  <c r="Q20" i="127"/>
  <c r="T20" i="127" s="1"/>
  <c r="Q19" i="127"/>
  <c r="T19" i="127" s="1"/>
  <c r="Q18" i="127"/>
  <c r="T18" i="127" s="1"/>
  <c r="Q17" i="127"/>
  <c r="T17" i="127" s="1"/>
  <c r="Q16" i="127"/>
  <c r="T16" i="127" s="1"/>
  <c r="Q15" i="127"/>
  <c r="T15" i="127" s="1"/>
  <c r="D5" i="127"/>
  <c r="D4" i="127"/>
  <c r="P153" i="132"/>
  <c r="O153" i="132"/>
  <c r="N153" i="132"/>
  <c r="M153" i="132"/>
  <c r="L153" i="132"/>
  <c r="K153" i="132"/>
  <c r="J153" i="132"/>
  <c r="I153" i="132"/>
  <c r="H153" i="132"/>
  <c r="G153" i="132"/>
  <c r="F153" i="132"/>
  <c r="E153" i="132"/>
  <c r="P152" i="132"/>
  <c r="O152" i="132"/>
  <c r="N152" i="132"/>
  <c r="M152" i="132"/>
  <c r="L152" i="132"/>
  <c r="K152" i="132"/>
  <c r="J152" i="132"/>
  <c r="I152" i="132"/>
  <c r="H152" i="132"/>
  <c r="G152" i="132"/>
  <c r="F152" i="132"/>
  <c r="E152" i="132"/>
  <c r="P151" i="132"/>
  <c r="O151" i="132"/>
  <c r="N151" i="132"/>
  <c r="M151" i="132"/>
  <c r="L151" i="132"/>
  <c r="K151" i="132"/>
  <c r="J151" i="132"/>
  <c r="I151" i="132"/>
  <c r="H151" i="132"/>
  <c r="G151" i="132"/>
  <c r="F151" i="132"/>
  <c r="E151" i="132"/>
  <c r="P150" i="132"/>
  <c r="O150" i="132"/>
  <c r="N150" i="132"/>
  <c r="M150" i="132"/>
  <c r="L150" i="132"/>
  <c r="K150" i="132"/>
  <c r="J150" i="132"/>
  <c r="I150" i="132"/>
  <c r="H150" i="132"/>
  <c r="G150" i="132"/>
  <c r="F150" i="132"/>
  <c r="E150" i="132"/>
  <c r="P149" i="132"/>
  <c r="O149" i="132"/>
  <c r="N149" i="132"/>
  <c r="M149" i="132"/>
  <c r="L149" i="132"/>
  <c r="K149" i="132"/>
  <c r="J149" i="132"/>
  <c r="I149" i="132"/>
  <c r="H149" i="132"/>
  <c r="G149" i="132"/>
  <c r="F149" i="132"/>
  <c r="E149" i="132"/>
  <c r="P148" i="132"/>
  <c r="O148" i="132"/>
  <c r="N148" i="132"/>
  <c r="M148" i="132"/>
  <c r="L148" i="132"/>
  <c r="K148" i="132"/>
  <c r="J148" i="132"/>
  <c r="I148" i="132"/>
  <c r="H148" i="132"/>
  <c r="G148" i="132"/>
  <c r="F148" i="132"/>
  <c r="E148" i="132"/>
  <c r="P143" i="132"/>
  <c r="O143" i="132"/>
  <c r="N143" i="132"/>
  <c r="M143" i="132"/>
  <c r="L143" i="132"/>
  <c r="K143" i="132"/>
  <c r="J143" i="132"/>
  <c r="I143" i="132"/>
  <c r="H143" i="132"/>
  <c r="G143" i="132"/>
  <c r="F143" i="132"/>
  <c r="P142" i="132"/>
  <c r="O142" i="132"/>
  <c r="N142" i="132"/>
  <c r="M142" i="132"/>
  <c r="L142" i="132"/>
  <c r="K142" i="132"/>
  <c r="J142" i="132"/>
  <c r="I142" i="132"/>
  <c r="H142" i="132"/>
  <c r="G142" i="132"/>
  <c r="F142" i="132"/>
  <c r="E142" i="132"/>
  <c r="P141" i="132"/>
  <c r="O141" i="132"/>
  <c r="N141" i="132"/>
  <c r="M141" i="132"/>
  <c r="L141" i="132"/>
  <c r="K141" i="132"/>
  <c r="J141" i="132"/>
  <c r="I141" i="132"/>
  <c r="H141" i="132"/>
  <c r="G141" i="132"/>
  <c r="F141" i="132"/>
  <c r="E141" i="132"/>
  <c r="P140" i="132"/>
  <c r="O140" i="132"/>
  <c r="N140" i="132"/>
  <c r="M140" i="132"/>
  <c r="L140" i="132"/>
  <c r="K140" i="132"/>
  <c r="J140" i="132"/>
  <c r="I140" i="132"/>
  <c r="H140" i="132"/>
  <c r="G140" i="132"/>
  <c r="F140" i="132"/>
  <c r="E140" i="132"/>
  <c r="P139" i="132"/>
  <c r="O139" i="132"/>
  <c r="N139" i="132"/>
  <c r="M139" i="132"/>
  <c r="L139" i="132"/>
  <c r="K139" i="132"/>
  <c r="J139" i="132"/>
  <c r="I139" i="132"/>
  <c r="H139" i="132"/>
  <c r="G139" i="132"/>
  <c r="F139" i="132"/>
  <c r="P138" i="132"/>
  <c r="O138" i="132"/>
  <c r="N138" i="132"/>
  <c r="M138" i="132"/>
  <c r="L138" i="132"/>
  <c r="K138" i="132"/>
  <c r="J138" i="132"/>
  <c r="I138" i="132"/>
  <c r="H138" i="132"/>
  <c r="G138" i="132"/>
  <c r="F138" i="132"/>
  <c r="E138" i="132"/>
  <c r="P129" i="132"/>
  <c r="O129" i="132"/>
  <c r="L129" i="132"/>
  <c r="K129" i="132"/>
  <c r="J129" i="132"/>
  <c r="I129" i="132"/>
  <c r="H129" i="132"/>
  <c r="G129" i="132"/>
  <c r="E129" i="132"/>
  <c r="P126" i="132"/>
  <c r="O126" i="132"/>
  <c r="N126" i="132"/>
  <c r="M126" i="132"/>
  <c r="L126" i="132"/>
  <c r="K126" i="132"/>
  <c r="J126" i="132"/>
  <c r="I126" i="132"/>
  <c r="H126" i="132"/>
  <c r="G126" i="132"/>
  <c r="F126" i="132"/>
  <c r="E126" i="132"/>
  <c r="P125" i="132"/>
  <c r="O125" i="132"/>
  <c r="N125" i="132"/>
  <c r="M125" i="132"/>
  <c r="L125" i="132"/>
  <c r="K125" i="132"/>
  <c r="J125" i="132"/>
  <c r="I125" i="132"/>
  <c r="G125" i="132"/>
  <c r="F125" i="132"/>
  <c r="E125" i="132"/>
  <c r="P124" i="132"/>
  <c r="O124" i="132"/>
  <c r="N124" i="132"/>
  <c r="M124" i="132"/>
  <c r="L124" i="132"/>
  <c r="K124" i="132"/>
  <c r="J124" i="132"/>
  <c r="I124" i="132"/>
  <c r="H124" i="132"/>
  <c r="G124" i="132"/>
  <c r="F124" i="132"/>
  <c r="E124" i="132"/>
  <c r="P123" i="132"/>
  <c r="O123" i="132"/>
  <c r="N123" i="132"/>
  <c r="M123" i="132"/>
  <c r="L123" i="132"/>
  <c r="K123" i="132"/>
  <c r="J123" i="132"/>
  <c r="I123" i="132"/>
  <c r="H123" i="132"/>
  <c r="G123" i="132"/>
  <c r="F123" i="132"/>
  <c r="E123" i="132"/>
  <c r="Q110" i="132"/>
  <c r="Q109" i="132"/>
  <c r="P108" i="132"/>
  <c r="O108" i="132"/>
  <c r="N108" i="132"/>
  <c r="M108" i="132"/>
  <c r="L108" i="132"/>
  <c r="K108" i="132"/>
  <c r="J108" i="132"/>
  <c r="I108" i="132"/>
  <c r="H108" i="132"/>
  <c r="G108" i="132"/>
  <c r="F108" i="132"/>
  <c r="Q26" i="132"/>
  <c r="Q23" i="132"/>
  <c r="Q19" i="132"/>
  <c r="P17" i="132"/>
  <c r="P18" i="132" s="1"/>
  <c r="O17" i="132"/>
  <c r="O18" i="132" s="1"/>
  <c r="O20" i="132" s="1"/>
  <c r="O31" i="132" s="1"/>
  <c r="N17" i="132"/>
  <c r="M17" i="132"/>
  <c r="M18" i="132" s="1"/>
  <c r="M20" i="132" s="1"/>
  <c r="M31" i="132" s="1"/>
  <c r="L17" i="132"/>
  <c r="K17" i="132"/>
  <c r="K18" i="132" s="1"/>
  <c r="K20" i="132" s="1"/>
  <c r="K31" i="132" s="1"/>
  <c r="J17" i="132"/>
  <c r="I17" i="132"/>
  <c r="I18" i="132" s="1"/>
  <c r="I20" i="132" s="1"/>
  <c r="I31" i="132" s="1"/>
  <c r="H17" i="132"/>
  <c r="G17" i="132"/>
  <c r="G18" i="132" s="1"/>
  <c r="F17" i="132"/>
  <c r="E17" i="132"/>
  <c r="E18" i="132" s="1"/>
  <c r="Q15" i="132"/>
  <c r="Q12" i="132"/>
  <c r="Q17" i="132" s="1"/>
  <c r="D5" i="132"/>
  <c r="D4" i="132"/>
  <c r="P64" i="18"/>
  <c r="O64" i="18"/>
  <c r="N64" i="18"/>
  <c r="M64" i="18"/>
  <c r="L64" i="18"/>
  <c r="K64" i="18"/>
  <c r="J64" i="18"/>
  <c r="I64" i="18"/>
  <c r="H64" i="18"/>
  <c r="G64" i="18"/>
  <c r="F64" i="18"/>
  <c r="R61" i="18"/>
  <c r="R62" i="18" s="1"/>
  <c r="Q56" i="18"/>
  <c r="Q50" i="18"/>
  <c r="P49" i="18"/>
  <c r="O49" i="18"/>
  <c r="N49" i="18"/>
  <c r="M49" i="18"/>
  <c r="L49" i="18"/>
  <c r="K49" i="18"/>
  <c r="J49" i="18"/>
  <c r="I49" i="18"/>
  <c r="H49" i="18"/>
  <c r="G49" i="18"/>
  <c r="F49" i="18"/>
  <c r="E49" i="18"/>
  <c r="P46" i="18"/>
  <c r="O46" i="18"/>
  <c r="N46" i="18"/>
  <c r="M46" i="18"/>
  <c r="L46" i="18"/>
  <c r="K46" i="18"/>
  <c r="J46" i="18"/>
  <c r="I46" i="18"/>
  <c r="H46" i="18"/>
  <c r="G46" i="18"/>
  <c r="F46" i="18"/>
  <c r="E46" i="18"/>
  <c r="P45" i="18"/>
  <c r="O45" i="18"/>
  <c r="N45" i="18"/>
  <c r="M45" i="18"/>
  <c r="L45" i="18"/>
  <c r="K45" i="18"/>
  <c r="J45" i="18"/>
  <c r="I45" i="18"/>
  <c r="H45" i="18"/>
  <c r="G45" i="18"/>
  <c r="F45" i="18"/>
  <c r="E45" i="18"/>
  <c r="P26" i="18"/>
  <c r="O26" i="18"/>
  <c r="N26" i="18"/>
  <c r="M26" i="18"/>
  <c r="L26" i="18"/>
  <c r="K26" i="18"/>
  <c r="J26" i="18"/>
  <c r="I26" i="18"/>
  <c r="H26" i="18"/>
  <c r="G26" i="18"/>
  <c r="F26" i="18"/>
  <c r="E26" i="18"/>
  <c r="Q14" i="18"/>
  <c r="C11" i="59"/>
  <c r="C9" i="59"/>
  <c r="C13" i="59" s="1"/>
  <c r="C8" i="59"/>
  <c r="L13" i="108"/>
  <c r="P13" i="108"/>
  <c r="G20" i="81"/>
  <c r="G97" i="136"/>
  <c r="O20" i="81"/>
  <c r="O97" i="136"/>
  <c r="U14" i="81"/>
  <c r="R32" i="81"/>
  <c r="R50" i="81"/>
  <c r="U26" i="81"/>
  <c r="R44" i="81"/>
  <c r="R62" i="81"/>
  <c r="P138" i="108"/>
  <c r="P155" i="108" s="1"/>
  <c r="L146" i="108"/>
  <c r="L163" i="108" s="1"/>
  <c r="R33" i="81"/>
  <c r="F67" i="81"/>
  <c r="J67" i="81"/>
  <c r="N67" i="81"/>
  <c r="F68" i="81"/>
  <c r="J68" i="81"/>
  <c r="N68" i="81"/>
  <c r="H20" i="81"/>
  <c r="H97" i="136"/>
  <c r="L20" i="81"/>
  <c r="P20" i="81"/>
  <c r="P97" i="136"/>
  <c r="I178" i="108"/>
  <c r="E180" i="108"/>
  <c r="J13" i="108"/>
  <c r="U16" i="81"/>
  <c r="R52" i="81"/>
  <c r="R34" i="81"/>
  <c r="U21" i="81"/>
  <c r="R39" i="81"/>
  <c r="L43" i="108"/>
  <c r="H138" i="108"/>
  <c r="H155" i="108" s="1"/>
  <c r="U17" i="81"/>
  <c r="R53" i="81"/>
  <c r="R35" i="81"/>
  <c r="K20" i="81"/>
  <c r="R59" i="81"/>
  <c r="J20" i="81"/>
  <c r="J97" i="136"/>
  <c r="L179" i="108"/>
  <c r="F72" i="81"/>
  <c r="J72" i="81"/>
  <c r="F73" i="81"/>
  <c r="J73" i="81"/>
  <c r="N73" i="81"/>
  <c r="F74" i="81"/>
  <c r="J74" i="81"/>
  <c r="N74" i="81"/>
  <c r="F75" i="81"/>
  <c r="J75" i="81"/>
  <c r="N75" i="81"/>
  <c r="F178" i="108"/>
  <c r="J179" i="108"/>
  <c r="N180" i="108"/>
  <c r="M36" i="81"/>
  <c r="P54" i="119"/>
  <c r="P108" i="119" s="1"/>
  <c r="H153" i="152"/>
  <c r="I94" i="81"/>
  <c r="E95" i="81"/>
  <c r="E100" i="81"/>
  <c r="M100" i="81"/>
  <c r="P43" i="108"/>
  <c r="F30" i="108"/>
  <c r="P33" i="108"/>
  <c r="K138" i="108"/>
  <c r="K155" i="108" s="1"/>
  <c r="M54" i="125"/>
  <c r="L134" i="125"/>
  <c r="H141" i="125"/>
  <c r="P141" i="125"/>
  <c r="F160" i="125"/>
  <c r="N160" i="125"/>
  <c r="K31" i="108"/>
  <c r="H25" i="81"/>
  <c r="J25" i="108"/>
  <c r="H43" i="108"/>
  <c r="P25" i="81"/>
  <c r="J127" i="119"/>
  <c r="J54" i="125"/>
  <c r="Q121" i="150"/>
  <c r="N40" i="81"/>
  <c r="E26" i="108"/>
  <c r="M26" i="108"/>
  <c r="M164" i="108" s="1"/>
  <c r="L36" i="81"/>
  <c r="M43" i="83"/>
  <c r="N43" i="83"/>
  <c r="O43" i="83"/>
  <c r="P43" i="83"/>
  <c r="K43" i="83"/>
  <c r="M16" i="108"/>
  <c r="J43" i="108"/>
  <c r="N42" i="81"/>
  <c r="O15" i="108"/>
  <c r="E34" i="108"/>
  <c r="J132" i="146"/>
  <c r="J24" i="146" s="1"/>
  <c r="E16" i="108"/>
  <c r="F25" i="108"/>
  <c r="L32" i="108"/>
  <c r="J136" i="108"/>
  <c r="J153" i="108" s="1"/>
  <c r="F151" i="125"/>
  <c r="N151" i="125"/>
  <c r="E141" i="126"/>
  <c r="L25" i="108"/>
  <c r="E137" i="108"/>
  <c r="E154" i="108" s="1"/>
  <c r="O134" i="126"/>
  <c r="F100" i="81"/>
  <c r="I114" i="152"/>
  <c r="O32" i="108"/>
  <c r="G134" i="126"/>
  <c r="N95" i="81"/>
  <c r="I12" i="108"/>
  <c r="J44" i="108"/>
  <c r="M137" i="108"/>
  <c r="M154" i="108" s="1"/>
  <c r="K160" i="124"/>
  <c r="J34" i="126"/>
  <c r="Q48" i="81"/>
  <c r="U48" i="81" s="1"/>
  <c r="E81" i="81"/>
  <c r="M81" i="81"/>
  <c r="I82" i="81"/>
  <c r="E83" i="81"/>
  <c r="M83" i="81"/>
  <c r="I84" i="81"/>
  <c r="E85" i="81"/>
  <c r="M85" i="81"/>
  <c r="K94" i="81"/>
  <c r="G95" i="81"/>
  <c r="O95" i="81"/>
  <c r="G15" i="108"/>
  <c r="K44" i="108"/>
  <c r="E146" i="108"/>
  <c r="E163" i="108" s="1"/>
  <c r="H141" i="123"/>
  <c r="P141" i="123"/>
  <c r="F135" i="134"/>
  <c r="N135" i="134"/>
  <c r="J80" i="81"/>
  <c r="F81" i="81"/>
  <c r="N81" i="81"/>
  <c r="J82" i="81"/>
  <c r="F83" i="81"/>
  <c r="N83" i="81"/>
  <c r="J84" i="81"/>
  <c r="F85" i="81"/>
  <c r="N85" i="81"/>
  <c r="P95" i="81"/>
  <c r="F36" i="81"/>
  <c r="N36" i="81"/>
  <c r="G148" i="150"/>
  <c r="G42" i="150" s="1"/>
  <c r="G114" i="150" s="1"/>
  <c r="O148" i="150"/>
  <c r="O42" i="150" s="1"/>
  <c r="O114" i="150" s="1"/>
  <c r="I40" i="81"/>
  <c r="K126" i="151"/>
  <c r="K20" i="151" s="1"/>
  <c r="K92" i="151" s="1"/>
  <c r="M43" i="108"/>
  <c r="G136" i="108"/>
  <c r="G153" i="108" s="1"/>
  <c r="O25" i="108"/>
  <c r="P32" i="108"/>
  <c r="J134" i="124"/>
  <c r="H36" i="81"/>
  <c r="P36" i="81"/>
  <c r="P40" i="81"/>
  <c r="L164" i="154"/>
  <c r="L182" i="154" s="1"/>
  <c r="O31" i="108"/>
  <c r="K136" i="108"/>
  <c r="K153" i="108" s="1"/>
  <c r="I36" i="81"/>
  <c r="L40" i="81"/>
  <c r="O136" i="108"/>
  <c r="O153" i="108" s="1"/>
  <c r="O128" i="134"/>
  <c r="H32" i="108"/>
  <c r="I44" i="108"/>
  <c r="J134" i="108"/>
  <c r="J151" i="108" s="1"/>
  <c r="J54" i="119"/>
  <c r="J108" i="119" s="1"/>
  <c r="U115" i="119"/>
  <c r="L160" i="123"/>
  <c r="K54" i="125"/>
  <c r="G141" i="126"/>
  <c r="O141" i="126"/>
  <c r="P81" i="81"/>
  <c r="H85" i="81"/>
  <c r="P85" i="81"/>
  <c r="H30" i="108"/>
  <c r="F34" i="126"/>
  <c r="E40" i="81"/>
  <c r="M40" i="81"/>
  <c r="K95" i="81"/>
  <c r="L42" i="81"/>
  <c r="M130" i="148"/>
  <c r="F32" i="125"/>
  <c r="F34" i="108"/>
  <c r="F125" i="125"/>
  <c r="F54" i="125"/>
  <c r="M134" i="108"/>
  <c r="S64" i="147"/>
  <c r="I31" i="125"/>
  <c r="I16" i="108"/>
  <c r="G14" i="108"/>
  <c r="G25" i="108"/>
  <c r="N34" i="108"/>
  <c r="P137" i="108"/>
  <c r="P154" i="108" s="1"/>
  <c r="G125" i="125"/>
  <c r="G54" i="125"/>
  <c r="O125" i="125"/>
  <c r="O54" i="125"/>
  <c r="G31" i="108"/>
  <c r="M44" i="108"/>
  <c r="E127" i="119"/>
  <c r="J153" i="152"/>
  <c r="J25" i="81"/>
  <c r="P14" i="108"/>
  <c r="O127" i="124"/>
  <c r="O137" i="108"/>
  <c r="O154" i="108" s="1"/>
  <c r="N125" i="125"/>
  <c r="N54" i="125"/>
  <c r="H14" i="108"/>
  <c r="O34" i="108"/>
  <c r="I125" i="124"/>
  <c r="I137" i="108"/>
  <c r="I154" i="108" s="1"/>
  <c r="H125" i="126"/>
  <c r="H146" i="108"/>
  <c r="H163" i="108" s="1"/>
  <c r="P125" i="126"/>
  <c r="P146" i="108"/>
  <c r="P163" i="108" s="1"/>
  <c r="P26" i="108"/>
  <c r="P164" i="108" s="1"/>
  <c r="F44" i="108"/>
  <c r="N44" i="108"/>
  <c r="G32" i="125"/>
  <c r="G34" i="108"/>
  <c r="U58" i="147"/>
  <c r="F31" i="108"/>
  <c r="F138" i="108"/>
  <c r="F155" i="108" s="1"/>
  <c r="N138" i="108"/>
  <c r="N155" i="108" s="1"/>
  <c r="N31" i="123"/>
  <c r="N14" i="108"/>
  <c r="M32" i="123"/>
  <c r="M32" i="108"/>
  <c r="K31" i="124"/>
  <c r="K34" i="124" s="1"/>
  <c r="K15" i="108"/>
  <c r="H42" i="81"/>
  <c r="P42" i="81"/>
  <c r="E136" i="108"/>
  <c r="E153" i="108" s="1"/>
  <c r="E32" i="126"/>
  <c r="E43" i="108"/>
  <c r="L153" i="152"/>
  <c r="N43" i="108"/>
  <c r="N134" i="108"/>
  <c r="N151" i="108" s="1"/>
  <c r="I146" i="108"/>
  <c r="I163" i="108" s="1"/>
  <c r="H81" i="81"/>
  <c r="L82" i="81"/>
  <c r="H83" i="81"/>
  <c r="P83" i="81"/>
  <c r="L84" i="81"/>
  <c r="J42" i="81"/>
  <c r="K148" i="150"/>
  <c r="K42" i="150" s="1"/>
  <c r="K114" i="150" s="1"/>
  <c r="E153" i="152"/>
  <c r="F132" i="146"/>
  <c r="F24" i="146" s="1"/>
  <c r="F97" i="146" s="1"/>
  <c r="F98" i="146" s="1"/>
  <c r="N132" i="146"/>
  <c r="N24" i="146" s="1"/>
  <c r="N97" i="146" s="1"/>
  <c r="N98" i="146" s="1"/>
  <c r="G126" i="151"/>
  <c r="G20" i="151" s="1"/>
  <c r="G92" i="151" s="1"/>
  <c r="O126" i="151"/>
  <c r="O20" i="151" s="1"/>
  <c r="O92" i="151" s="1"/>
  <c r="F153" i="152"/>
  <c r="N153" i="152"/>
  <c r="F43" i="108"/>
  <c r="O132" i="146"/>
  <c r="O24" i="146" s="1"/>
  <c r="I26" i="108"/>
  <c r="N54" i="119"/>
  <c r="N108" i="119" s="1"/>
  <c r="Q125" i="121"/>
  <c r="P132" i="146"/>
  <c r="P24" i="146" s="1"/>
  <c r="P97" i="146" s="1"/>
  <c r="P98" i="146" s="1"/>
  <c r="S39" i="147"/>
  <c r="L25" i="81"/>
  <c r="H40" i="81"/>
  <c r="M82" i="81"/>
  <c r="M84" i="81"/>
  <c r="G172" i="154"/>
  <c r="M172" i="108"/>
  <c r="K114" i="152"/>
  <c r="H160" i="119"/>
  <c r="E160" i="123"/>
  <c r="E151" i="125"/>
  <c r="G160" i="125"/>
  <c r="O160" i="125"/>
  <c r="F141" i="126"/>
  <c r="L160" i="126"/>
  <c r="M135" i="134"/>
  <c r="L172" i="108"/>
  <c r="I71" i="81"/>
  <c r="I81" i="81"/>
  <c r="I85" i="81"/>
  <c r="I191" i="154"/>
  <c r="J95" i="81"/>
  <c r="O80" i="81"/>
  <c r="G84" i="81"/>
  <c r="K100" i="81"/>
  <c r="L100" i="81"/>
  <c r="H151" i="119"/>
  <c r="P151" i="119"/>
  <c r="I172" i="108"/>
  <c r="E151" i="123"/>
  <c r="M151" i="123"/>
  <c r="M189" i="108"/>
  <c r="P205" i="108"/>
  <c r="H141" i="126"/>
  <c r="P141" i="126"/>
  <c r="L151" i="126"/>
  <c r="F134" i="119"/>
  <c r="N134" i="119"/>
  <c r="I151" i="119"/>
  <c r="J172" i="108"/>
  <c r="F151" i="123"/>
  <c r="N151" i="123"/>
  <c r="H160" i="123"/>
  <c r="P160" i="123"/>
  <c r="H134" i="125"/>
  <c r="P134" i="125"/>
  <c r="J160" i="125"/>
  <c r="M151" i="126"/>
  <c r="L160" i="119"/>
  <c r="E134" i="124"/>
  <c r="M134" i="124"/>
  <c r="I141" i="124"/>
  <c r="M151" i="124"/>
  <c r="I134" i="125"/>
  <c r="I151" i="125"/>
  <c r="K160" i="125"/>
  <c r="P160" i="126"/>
  <c r="M71" i="81"/>
  <c r="K128" i="134"/>
  <c r="G80" i="81"/>
  <c r="O145" i="134"/>
  <c r="K83" i="81"/>
  <c r="O84" i="81"/>
  <c r="H154" i="134"/>
  <c r="L128" i="134"/>
  <c r="H145" i="134"/>
  <c r="P145" i="134"/>
  <c r="H84" i="81"/>
  <c r="H114" i="152"/>
  <c r="P114" i="152"/>
  <c r="G171" i="108"/>
  <c r="H205" i="108"/>
  <c r="H160" i="126"/>
  <c r="P80" i="81"/>
  <c r="H128" i="134"/>
  <c r="P128" i="134"/>
  <c r="L145" i="134"/>
  <c r="E154" i="134"/>
  <c r="M154" i="134"/>
  <c r="I95" i="81"/>
  <c r="I100" i="81"/>
  <c r="L121" i="152"/>
  <c r="F151" i="124"/>
  <c r="G160" i="124"/>
  <c r="O160" i="124"/>
  <c r="I160" i="126"/>
  <c r="E80" i="81"/>
  <c r="E82" i="81"/>
  <c r="I83" i="81"/>
  <c r="E84" i="81"/>
  <c r="F154" i="134"/>
  <c r="N154" i="134"/>
  <c r="J100" i="81"/>
  <c r="I140" i="152"/>
  <c r="P164" i="154"/>
  <c r="P182" i="154" s="1"/>
  <c r="H172" i="154"/>
  <c r="G160" i="119"/>
  <c r="O160" i="119"/>
  <c r="M141" i="123"/>
  <c r="K141" i="124"/>
  <c r="K134" i="125"/>
  <c r="H151" i="126"/>
  <c r="P151" i="126"/>
  <c r="J160" i="126"/>
  <c r="J71" i="81"/>
  <c r="F80" i="81"/>
  <c r="N80" i="81"/>
  <c r="J81" i="81"/>
  <c r="F82" i="81"/>
  <c r="N82" i="81"/>
  <c r="J83" i="81"/>
  <c r="F84" i="81"/>
  <c r="N84" i="81"/>
  <c r="J85" i="81"/>
  <c r="I164" i="154"/>
  <c r="I182" i="154" s="1"/>
  <c r="J141" i="119"/>
  <c r="P160" i="119"/>
  <c r="H151" i="124"/>
  <c r="I160" i="124"/>
  <c r="G114" i="152"/>
  <c r="O114" i="152"/>
  <c r="J164" i="154"/>
  <c r="I134" i="124"/>
  <c r="H191" i="154"/>
  <c r="S61" i="147"/>
  <c r="S49" i="147"/>
  <c r="U42" i="147"/>
  <c r="U69" i="147"/>
  <c r="S37" i="147"/>
  <c r="Q39" i="132"/>
  <c r="Q192" i="83"/>
  <c r="U192" i="83" s="1"/>
  <c r="Q188" i="83"/>
  <c r="U188" i="83" s="1"/>
  <c r="Q190" i="83"/>
  <c r="U190" i="83" s="1"/>
  <c r="U91" i="147"/>
  <c r="M31" i="108"/>
  <c r="L115" i="144"/>
  <c r="E12" i="108"/>
  <c r="L186" i="108"/>
  <c r="L188" i="108"/>
  <c r="T116" i="123"/>
  <c r="T115" i="124"/>
  <c r="I90" i="108"/>
  <c r="M90" i="108"/>
  <c r="U38" i="147"/>
  <c r="U50" i="147"/>
  <c r="U107" i="147"/>
  <c r="L193" i="83"/>
  <c r="T116" i="125"/>
  <c r="E129" i="148"/>
  <c r="M129" i="148"/>
  <c r="H34" i="126"/>
  <c r="P27" i="126"/>
  <c r="P28" i="126" s="1"/>
  <c r="S41" i="147"/>
  <c r="S57" i="147"/>
  <c r="U65" i="147"/>
  <c r="S68" i="147"/>
  <c r="I38" i="81"/>
  <c r="M38" i="81"/>
  <c r="G40" i="81"/>
  <c r="K40" i="81"/>
  <c r="O40" i="81"/>
  <c r="T112" i="125"/>
  <c r="J127" i="125"/>
  <c r="N13" i="108"/>
  <c r="N152" i="108" s="1"/>
  <c r="H27" i="126"/>
  <c r="H127" i="126"/>
  <c r="U106" i="147"/>
  <c r="E31" i="81"/>
  <c r="I31" i="81"/>
  <c r="M31" i="81"/>
  <c r="G135" i="138"/>
  <c r="G29" i="138" s="1"/>
  <c r="G101" i="138" s="1"/>
  <c r="G60" i="81" s="1"/>
  <c r="K135" i="138"/>
  <c r="K29" i="138" s="1"/>
  <c r="O135" i="138"/>
  <c r="O29" i="138" s="1"/>
  <c r="O101" i="138" s="1"/>
  <c r="E126" i="151"/>
  <c r="E20" i="151" s="1"/>
  <c r="E92" i="151" s="1"/>
  <c r="I126" i="151"/>
  <c r="I20" i="151" s="1"/>
  <c r="I92" i="151" s="1"/>
  <c r="M126" i="151"/>
  <c r="M20" i="151" s="1"/>
  <c r="M92" i="151" s="1"/>
  <c r="K165" i="83"/>
  <c r="Q43" i="139"/>
  <c r="T43" i="139" s="1"/>
  <c r="N127" i="125"/>
  <c r="H172" i="108"/>
  <c r="E171" i="108"/>
  <c r="M171" i="108"/>
  <c r="Q108" i="135"/>
  <c r="O38" i="81"/>
  <c r="H135" i="138"/>
  <c r="H29" i="138" s="1"/>
  <c r="H101" i="138" s="1"/>
  <c r="L135" i="138"/>
  <c r="L29" i="138" s="1"/>
  <c r="L101" i="138" s="1"/>
  <c r="L103" i="138" s="1"/>
  <c r="P135" i="138"/>
  <c r="P29" i="138" s="1"/>
  <c r="P101" i="138" s="1"/>
  <c r="P60" i="81" s="1"/>
  <c r="E148" i="150"/>
  <c r="E42" i="150" s="1"/>
  <c r="E114" i="150" s="1"/>
  <c r="I148" i="150"/>
  <c r="I42" i="150" s="1"/>
  <c r="I114" i="150" s="1"/>
  <c r="M148" i="150"/>
  <c r="M42" i="150" s="1"/>
  <c r="F40" i="81"/>
  <c r="J40" i="81"/>
  <c r="Q94" i="152"/>
  <c r="Q106" i="152" s="1"/>
  <c r="O165" i="83"/>
  <c r="F198" i="83"/>
  <c r="N193" i="83"/>
  <c r="J198" i="83"/>
  <c r="E79" i="18"/>
  <c r="Q58" i="18"/>
  <c r="N198" i="83"/>
  <c r="Q65" i="132"/>
  <c r="Q68" i="132"/>
  <c r="Q75" i="132"/>
  <c r="Q77" i="132"/>
  <c r="Q79" i="132"/>
  <c r="Q83" i="132"/>
  <c r="Q86" i="132"/>
  <c r="Q98" i="132"/>
  <c r="Q158" i="108"/>
  <c r="V158" i="108" s="1"/>
  <c r="E125" i="123"/>
  <c r="L32" i="125"/>
  <c r="F125" i="126"/>
  <c r="L130" i="148"/>
  <c r="H15" i="108"/>
  <c r="O30" i="108"/>
  <c r="F32" i="108"/>
  <c r="J32" i="108"/>
  <c r="N33" i="108"/>
  <c r="K137" i="108"/>
  <c r="K154" i="108" s="1"/>
  <c r="U51" i="119"/>
  <c r="U62" i="119"/>
  <c r="U69" i="119"/>
  <c r="U81" i="119"/>
  <c r="H125" i="119"/>
  <c r="F173" i="108"/>
  <c r="F185" i="108"/>
  <c r="N185" i="108"/>
  <c r="J186" i="108"/>
  <c r="J34" i="123"/>
  <c r="T112" i="123"/>
  <c r="N125" i="123"/>
  <c r="F160" i="123"/>
  <c r="N160" i="123"/>
  <c r="M31" i="124"/>
  <c r="M34" i="124" s="1"/>
  <c r="T85" i="124"/>
  <c r="T114" i="124"/>
  <c r="T116" i="124"/>
  <c r="L127" i="124"/>
  <c r="K171" i="108"/>
  <c r="Q147" i="124"/>
  <c r="L127" i="125"/>
  <c r="L125" i="125"/>
  <c r="H130" i="148"/>
  <c r="T113" i="126"/>
  <c r="E130" i="148"/>
  <c r="Q88" i="131"/>
  <c r="T88" i="131" s="1"/>
  <c r="O115" i="131"/>
  <c r="O11" i="131" s="1"/>
  <c r="O82" i="131" s="1"/>
  <c r="I14" i="108"/>
  <c r="K30" i="108"/>
  <c r="P30" i="108"/>
  <c r="I31" i="108"/>
  <c r="G43" i="108"/>
  <c r="K43" i="108"/>
  <c r="O43" i="108"/>
  <c r="L134" i="108"/>
  <c r="M136" i="108"/>
  <c r="M153" i="108" s="1"/>
  <c r="G137" i="108"/>
  <c r="G154" i="108" s="1"/>
  <c r="F146" i="108"/>
  <c r="F163" i="108" s="1"/>
  <c r="J146" i="108"/>
  <c r="J163" i="108" s="1"/>
  <c r="N146" i="108"/>
  <c r="N163" i="108" s="1"/>
  <c r="Q162" i="108"/>
  <c r="V162" i="108" s="1"/>
  <c r="O199" i="108"/>
  <c r="Q25" i="119"/>
  <c r="U25" i="119" s="1"/>
  <c r="L54" i="119"/>
  <c r="L108" i="119" s="1"/>
  <c r="U85" i="119"/>
  <c r="L125" i="119"/>
  <c r="N127" i="119"/>
  <c r="Q121" i="123"/>
  <c r="T121" i="123" s="1"/>
  <c r="I125" i="123"/>
  <c r="H185" i="108"/>
  <c r="M27" i="124"/>
  <c r="M28" i="124" s="1"/>
  <c r="T45" i="124"/>
  <c r="T57" i="124"/>
  <c r="T81" i="124"/>
  <c r="T97" i="124"/>
  <c r="P127" i="124"/>
  <c r="H125" i="125"/>
  <c r="N189" i="108"/>
  <c r="I130" i="148"/>
  <c r="G34" i="126"/>
  <c r="K34" i="126"/>
  <c r="T95" i="126"/>
  <c r="T34" i="121"/>
  <c r="Q88" i="144"/>
  <c r="G115" i="144"/>
  <c r="K115" i="144"/>
  <c r="O115" i="144"/>
  <c r="G30" i="108"/>
  <c r="E31" i="108"/>
  <c r="H134" i="108"/>
  <c r="H151" i="108" s="1"/>
  <c r="I136" i="108"/>
  <c r="I153" i="108" s="1"/>
  <c r="N136" i="108"/>
  <c r="N153" i="108" s="1"/>
  <c r="H137" i="108"/>
  <c r="H154" i="108" s="1"/>
  <c r="G146" i="108"/>
  <c r="G163" i="108" s="1"/>
  <c r="K146" i="108"/>
  <c r="K163" i="108" s="1"/>
  <c r="O146" i="108"/>
  <c r="O163" i="108" s="1"/>
  <c r="Q156" i="108"/>
  <c r="V156" i="108" s="1"/>
  <c r="I185" i="108"/>
  <c r="Q196" i="108"/>
  <c r="G199" i="108"/>
  <c r="R33" i="119"/>
  <c r="H54" i="119"/>
  <c r="H108" i="119" s="1"/>
  <c r="U55" i="119"/>
  <c r="U73" i="119"/>
  <c r="U93" i="119"/>
  <c r="Q117" i="119"/>
  <c r="R47" i="119" s="1"/>
  <c r="Q122" i="119"/>
  <c r="U122" i="119" s="1"/>
  <c r="P125" i="119"/>
  <c r="H186" i="108"/>
  <c r="P186" i="108"/>
  <c r="H188" i="108"/>
  <c r="P188" i="108"/>
  <c r="H190" i="108"/>
  <c r="P190" i="108"/>
  <c r="J205" i="108"/>
  <c r="H34" i="123"/>
  <c r="J125" i="123"/>
  <c r="I186" i="108"/>
  <c r="M187" i="108"/>
  <c r="I188" i="108"/>
  <c r="Q147" i="123"/>
  <c r="T147" i="123" s="1"/>
  <c r="I190" i="108"/>
  <c r="I27" i="124"/>
  <c r="I28" i="124" s="1"/>
  <c r="R33" i="124"/>
  <c r="T41" i="124"/>
  <c r="T53" i="124"/>
  <c r="G141" i="124"/>
  <c r="O141" i="124"/>
  <c r="H199" i="108"/>
  <c r="P199" i="108"/>
  <c r="H54" i="125"/>
  <c r="L54" i="125"/>
  <c r="P54" i="125"/>
  <c r="Q121" i="125"/>
  <c r="T121" i="125" s="1"/>
  <c r="T113" i="125"/>
  <c r="E90" i="108"/>
  <c r="T76" i="126"/>
  <c r="J125" i="126"/>
  <c r="E94" i="136"/>
  <c r="E38" i="81" s="1"/>
  <c r="T132" i="121"/>
  <c r="S45" i="147"/>
  <c r="S47" i="147"/>
  <c r="U54" i="147"/>
  <c r="U73" i="147"/>
  <c r="S76" i="147"/>
  <c r="U81" i="147"/>
  <c r="Q71" i="149"/>
  <c r="T71" i="149" s="1"/>
  <c r="E83" i="149"/>
  <c r="E121" i="149"/>
  <c r="E12" i="149" s="1"/>
  <c r="I121" i="149"/>
  <c r="I12" i="149" s="1"/>
  <c r="I84" i="149" s="1"/>
  <c r="I86" i="149" s="1"/>
  <c r="M121" i="149"/>
  <c r="M12" i="149" s="1"/>
  <c r="M84" i="149" s="1"/>
  <c r="M85" i="149" s="1"/>
  <c r="L80" i="81"/>
  <c r="G42" i="81"/>
  <c r="K42" i="81"/>
  <c r="O42" i="81"/>
  <c r="Q99" i="151"/>
  <c r="Q132" i="125"/>
  <c r="T132" i="125" s="1"/>
  <c r="L127" i="126"/>
  <c r="J185" i="108"/>
  <c r="F186" i="108"/>
  <c r="N186" i="108"/>
  <c r="F188" i="108"/>
  <c r="N188" i="108"/>
  <c r="F190" i="108"/>
  <c r="N190" i="108"/>
  <c r="L205" i="108"/>
  <c r="Q124" i="121"/>
  <c r="T124" i="121" s="1"/>
  <c r="Q105" i="146"/>
  <c r="Q112" i="146"/>
  <c r="Q122" i="146"/>
  <c r="Q131" i="146"/>
  <c r="Q13" i="81"/>
  <c r="Q51" i="81"/>
  <c r="U51" i="81" s="1"/>
  <c r="Q52" i="81"/>
  <c r="U52" i="81" s="1"/>
  <c r="Q59" i="81"/>
  <c r="Q62" i="81"/>
  <c r="U62" i="81" s="1"/>
  <c r="Q14" i="151"/>
  <c r="T14" i="151" s="1"/>
  <c r="T12" i="151"/>
  <c r="F127" i="125"/>
  <c r="Q25" i="122"/>
  <c r="Q17" i="126"/>
  <c r="T17" i="126" s="1"/>
  <c r="Q25" i="126"/>
  <c r="T25" i="126" s="1"/>
  <c r="Q117" i="126"/>
  <c r="Q127" i="126" s="1"/>
  <c r="T127" i="126" s="1"/>
  <c r="P127" i="126"/>
  <c r="H134" i="126"/>
  <c r="P134" i="126"/>
  <c r="G132" i="146"/>
  <c r="G24" i="146" s="1"/>
  <c r="K132" i="146"/>
  <c r="K24" i="146" s="1"/>
  <c r="Q43" i="147"/>
  <c r="U43" i="147" s="1"/>
  <c r="U46" i="147"/>
  <c r="S53" i="147"/>
  <c r="S55" i="147"/>
  <c r="S72" i="147"/>
  <c r="S80" i="147"/>
  <c r="I42" i="81"/>
  <c r="H31" i="81"/>
  <c r="L31" i="81"/>
  <c r="P31" i="81"/>
  <c r="Q153" i="134"/>
  <c r="T153" i="134" s="1"/>
  <c r="F129" i="136"/>
  <c r="F23" i="136" s="1"/>
  <c r="F95" i="136" s="1"/>
  <c r="F56" i="81" s="1"/>
  <c r="N129" i="136"/>
  <c r="N23" i="136" s="1"/>
  <c r="N95" i="136" s="1"/>
  <c r="N56" i="81" s="1"/>
  <c r="Q21" i="150"/>
  <c r="F148" i="150"/>
  <c r="F42" i="150" s="1"/>
  <c r="F114" i="150" s="1"/>
  <c r="J148" i="150"/>
  <c r="J42" i="150" s="1"/>
  <c r="J114" i="150" s="1"/>
  <c r="J54" i="81" s="1"/>
  <c r="N148" i="150"/>
  <c r="N42" i="150" s="1"/>
  <c r="N114" i="150" s="1"/>
  <c r="Q128" i="150"/>
  <c r="H126" i="151"/>
  <c r="H20" i="151" s="1"/>
  <c r="H92" i="151" s="1"/>
  <c r="L126" i="151"/>
  <c r="L20" i="151" s="1"/>
  <c r="L92" i="151" s="1"/>
  <c r="P126" i="151"/>
  <c r="P20" i="151" s="1"/>
  <c r="P92" i="151" s="1"/>
  <c r="M140" i="152"/>
  <c r="I165" i="83"/>
  <c r="I166" i="83" s="1"/>
  <c r="I163" i="83" s="1"/>
  <c r="G31" i="81"/>
  <c r="K31" i="81"/>
  <c r="O31" i="81"/>
  <c r="N31" i="81"/>
  <c r="F38" i="81"/>
  <c r="J38" i="81"/>
  <c r="N38" i="81"/>
  <c r="Q40" i="150"/>
  <c r="T40" i="150" s="1"/>
  <c r="Q113" i="150"/>
  <c r="G36" i="81"/>
  <c r="K36" i="81"/>
  <c r="O36" i="81"/>
  <c r="Q91" i="151"/>
  <c r="F126" i="151"/>
  <c r="F20" i="151" s="1"/>
  <c r="F92" i="151" s="1"/>
  <c r="J126" i="151"/>
  <c r="J20" i="151" s="1"/>
  <c r="J92" i="151" s="1"/>
  <c r="N126" i="151"/>
  <c r="N20" i="151" s="1"/>
  <c r="N92" i="151" s="1"/>
  <c r="G82" i="81"/>
  <c r="O82" i="81"/>
  <c r="P168" i="83"/>
  <c r="H80" i="81"/>
  <c r="L81" i="81"/>
  <c r="L83" i="81"/>
  <c r="P84" i="81"/>
  <c r="L85" i="81"/>
  <c r="G100" i="81"/>
  <c r="O100" i="81"/>
  <c r="I193" i="83"/>
  <c r="G164" i="154"/>
  <c r="G182" i="154" s="1"/>
  <c r="O164" i="154"/>
  <c r="O182" i="154" s="1"/>
  <c r="H100" i="81"/>
  <c r="P100" i="81"/>
  <c r="L165" i="83"/>
  <c r="H164" i="154"/>
  <c r="H182" i="154" s="1"/>
  <c r="G191" i="154"/>
  <c r="Q175" i="154"/>
  <c r="U175" i="154" s="1"/>
  <c r="Q179" i="154"/>
  <c r="U179" i="154" s="1"/>
  <c r="L191" i="154"/>
  <c r="T116" i="121"/>
  <c r="I134" i="123"/>
  <c r="I171" i="108"/>
  <c r="Q132" i="123"/>
  <c r="T132" i="123" s="1"/>
  <c r="E172" i="108"/>
  <c r="E134" i="123"/>
  <c r="M134" i="123"/>
  <c r="E151" i="124"/>
  <c r="K176" i="108"/>
  <c r="L199" i="108"/>
  <c r="G176" i="108"/>
  <c r="E134" i="119"/>
  <c r="M134" i="119"/>
  <c r="J189" i="108"/>
  <c r="I141" i="123"/>
  <c r="L185" i="108"/>
  <c r="L189" i="108"/>
  <c r="K160" i="123"/>
  <c r="J141" i="124"/>
  <c r="E141" i="125"/>
  <c r="M141" i="125"/>
  <c r="M151" i="125"/>
  <c r="N141" i="126"/>
  <c r="Q144" i="126"/>
  <c r="T144" i="126" s="1"/>
  <c r="Q148" i="126"/>
  <c r="T148" i="126" s="1"/>
  <c r="Q158" i="126"/>
  <c r="T158" i="126" s="1"/>
  <c r="G128" i="134"/>
  <c r="J135" i="134"/>
  <c r="Q139" i="134"/>
  <c r="T139" i="134" s="1"/>
  <c r="Q141" i="134"/>
  <c r="T141" i="134" s="1"/>
  <c r="E114" i="152"/>
  <c r="M114" i="152"/>
  <c r="O168" i="83"/>
  <c r="H193" i="83"/>
  <c r="P193" i="83"/>
  <c r="K191" i="154"/>
  <c r="J173" i="108"/>
  <c r="G134" i="119"/>
  <c r="L151" i="119"/>
  <c r="F187" i="108"/>
  <c r="N187" i="108"/>
  <c r="Q159" i="123"/>
  <c r="T159" i="123" s="1"/>
  <c r="H160" i="124"/>
  <c r="Q158" i="125"/>
  <c r="T158" i="125" s="1"/>
  <c r="K81" i="81"/>
  <c r="K85" i="81"/>
  <c r="F145" i="134"/>
  <c r="J193" i="83"/>
  <c r="O172" i="154"/>
  <c r="Q163" i="154"/>
  <c r="U163" i="154" s="1"/>
  <c r="M185" i="108"/>
  <c r="K141" i="119"/>
  <c r="Q143" i="119"/>
  <c r="M151" i="119"/>
  <c r="K160" i="119"/>
  <c r="K134" i="123"/>
  <c r="G172" i="108"/>
  <c r="O172" i="108"/>
  <c r="L141" i="123"/>
  <c r="G151" i="123"/>
  <c r="O151" i="123"/>
  <c r="J160" i="123"/>
  <c r="L134" i="124"/>
  <c r="M141" i="124"/>
  <c r="L141" i="125"/>
  <c r="Q133" i="126"/>
  <c r="T133" i="126" s="1"/>
  <c r="Q137" i="126"/>
  <c r="T137" i="126" s="1"/>
  <c r="Q139" i="126"/>
  <c r="N71" i="81"/>
  <c r="M94" i="81"/>
  <c r="Q132" i="134"/>
  <c r="T132" i="134" s="1"/>
  <c r="H82" i="81"/>
  <c r="P82" i="81"/>
  <c r="G94" i="81"/>
  <c r="O94" i="81"/>
  <c r="Q118" i="152"/>
  <c r="T118" i="152" s="1"/>
  <c r="Q120" i="152"/>
  <c r="T120" i="152" s="1"/>
  <c r="Q128" i="152"/>
  <c r="T128" i="152" s="1"/>
  <c r="M165" i="83"/>
  <c r="K193" i="83"/>
  <c r="E71" i="81"/>
  <c r="O176" i="108"/>
  <c r="I134" i="119"/>
  <c r="O134" i="119"/>
  <c r="F189" i="108"/>
  <c r="Q163" i="119"/>
  <c r="U163" i="119" s="1"/>
  <c r="Q136" i="123"/>
  <c r="T136" i="123" s="1"/>
  <c r="Q138" i="123"/>
  <c r="T138" i="123" s="1"/>
  <c r="P185" i="108"/>
  <c r="H189" i="108"/>
  <c r="P189" i="108"/>
  <c r="G160" i="123"/>
  <c r="G161" i="123" s="1"/>
  <c r="G36" i="123" s="1"/>
  <c r="O160" i="123"/>
  <c r="Q133" i="124"/>
  <c r="T133" i="124" s="1"/>
  <c r="P160" i="124"/>
  <c r="Q136" i="125"/>
  <c r="T136" i="125" s="1"/>
  <c r="I141" i="125"/>
  <c r="Q140" i="125"/>
  <c r="Q144" i="125"/>
  <c r="Q146" i="125"/>
  <c r="T146" i="125" s="1"/>
  <c r="Q148" i="125"/>
  <c r="T148" i="125" s="1"/>
  <c r="K134" i="126"/>
  <c r="J141" i="126"/>
  <c r="Q147" i="126"/>
  <c r="E160" i="126"/>
  <c r="M160" i="126"/>
  <c r="Q138" i="152"/>
  <c r="T138" i="152" s="1"/>
  <c r="E140" i="152"/>
  <c r="Q145" i="123"/>
  <c r="T145" i="123" s="1"/>
  <c r="J134" i="119"/>
  <c r="Q133" i="119"/>
  <c r="Q138" i="119"/>
  <c r="U138" i="119" s="1"/>
  <c r="Q159" i="119"/>
  <c r="U159" i="119" s="1"/>
  <c r="F205" i="108"/>
  <c r="N205" i="108"/>
  <c r="Q133" i="123"/>
  <c r="T133" i="123" s="1"/>
  <c r="I151" i="123"/>
  <c r="M186" i="108"/>
  <c r="Q146" i="123"/>
  <c r="T146" i="123" s="1"/>
  <c r="M190" i="108"/>
  <c r="I205" i="108"/>
  <c r="F134" i="124"/>
  <c r="N134" i="124"/>
  <c r="I151" i="124"/>
  <c r="Q144" i="124"/>
  <c r="T144" i="124" s="1"/>
  <c r="Q148" i="124"/>
  <c r="T148" i="124" s="1"/>
  <c r="E134" i="125"/>
  <c r="M134" i="125"/>
  <c r="J151" i="125"/>
  <c r="Q163" i="125"/>
  <c r="T163" i="125" s="1"/>
  <c r="L134" i="126"/>
  <c r="K141" i="126"/>
  <c r="F160" i="126"/>
  <c r="N160" i="126"/>
  <c r="P120" i="149"/>
  <c r="F71" i="81"/>
  <c r="O135" i="134"/>
  <c r="I154" i="134"/>
  <c r="K82" i="81"/>
  <c r="E193" i="83"/>
  <c r="M193" i="83"/>
  <c r="Q162" i="154"/>
  <c r="M164" i="154"/>
  <c r="Q178" i="154"/>
  <c r="U178" i="154" s="1"/>
  <c r="U194" i="154"/>
  <c r="F141" i="119"/>
  <c r="N141" i="119"/>
  <c r="J151" i="123"/>
  <c r="J187" i="108"/>
  <c r="I160" i="123"/>
  <c r="Q158" i="123"/>
  <c r="T158" i="123" s="1"/>
  <c r="J151" i="124"/>
  <c r="E160" i="124"/>
  <c r="M160" i="124"/>
  <c r="Q159" i="124"/>
  <c r="Q159" i="125"/>
  <c r="T159" i="125" s="1"/>
  <c r="L141" i="126"/>
  <c r="K145" i="134"/>
  <c r="J154" i="134"/>
  <c r="H121" i="152"/>
  <c r="P121" i="152"/>
  <c r="P165" i="83"/>
  <c r="F193" i="83"/>
  <c r="Q173" i="139"/>
  <c r="T173" i="139" s="1"/>
  <c r="Q174" i="139"/>
  <c r="T174" i="139" s="1"/>
  <c r="Q192" i="139"/>
  <c r="T192" i="139" s="1"/>
  <c r="F164" i="154"/>
  <c r="F182" i="154" s="1"/>
  <c r="N164" i="154"/>
  <c r="N182" i="154" s="1"/>
  <c r="K172" i="154"/>
  <c r="E191" i="154"/>
  <c r="M191" i="154"/>
  <c r="Q137" i="124"/>
  <c r="Q139" i="124"/>
  <c r="T139" i="124" s="1"/>
  <c r="Q140" i="126"/>
  <c r="R140" i="126" s="1"/>
  <c r="E94" i="81"/>
  <c r="E135" i="134"/>
  <c r="L114" i="152"/>
  <c r="Q117" i="152"/>
  <c r="T117" i="152" s="1"/>
  <c r="Q127" i="152"/>
  <c r="T127" i="152" s="1"/>
  <c r="K164" i="154"/>
  <c r="K182" i="154" s="1"/>
  <c r="L172" i="154"/>
  <c r="I200" i="108"/>
  <c r="N125" i="122"/>
  <c r="E200" i="108"/>
  <c r="L200" i="108"/>
  <c r="M200" i="108"/>
  <c r="F200" i="108"/>
  <c r="N200" i="108"/>
  <c r="K200" i="108"/>
  <c r="J200" i="108"/>
  <c r="E13" i="108"/>
  <c r="E152" i="108" s="1"/>
  <c r="I125" i="122"/>
  <c r="Q124" i="122"/>
  <c r="G200" i="108"/>
  <c r="O200" i="108"/>
  <c r="P200" i="108"/>
  <c r="Q119" i="147"/>
  <c r="S119" i="147" s="1"/>
  <c r="H200" i="108"/>
  <c r="H198" i="83"/>
  <c r="L198" i="83"/>
  <c r="P198" i="83"/>
  <c r="N90" i="108"/>
  <c r="K198" i="83"/>
  <c r="E198" i="83"/>
  <c r="I43" i="83"/>
  <c r="G198" i="83"/>
  <c r="O198" i="83"/>
  <c r="E43" i="83"/>
  <c r="Q100" i="127"/>
  <c r="T100" i="127" s="1"/>
  <c r="Q104" i="127"/>
  <c r="Q180" i="90"/>
  <c r="F90" i="108"/>
  <c r="S110" i="147"/>
  <c r="U103" i="147"/>
  <c r="Q137" i="121"/>
  <c r="T137" i="121" s="1"/>
  <c r="Q68" i="121"/>
  <c r="T68" i="121" s="1"/>
  <c r="Q134" i="122"/>
  <c r="Q90" i="130"/>
  <c r="H125" i="132"/>
  <c r="M198" i="83"/>
  <c r="I198" i="83"/>
  <c r="G43" i="83"/>
  <c r="Q168" i="143"/>
  <c r="T168" i="143" s="1"/>
  <c r="Q92" i="148"/>
  <c r="U92" i="148" s="1"/>
  <c r="Q108" i="148"/>
  <c r="U108" i="148" s="1"/>
  <c r="Q105" i="148"/>
  <c r="U105" i="148" s="1"/>
  <c r="Q104" i="148"/>
  <c r="U104" i="148" s="1"/>
  <c r="E185" i="108"/>
  <c r="E189" i="108"/>
  <c r="E186" i="108"/>
  <c r="E166" i="83"/>
  <c r="E163" i="83" s="1"/>
  <c r="M159" i="132"/>
  <c r="H159" i="132"/>
  <c r="L159" i="132"/>
  <c r="P159" i="132"/>
  <c r="Q170" i="90"/>
  <c r="Q179" i="93"/>
  <c r="U179" i="93" s="1"/>
  <c r="Q180" i="93"/>
  <c r="U180" i="93" s="1"/>
  <c r="Q181" i="93"/>
  <c r="U181" i="93" s="1"/>
  <c r="Q183" i="93"/>
  <c r="U183" i="93" s="1"/>
  <c r="Q168" i="153"/>
  <c r="I159" i="132"/>
  <c r="M79" i="18"/>
  <c r="I79" i="18"/>
  <c r="T72" i="127"/>
  <c r="K79" i="18"/>
  <c r="Q52" i="132"/>
  <c r="Q66" i="132"/>
  <c r="Q72" i="132"/>
  <c r="Q82" i="132"/>
  <c r="Q100" i="132"/>
  <c r="T21" i="127"/>
  <c r="T60" i="127"/>
  <c r="Q90" i="127"/>
  <c r="T92" i="127"/>
  <c r="V86" i="130"/>
  <c r="Q27" i="18"/>
  <c r="O79" i="18"/>
  <c r="Q37" i="132"/>
  <c r="Q73" i="132"/>
  <c r="T24" i="127"/>
  <c r="T40" i="127"/>
  <c r="V14" i="130"/>
  <c r="G79" i="18"/>
  <c r="T32" i="127"/>
  <c r="T48" i="127"/>
  <c r="N79" i="18"/>
  <c r="Q27" i="132"/>
  <c r="Q38" i="132"/>
  <c r="Q62" i="132"/>
  <c r="Q69" i="132"/>
  <c r="Q74" i="132"/>
  <c r="Q80" i="132"/>
  <c r="Q85" i="132"/>
  <c r="Q92" i="132"/>
  <c r="Q145" i="132"/>
  <c r="T36" i="127"/>
  <c r="T76" i="127"/>
  <c r="T99" i="127"/>
  <c r="D200" i="153"/>
  <c r="U12" i="119"/>
  <c r="H31" i="119"/>
  <c r="H34" i="119" s="1"/>
  <c r="H27" i="119"/>
  <c r="H12" i="108"/>
  <c r="P31" i="119"/>
  <c r="P27" i="119"/>
  <c r="P12" i="108"/>
  <c r="M32" i="119"/>
  <c r="M30" i="108"/>
  <c r="U106" i="119"/>
  <c r="P141" i="119"/>
  <c r="P176" i="108"/>
  <c r="K27" i="123"/>
  <c r="K28" i="123" s="1"/>
  <c r="T73" i="123"/>
  <c r="T89" i="123"/>
  <c r="H79" i="18"/>
  <c r="L79" i="18"/>
  <c r="P79" i="18"/>
  <c r="G20" i="132"/>
  <c r="G31" i="132" s="1"/>
  <c r="F129" i="132"/>
  <c r="Q48" i="108"/>
  <c r="V48" i="108" s="1"/>
  <c r="Q78" i="108"/>
  <c r="V78" i="108" s="1"/>
  <c r="Q122" i="108"/>
  <c r="Q128" i="108"/>
  <c r="V128" i="108" s="1"/>
  <c r="Q157" i="108"/>
  <c r="V157" i="108" s="1"/>
  <c r="V140" i="108"/>
  <c r="Q161" i="108"/>
  <c r="V161" i="108" s="1"/>
  <c r="V144" i="108"/>
  <c r="Q197" i="108"/>
  <c r="U57" i="119"/>
  <c r="U60" i="119"/>
  <c r="U71" i="119"/>
  <c r="U79" i="119"/>
  <c r="U87" i="119"/>
  <c r="Q136" i="119"/>
  <c r="Q137" i="119"/>
  <c r="I141" i="119"/>
  <c r="F151" i="119"/>
  <c r="J151" i="119"/>
  <c r="N151" i="119"/>
  <c r="O27" i="123"/>
  <c r="O28" i="123" s="1"/>
  <c r="T33" i="123"/>
  <c r="R33" i="123"/>
  <c r="T49" i="123"/>
  <c r="T62" i="123"/>
  <c r="T85" i="123"/>
  <c r="T104" i="123"/>
  <c r="F141" i="123"/>
  <c r="F176" i="108"/>
  <c r="J141" i="123"/>
  <c r="J176" i="108"/>
  <c r="N141" i="123"/>
  <c r="N176" i="108"/>
  <c r="Q137" i="123"/>
  <c r="K141" i="123"/>
  <c r="E32" i="119"/>
  <c r="E34" i="119" s="1"/>
  <c r="E30" i="108"/>
  <c r="I32" i="119"/>
  <c r="I34" i="119" s="1"/>
  <c r="I30" i="108"/>
  <c r="M27" i="119"/>
  <c r="M28" i="119" s="1"/>
  <c r="U91" i="119"/>
  <c r="H176" i="108"/>
  <c r="O34" i="123"/>
  <c r="T53" i="123"/>
  <c r="Q15" i="18"/>
  <c r="V100" i="130"/>
  <c r="T86" i="131"/>
  <c r="Q95" i="144"/>
  <c r="Q101" i="108"/>
  <c r="V101" i="108" s="1"/>
  <c r="Q124" i="108"/>
  <c r="E27" i="119"/>
  <c r="U102" i="119"/>
  <c r="H134" i="119"/>
  <c r="H171" i="108"/>
  <c r="L134" i="119"/>
  <c r="L171" i="108"/>
  <c r="P134" i="119"/>
  <c r="P171" i="108"/>
  <c r="E199" i="108"/>
  <c r="E160" i="119"/>
  <c r="I199" i="108"/>
  <c r="I160" i="119"/>
  <c r="I161" i="119" s="1"/>
  <c r="I36" i="119" s="1"/>
  <c r="M199" i="108"/>
  <c r="M160" i="119"/>
  <c r="Q157" i="119"/>
  <c r="U157" i="119" s="1"/>
  <c r="T45" i="123"/>
  <c r="T81" i="123"/>
  <c r="Q95" i="123"/>
  <c r="T100" i="123"/>
  <c r="H136" i="108"/>
  <c r="H153" i="108" s="1"/>
  <c r="H125" i="123"/>
  <c r="L136" i="108"/>
  <c r="L153" i="108" s="1"/>
  <c r="L125" i="123"/>
  <c r="P136" i="108"/>
  <c r="P153" i="108" s="1"/>
  <c r="P125" i="123"/>
  <c r="Q131" i="123"/>
  <c r="Q139" i="123"/>
  <c r="O141" i="123"/>
  <c r="L31" i="119"/>
  <c r="L12" i="108"/>
  <c r="L141" i="119"/>
  <c r="L176" i="108"/>
  <c r="Q17" i="123"/>
  <c r="T12" i="123"/>
  <c r="Q43" i="18"/>
  <c r="F79" i="18"/>
  <c r="J79" i="18"/>
  <c r="J115" i="144"/>
  <c r="N115" i="144"/>
  <c r="Q108" i="108"/>
  <c r="V108" i="108" s="1"/>
  <c r="Q159" i="108"/>
  <c r="V159" i="108" s="1"/>
  <c r="V142" i="108"/>
  <c r="I27" i="119"/>
  <c r="U53" i="119"/>
  <c r="U64" i="119"/>
  <c r="U67" i="119"/>
  <c r="U83" i="119"/>
  <c r="Q95" i="119"/>
  <c r="U95" i="119" s="1"/>
  <c r="G125" i="119"/>
  <c r="G134" i="108"/>
  <c r="G127" i="119"/>
  <c r="G54" i="119"/>
  <c r="G108" i="119" s="1"/>
  <c r="K125" i="119"/>
  <c r="K134" i="108"/>
  <c r="K127" i="119"/>
  <c r="K54" i="119"/>
  <c r="O125" i="119"/>
  <c r="O134" i="108"/>
  <c r="O127" i="119"/>
  <c r="O54" i="119"/>
  <c r="O108" i="119" s="1"/>
  <c r="U132" i="119"/>
  <c r="F160" i="119"/>
  <c r="J160" i="119"/>
  <c r="N160" i="119"/>
  <c r="Q158" i="119"/>
  <c r="U158" i="119" s="1"/>
  <c r="Q25" i="123"/>
  <c r="T25" i="123" s="1"/>
  <c r="T20" i="123"/>
  <c r="G27" i="123"/>
  <c r="G28" i="123" s="1"/>
  <c r="T41" i="123"/>
  <c r="T57" i="123"/>
  <c r="T77" i="123"/>
  <c r="T93" i="123"/>
  <c r="H127" i="123"/>
  <c r="F171" i="108"/>
  <c r="F134" i="123"/>
  <c r="J171" i="108"/>
  <c r="J134" i="123"/>
  <c r="N171" i="108"/>
  <c r="N134" i="123"/>
  <c r="H134" i="123"/>
  <c r="H173" i="108"/>
  <c r="L134" i="123"/>
  <c r="L173" i="108"/>
  <c r="P134" i="123"/>
  <c r="P173" i="108"/>
  <c r="Q140" i="123"/>
  <c r="Q144" i="123"/>
  <c r="T144" i="123" s="1"/>
  <c r="Q148" i="123"/>
  <c r="H151" i="123"/>
  <c r="L151" i="123"/>
  <c r="P151" i="123"/>
  <c r="Q157" i="123"/>
  <c r="Q163" i="123"/>
  <c r="T163" i="123" s="1"/>
  <c r="N125" i="124"/>
  <c r="K27" i="125"/>
  <c r="K28" i="125" s="1"/>
  <c r="T40" i="125"/>
  <c r="T94" i="125"/>
  <c r="Q137" i="125"/>
  <c r="U23" i="148"/>
  <c r="U40" i="148"/>
  <c r="U67" i="148"/>
  <c r="T53" i="126"/>
  <c r="T69" i="126"/>
  <c r="R132" i="126"/>
  <c r="T49" i="121"/>
  <c r="T56" i="121"/>
  <c r="T100" i="121"/>
  <c r="T151" i="121"/>
  <c r="U79" i="147"/>
  <c r="S79" i="147"/>
  <c r="T15" i="149"/>
  <c r="U39" i="81"/>
  <c r="Q157" i="134"/>
  <c r="T157" i="134" s="1"/>
  <c r="H90" i="108"/>
  <c r="L90" i="108"/>
  <c r="P90" i="108"/>
  <c r="F27" i="119"/>
  <c r="J27" i="119"/>
  <c r="J28" i="119" s="1"/>
  <c r="N27" i="119"/>
  <c r="N28" i="119" s="1"/>
  <c r="F31" i="119"/>
  <c r="J31" i="119"/>
  <c r="N31" i="119"/>
  <c r="E125" i="119"/>
  <c r="I125" i="119"/>
  <c r="M125" i="119"/>
  <c r="Q131" i="119"/>
  <c r="U131" i="119" s="1"/>
  <c r="E151" i="119"/>
  <c r="H27" i="123"/>
  <c r="H28" i="123" s="1"/>
  <c r="L27" i="123"/>
  <c r="L28" i="123" s="1"/>
  <c r="P27" i="123"/>
  <c r="P28" i="123" s="1"/>
  <c r="Q117" i="123"/>
  <c r="R81" i="123" s="1"/>
  <c r="Q122" i="123"/>
  <c r="T122" i="123" s="1"/>
  <c r="G125" i="123"/>
  <c r="K125" i="123"/>
  <c r="O125" i="123"/>
  <c r="Q143" i="123"/>
  <c r="Q25" i="124"/>
  <c r="T25" i="124" s="1"/>
  <c r="T46" i="124"/>
  <c r="T58" i="124"/>
  <c r="T82" i="124"/>
  <c r="T98" i="124"/>
  <c r="Q131" i="124"/>
  <c r="Q138" i="124"/>
  <c r="T138" i="124" s="1"/>
  <c r="G151" i="124"/>
  <c r="K151" i="124"/>
  <c r="O151" i="124"/>
  <c r="Q146" i="124"/>
  <c r="T146" i="124" s="1"/>
  <c r="Q157" i="124"/>
  <c r="T33" i="125"/>
  <c r="R33" i="125"/>
  <c r="T78" i="125"/>
  <c r="T90" i="125"/>
  <c r="Q95" i="125"/>
  <c r="T95" i="125" s="1"/>
  <c r="P125" i="125"/>
  <c r="F141" i="125"/>
  <c r="J141" i="125"/>
  <c r="N141" i="125"/>
  <c r="Q138" i="125"/>
  <c r="G151" i="125"/>
  <c r="K151" i="125"/>
  <c r="O151" i="125"/>
  <c r="Q145" i="125"/>
  <c r="H160" i="125"/>
  <c r="L160" i="125"/>
  <c r="P160" i="125"/>
  <c r="N129" i="148"/>
  <c r="N28" i="122"/>
  <c r="N58" i="122" s="1"/>
  <c r="Q67" i="122"/>
  <c r="U36" i="148"/>
  <c r="Q43" i="148"/>
  <c r="U44" i="148"/>
  <c r="U52" i="148"/>
  <c r="U114" i="148"/>
  <c r="H28" i="126"/>
  <c r="L27" i="126"/>
  <c r="L28" i="126" s="1"/>
  <c r="P31" i="126"/>
  <c r="P34" i="126" s="1"/>
  <c r="T49" i="126"/>
  <c r="T65" i="126"/>
  <c r="T81" i="126"/>
  <c r="T93" i="126"/>
  <c r="T101" i="126"/>
  <c r="N125" i="126"/>
  <c r="F151" i="126"/>
  <c r="J151" i="126"/>
  <c r="N151" i="126"/>
  <c r="Q145" i="126"/>
  <c r="G160" i="126"/>
  <c r="K160" i="126"/>
  <c r="O160" i="126"/>
  <c r="Q159" i="126"/>
  <c r="Q163" i="126"/>
  <c r="T163" i="126" s="1"/>
  <c r="Q17" i="121"/>
  <c r="T73" i="121"/>
  <c r="Q195" i="108"/>
  <c r="G27" i="119"/>
  <c r="G28" i="119" s="1"/>
  <c r="K27" i="119"/>
  <c r="K28" i="119" s="1"/>
  <c r="R78" i="119"/>
  <c r="R101" i="119"/>
  <c r="U112" i="119"/>
  <c r="I27" i="123"/>
  <c r="I28" i="123" s="1"/>
  <c r="E141" i="123"/>
  <c r="T42" i="124"/>
  <c r="T54" i="124"/>
  <c r="T78" i="124"/>
  <c r="T94" i="124"/>
  <c r="F125" i="124"/>
  <c r="Q132" i="124"/>
  <c r="H141" i="124"/>
  <c r="L141" i="124"/>
  <c r="L161" i="124" s="1"/>
  <c r="L36" i="124" s="1"/>
  <c r="P141" i="124"/>
  <c r="Q140" i="124"/>
  <c r="T153" i="124"/>
  <c r="F160" i="124"/>
  <c r="J160" i="124"/>
  <c r="N160" i="124"/>
  <c r="Q158" i="124"/>
  <c r="Q25" i="125"/>
  <c r="T25" i="125" s="1"/>
  <c r="T20" i="125"/>
  <c r="G31" i="125"/>
  <c r="T55" i="125"/>
  <c r="T86" i="125"/>
  <c r="G141" i="125"/>
  <c r="K141" i="125"/>
  <c r="O141" i="125"/>
  <c r="Q139" i="125"/>
  <c r="H151" i="125"/>
  <c r="L151" i="125"/>
  <c r="P151" i="125"/>
  <c r="Q147" i="125"/>
  <c r="T147" i="125" s="1"/>
  <c r="E160" i="125"/>
  <c r="I160" i="125"/>
  <c r="M160" i="125"/>
  <c r="U60" i="148"/>
  <c r="U63" i="148"/>
  <c r="U79" i="148"/>
  <c r="U100" i="148"/>
  <c r="T45" i="126"/>
  <c r="T61" i="126"/>
  <c r="T77" i="126"/>
  <c r="R99" i="126"/>
  <c r="E134" i="126"/>
  <c r="E161" i="126" s="1"/>
  <c r="E36" i="126" s="1"/>
  <c r="I134" i="126"/>
  <c r="M134" i="126"/>
  <c r="Q138" i="126"/>
  <c r="G151" i="126"/>
  <c r="K151" i="126"/>
  <c r="O151" i="126"/>
  <c r="Q146" i="126"/>
  <c r="T146" i="126" s="1"/>
  <c r="T53" i="121"/>
  <c r="T69" i="121"/>
  <c r="U105" i="147"/>
  <c r="S105" i="147"/>
  <c r="T65" i="149"/>
  <c r="L31" i="108"/>
  <c r="F137" i="108"/>
  <c r="F154" i="108" s="1"/>
  <c r="J137" i="108"/>
  <c r="J154" i="108" s="1"/>
  <c r="N137" i="108"/>
  <c r="N154" i="108" s="1"/>
  <c r="U26" i="119"/>
  <c r="F27" i="123"/>
  <c r="F28" i="123" s="1"/>
  <c r="J27" i="123"/>
  <c r="J28" i="123" s="1"/>
  <c r="N27" i="123"/>
  <c r="N28" i="123" s="1"/>
  <c r="F31" i="124"/>
  <c r="F34" i="124" s="1"/>
  <c r="F27" i="124"/>
  <c r="F28" i="124" s="1"/>
  <c r="J31" i="124"/>
  <c r="J34" i="124" s="1"/>
  <c r="N31" i="124"/>
  <c r="N34" i="124" s="1"/>
  <c r="N27" i="124"/>
  <c r="N28" i="124" s="1"/>
  <c r="T67" i="124"/>
  <c r="T74" i="124"/>
  <c r="T90" i="124"/>
  <c r="J125" i="124"/>
  <c r="G134" i="124"/>
  <c r="K134" i="124"/>
  <c r="O134" i="124"/>
  <c r="Q136" i="124"/>
  <c r="Q163" i="124"/>
  <c r="T163" i="124" s="1"/>
  <c r="T12" i="125"/>
  <c r="G27" i="125"/>
  <c r="G28" i="125" s="1"/>
  <c r="K31" i="125"/>
  <c r="T44" i="125"/>
  <c r="T82" i="125"/>
  <c r="F134" i="125"/>
  <c r="J134" i="125"/>
  <c r="N134" i="125"/>
  <c r="Q133" i="125"/>
  <c r="T133" i="125" s="1"/>
  <c r="H125" i="122"/>
  <c r="L125" i="122"/>
  <c r="P125" i="122"/>
  <c r="U48" i="148"/>
  <c r="U56" i="148"/>
  <c r="U75" i="148"/>
  <c r="Q94" i="148"/>
  <c r="U94" i="148" s="1"/>
  <c r="Q108" i="126"/>
  <c r="R108" i="126" s="1"/>
  <c r="T41" i="126"/>
  <c r="T57" i="126"/>
  <c r="T73" i="126"/>
  <c r="T89" i="126"/>
  <c r="T105" i="126"/>
  <c r="T153" i="126"/>
  <c r="Q157" i="126"/>
  <c r="Q123" i="121"/>
  <c r="T123" i="121" s="1"/>
  <c r="T14" i="121"/>
  <c r="T20" i="121"/>
  <c r="T60" i="121"/>
  <c r="T104" i="121"/>
  <c r="F126" i="121"/>
  <c r="J126" i="121"/>
  <c r="N126" i="121"/>
  <c r="T35" i="149"/>
  <c r="T39" i="124"/>
  <c r="Q120" i="124"/>
  <c r="T120" i="124" s="1"/>
  <c r="G125" i="124"/>
  <c r="K125" i="124"/>
  <c r="O125" i="124"/>
  <c r="E127" i="124"/>
  <c r="I127" i="124"/>
  <c r="M127" i="124"/>
  <c r="Q143" i="124"/>
  <c r="T143" i="124" s="1"/>
  <c r="L27" i="125"/>
  <c r="L28" i="125" s="1"/>
  <c r="H31" i="125"/>
  <c r="L31" i="125"/>
  <c r="P31" i="125"/>
  <c r="Q117" i="125"/>
  <c r="R85" i="125" s="1"/>
  <c r="E125" i="125"/>
  <c r="I125" i="125"/>
  <c r="M125" i="125"/>
  <c r="G127" i="125"/>
  <c r="K127" i="125"/>
  <c r="O127" i="125"/>
  <c r="Q131" i="125"/>
  <c r="T131" i="125" s="1"/>
  <c r="O125" i="122"/>
  <c r="H129" i="148"/>
  <c r="H128" i="148" s="1"/>
  <c r="L129" i="148"/>
  <c r="P129" i="148"/>
  <c r="E27" i="126"/>
  <c r="I27" i="126"/>
  <c r="I28" i="126" s="1"/>
  <c r="M27" i="126"/>
  <c r="M28" i="126" s="1"/>
  <c r="E31" i="126"/>
  <c r="I31" i="126"/>
  <c r="I34" i="126" s="1"/>
  <c r="M31" i="126"/>
  <c r="M34" i="126" s="1"/>
  <c r="Q120" i="126"/>
  <c r="T120" i="126" s="1"/>
  <c r="Q124" i="126"/>
  <c r="T124" i="126" s="1"/>
  <c r="G125" i="126"/>
  <c r="K125" i="126"/>
  <c r="O125" i="126"/>
  <c r="E127" i="126"/>
  <c r="I127" i="126"/>
  <c r="M127" i="126"/>
  <c r="Q136" i="126"/>
  <c r="T136" i="126" s="1"/>
  <c r="Q143" i="126"/>
  <c r="R143" i="126" s="1"/>
  <c r="T156" i="121"/>
  <c r="T160" i="121"/>
  <c r="Q19" i="146"/>
  <c r="Q22" i="146" s="1"/>
  <c r="T22" i="146" s="1"/>
  <c r="E132" i="146"/>
  <c r="E24" i="146" s="1"/>
  <c r="I132" i="146"/>
  <c r="I24" i="146" s="1"/>
  <c r="I97" i="146" s="1"/>
  <c r="I98" i="146" s="1"/>
  <c r="M132" i="146"/>
  <c r="M24" i="146" s="1"/>
  <c r="M97" i="146" s="1"/>
  <c r="M98" i="146" s="1"/>
  <c r="U36" i="147"/>
  <c r="S36" i="147"/>
  <c r="U48" i="147"/>
  <c r="S48" i="147"/>
  <c r="U60" i="147"/>
  <c r="S60" i="147"/>
  <c r="U63" i="147"/>
  <c r="S63" i="147"/>
  <c r="T31" i="149"/>
  <c r="T58" i="149"/>
  <c r="T73" i="149"/>
  <c r="T80" i="149"/>
  <c r="T90" i="149"/>
  <c r="T97" i="149"/>
  <c r="T70" i="134"/>
  <c r="G145" i="134"/>
  <c r="T144" i="134"/>
  <c r="G27" i="124"/>
  <c r="G28" i="124" s="1"/>
  <c r="K27" i="124"/>
  <c r="K28" i="124" s="1"/>
  <c r="O27" i="124"/>
  <c r="O28" i="124" s="1"/>
  <c r="E141" i="124"/>
  <c r="E27" i="125"/>
  <c r="E28" i="125" s="1"/>
  <c r="I27" i="125"/>
  <c r="I28" i="125" s="1"/>
  <c r="M27" i="125"/>
  <c r="M28" i="125" s="1"/>
  <c r="Q157" i="125"/>
  <c r="Q96" i="148"/>
  <c r="U96" i="148" s="1"/>
  <c r="F27" i="126"/>
  <c r="F28" i="126" s="1"/>
  <c r="J27" i="126"/>
  <c r="J28" i="126" s="1"/>
  <c r="N27" i="126"/>
  <c r="N28" i="126" s="1"/>
  <c r="T112" i="126"/>
  <c r="I29" i="121"/>
  <c r="P126" i="121"/>
  <c r="T147" i="121"/>
  <c r="Q96" i="146"/>
  <c r="U44" i="147"/>
  <c r="S44" i="147"/>
  <c r="U75" i="147"/>
  <c r="S75" i="147"/>
  <c r="Q92" i="147"/>
  <c r="U92" i="147" s="1"/>
  <c r="U94" i="147"/>
  <c r="S94" i="147"/>
  <c r="T27" i="149"/>
  <c r="T43" i="149"/>
  <c r="T54" i="149"/>
  <c r="T76" i="149"/>
  <c r="T86" i="134"/>
  <c r="T71" i="135"/>
  <c r="H27" i="124"/>
  <c r="H28" i="124" s="1"/>
  <c r="L27" i="124"/>
  <c r="L28" i="124" s="1"/>
  <c r="P27" i="124"/>
  <c r="P28" i="124" s="1"/>
  <c r="F27" i="125"/>
  <c r="F28" i="125" s="1"/>
  <c r="J27" i="125"/>
  <c r="J28" i="125" s="1"/>
  <c r="N27" i="125"/>
  <c r="N28" i="125" s="1"/>
  <c r="Q143" i="125"/>
  <c r="R143" i="125" s="1"/>
  <c r="T153" i="125"/>
  <c r="G27" i="126"/>
  <c r="G28" i="126" s="1"/>
  <c r="K27" i="126"/>
  <c r="K28" i="126" s="1"/>
  <c r="O27" i="126"/>
  <c r="O28" i="126" s="1"/>
  <c r="Q131" i="126"/>
  <c r="F29" i="121"/>
  <c r="J29" i="121"/>
  <c r="N29" i="121"/>
  <c r="E126" i="121"/>
  <c r="I126" i="121"/>
  <c r="M126" i="121"/>
  <c r="T134" i="121"/>
  <c r="T142" i="121"/>
  <c r="U23" i="147"/>
  <c r="S23" i="147"/>
  <c r="S56" i="147"/>
  <c r="U67" i="147"/>
  <c r="S67" i="147"/>
  <c r="U100" i="147"/>
  <c r="S100" i="147"/>
  <c r="U118" i="147"/>
  <c r="S118" i="147"/>
  <c r="T39" i="149"/>
  <c r="T50" i="149"/>
  <c r="T69" i="149"/>
  <c r="T96" i="134"/>
  <c r="T112" i="134"/>
  <c r="Q140" i="134"/>
  <c r="T140" i="134" s="1"/>
  <c r="T74" i="136"/>
  <c r="T90" i="136"/>
  <c r="K101" i="138"/>
  <c r="K103" i="138" s="1"/>
  <c r="T27" i="150"/>
  <c r="G153" i="152"/>
  <c r="G25" i="81"/>
  <c r="K153" i="152"/>
  <c r="K25" i="81"/>
  <c r="O153" i="152"/>
  <c r="O25" i="81"/>
  <c r="F140" i="152"/>
  <c r="F94" i="81"/>
  <c r="J140" i="152"/>
  <c r="J94" i="81"/>
  <c r="N140" i="152"/>
  <c r="N94" i="81"/>
  <c r="T38" i="139"/>
  <c r="T110" i="139"/>
  <c r="E22" i="146"/>
  <c r="E55" i="108" s="1"/>
  <c r="T102" i="149"/>
  <c r="Q110" i="149"/>
  <c r="T110" i="149" s="1"/>
  <c r="Q53" i="81"/>
  <c r="U53" i="81" s="1"/>
  <c r="U59" i="81"/>
  <c r="Q28" i="134"/>
  <c r="R100" i="134" s="1"/>
  <c r="T59" i="134"/>
  <c r="T66" i="134"/>
  <c r="T82" i="134"/>
  <c r="Q108" i="134"/>
  <c r="R108" i="134" s="1"/>
  <c r="E128" i="134"/>
  <c r="I128" i="134"/>
  <c r="M128" i="134"/>
  <c r="Q126" i="134"/>
  <c r="T126" i="134" s="1"/>
  <c r="G154" i="134"/>
  <c r="T67" i="135"/>
  <c r="T83" i="135"/>
  <c r="T86" i="136"/>
  <c r="H24" i="81"/>
  <c r="L24" i="81"/>
  <c r="P24" i="81"/>
  <c r="P13" i="18" s="1"/>
  <c r="Q115" i="138"/>
  <c r="Q125" i="138"/>
  <c r="T39" i="150"/>
  <c r="Q15" i="152"/>
  <c r="R52" i="152" s="1"/>
  <c r="T12" i="152"/>
  <c r="T126" i="139"/>
  <c r="S59" i="147"/>
  <c r="S66" i="147"/>
  <c r="S70" i="147"/>
  <c r="S74" i="147"/>
  <c r="S78" i="147"/>
  <c r="S82" i="147"/>
  <c r="Q97" i="147"/>
  <c r="U97" i="147" s="1"/>
  <c r="S99" i="147"/>
  <c r="S104" i="147"/>
  <c r="S108" i="147"/>
  <c r="S117" i="147"/>
  <c r="Q100" i="149"/>
  <c r="T100" i="149" s="1"/>
  <c r="Q47" i="134"/>
  <c r="T47" i="134" s="1"/>
  <c r="T62" i="134"/>
  <c r="T78" i="134"/>
  <c r="T104" i="134"/>
  <c r="Q127" i="134"/>
  <c r="H135" i="134"/>
  <c r="H76" i="81" s="1"/>
  <c r="H71" i="81"/>
  <c r="L135" i="134"/>
  <c r="L76" i="81" s="1"/>
  <c r="L71" i="81"/>
  <c r="P135" i="134"/>
  <c r="P71" i="81"/>
  <c r="Q134" i="134"/>
  <c r="T134" i="134" s="1"/>
  <c r="E145" i="134"/>
  <c r="I145" i="134"/>
  <c r="M145" i="134"/>
  <c r="Q142" i="134"/>
  <c r="J145" i="134"/>
  <c r="K154" i="134"/>
  <c r="H19" i="81"/>
  <c r="L19" i="81"/>
  <c r="T63" i="135"/>
  <c r="T79" i="135"/>
  <c r="E20" i="81"/>
  <c r="M20" i="81"/>
  <c r="M27" i="81" s="1"/>
  <c r="Q15" i="136"/>
  <c r="R71" i="136" s="1"/>
  <c r="T82" i="136"/>
  <c r="H129" i="136"/>
  <c r="H23" i="136" s="1"/>
  <c r="G109" i="136"/>
  <c r="G129" i="136" s="1"/>
  <c r="G23" i="136" s="1"/>
  <c r="K109" i="136"/>
  <c r="K129" i="136" s="1"/>
  <c r="K23" i="136" s="1"/>
  <c r="O109" i="136"/>
  <c r="O129" i="136" s="1"/>
  <c r="O23" i="136" s="1"/>
  <c r="Q108" i="138"/>
  <c r="E135" i="138"/>
  <c r="E29" i="138" s="1"/>
  <c r="E101" i="138" s="1"/>
  <c r="E103" i="138" s="1"/>
  <c r="I135" i="138"/>
  <c r="I29" i="138" s="1"/>
  <c r="I101" i="138" s="1"/>
  <c r="M135" i="138"/>
  <c r="M29" i="138" s="1"/>
  <c r="M114" i="150"/>
  <c r="M149" i="150" s="1"/>
  <c r="T35" i="150"/>
  <c r="Q138" i="150"/>
  <c r="Q147" i="150"/>
  <c r="F22" i="81"/>
  <c r="J22" i="81"/>
  <c r="N22" i="81"/>
  <c r="Q106" i="151"/>
  <c r="Q116" i="151"/>
  <c r="Q34" i="152"/>
  <c r="T34" i="152" s="1"/>
  <c r="E106" i="152"/>
  <c r="E43" i="81" s="1"/>
  <c r="Q43" i="81" s="1"/>
  <c r="U43" i="81" s="1"/>
  <c r="Q112" i="152"/>
  <c r="T112" i="152" s="1"/>
  <c r="Q119" i="152"/>
  <c r="R119" i="152" s="1"/>
  <c r="T50" i="139"/>
  <c r="T78" i="139"/>
  <c r="T142" i="139"/>
  <c r="T106" i="149"/>
  <c r="Q50" i="81"/>
  <c r="U50" i="81" s="1"/>
  <c r="Q87" i="81"/>
  <c r="U87" i="81" s="1"/>
  <c r="T100" i="134"/>
  <c r="T116" i="134"/>
  <c r="F128" i="134"/>
  <c r="J128" i="134"/>
  <c r="N128" i="134"/>
  <c r="N69" i="81"/>
  <c r="Q131" i="134"/>
  <c r="T131" i="134" s="1"/>
  <c r="I135" i="134"/>
  <c r="Q138" i="134"/>
  <c r="N145" i="134"/>
  <c r="O154" i="134"/>
  <c r="T59" i="135"/>
  <c r="T75" i="135"/>
  <c r="T117" i="135"/>
  <c r="T78" i="136"/>
  <c r="I129" i="136"/>
  <c r="I23" i="136" s="1"/>
  <c r="M129" i="136"/>
  <c r="M23" i="136" s="1"/>
  <c r="M95" i="136" s="1"/>
  <c r="M56" i="81" s="1"/>
  <c r="F135" i="138"/>
  <c r="F29" i="138" s="1"/>
  <c r="J135" i="138"/>
  <c r="J29" i="138" s="1"/>
  <c r="J101" i="138" s="1"/>
  <c r="N135" i="138"/>
  <c r="N29" i="138" s="1"/>
  <c r="N101" i="138" s="1"/>
  <c r="N103" i="138" s="1"/>
  <c r="T31" i="150"/>
  <c r="H148" i="150"/>
  <c r="H42" i="150" s="1"/>
  <c r="L148" i="150"/>
  <c r="L42" i="150" s="1"/>
  <c r="L114" i="150" s="1"/>
  <c r="L149" i="150" s="1"/>
  <c r="P148" i="150"/>
  <c r="P42" i="150" s="1"/>
  <c r="P114" i="150" s="1"/>
  <c r="Q18" i="151"/>
  <c r="T18" i="151" s="1"/>
  <c r="Q125" i="151"/>
  <c r="F114" i="152"/>
  <c r="J114" i="152"/>
  <c r="N114" i="152"/>
  <c r="Q113" i="152"/>
  <c r="T113" i="152" s="1"/>
  <c r="E131" i="152"/>
  <c r="I131" i="152"/>
  <c r="I80" i="81"/>
  <c r="M131" i="152"/>
  <c r="M80" i="81"/>
  <c r="Q123" i="152"/>
  <c r="T22" i="139"/>
  <c r="T66" i="139"/>
  <c r="T94" i="139"/>
  <c r="T74" i="143"/>
  <c r="T94" i="149"/>
  <c r="Q14" i="135"/>
  <c r="R97" i="135" s="1"/>
  <c r="E109" i="136"/>
  <c r="E129" i="136" s="1"/>
  <c r="E23" i="136" s="1"/>
  <c r="Q18" i="138"/>
  <c r="Q22" i="138"/>
  <c r="T22" i="138" s="1"/>
  <c r="E121" i="152"/>
  <c r="I121" i="152"/>
  <c r="M121" i="152"/>
  <c r="M76" i="81" s="1"/>
  <c r="Q116" i="152"/>
  <c r="T116" i="152" s="1"/>
  <c r="F131" i="152"/>
  <c r="J131" i="152"/>
  <c r="N131" i="152"/>
  <c r="Q124" i="152"/>
  <c r="T124" i="152" s="1"/>
  <c r="G140" i="152"/>
  <c r="K140" i="152"/>
  <c r="O140" i="152"/>
  <c r="Q139" i="152"/>
  <c r="T139" i="152" s="1"/>
  <c r="Q143" i="152"/>
  <c r="T143" i="152" s="1"/>
  <c r="Q148" i="152"/>
  <c r="T148" i="152" s="1"/>
  <c r="T147" i="152"/>
  <c r="I153" i="152"/>
  <c r="T18" i="139"/>
  <c r="T34" i="139"/>
  <c r="T46" i="139"/>
  <c r="T90" i="139"/>
  <c r="T106" i="139"/>
  <c r="T122" i="139"/>
  <c r="T138" i="139"/>
  <c r="T154" i="139"/>
  <c r="T138" i="143"/>
  <c r="Q134" i="138"/>
  <c r="T45" i="150"/>
  <c r="T23" i="151"/>
  <c r="F121" i="152"/>
  <c r="F76" i="81" s="1"/>
  <c r="F78" i="81" s="1"/>
  <c r="J121" i="152"/>
  <c r="N121" i="152"/>
  <c r="G131" i="152"/>
  <c r="K131" i="152"/>
  <c r="O131" i="152"/>
  <c r="Q125" i="152"/>
  <c r="T125" i="152" s="1"/>
  <c r="T136" i="152"/>
  <c r="H140" i="152"/>
  <c r="L140" i="152"/>
  <c r="P140" i="152"/>
  <c r="M153" i="152"/>
  <c r="T30" i="139"/>
  <c r="T58" i="139"/>
  <c r="T86" i="139"/>
  <c r="T134" i="139"/>
  <c r="T150" i="139"/>
  <c r="H43" i="83"/>
  <c r="L43" i="83"/>
  <c r="T75" i="140"/>
  <c r="I168" i="83"/>
  <c r="T117" i="143"/>
  <c r="T177" i="143"/>
  <c r="Q137" i="134"/>
  <c r="G121" i="152"/>
  <c r="K121" i="152"/>
  <c r="O121" i="152"/>
  <c r="H131" i="152"/>
  <c r="L131" i="152"/>
  <c r="P131" i="152"/>
  <c r="Q126" i="152"/>
  <c r="T126" i="152" s="1"/>
  <c r="Q137" i="152"/>
  <c r="T137" i="152" s="1"/>
  <c r="Q189" i="83"/>
  <c r="U189" i="83" s="1"/>
  <c r="T26" i="139"/>
  <c r="T42" i="139"/>
  <c r="T54" i="139"/>
  <c r="T82" i="139"/>
  <c r="T98" i="139"/>
  <c r="T114" i="139"/>
  <c r="T130" i="139"/>
  <c r="T146" i="139"/>
  <c r="T187" i="139"/>
  <c r="T89" i="140"/>
  <c r="U116" i="142"/>
  <c r="Q187" i="83"/>
  <c r="U187" i="83" s="1"/>
  <c r="U132" i="142"/>
  <c r="T90" i="143"/>
  <c r="T133" i="143"/>
  <c r="T72" i="140"/>
  <c r="T91" i="140"/>
  <c r="U84" i="142"/>
  <c r="U148" i="142"/>
  <c r="T85" i="143"/>
  <c r="T106" i="143"/>
  <c r="T149" i="143"/>
  <c r="Q165" i="139"/>
  <c r="Q166" i="139" s="1"/>
  <c r="T191" i="139"/>
  <c r="T80" i="140"/>
  <c r="U100" i="142"/>
  <c r="T101" i="143"/>
  <c r="T122" i="143"/>
  <c r="Q163" i="93"/>
  <c r="U163" i="93" s="1"/>
  <c r="Q168" i="142"/>
  <c r="U168" i="142" s="1"/>
  <c r="T81" i="143"/>
  <c r="T86" i="143"/>
  <c r="T113" i="143"/>
  <c r="T134" i="143"/>
  <c r="T145" i="143"/>
  <c r="T19" i="140"/>
  <c r="T140" i="140"/>
  <c r="T144" i="140"/>
  <c r="T152" i="140"/>
  <c r="T156" i="140"/>
  <c r="T77" i="143"/>
  <c r="T82" i="143"/>
  <c r="T93" i="143"/>
  <c r="T98" i="143"/>
  <c r="T109" i="143"/>
  <c r="T114" i="143"/>
  <c r="T125" i="143"/>
  <c r="T130" i="143"/>
  <c r="T141" i="143"/>
  <c r="T146" i="143"/>
  <c r="U169" i="93"/>
  <c r="Q168" i="139"/>
  <c r="U165" i="142"/>
  <c r="Q166" i="142"/>
  <c r="U166" i="142" s="1"/>
  <c r="T78" i="143"/>
  <c r="T94" i="143"/>
  <c r="T110" i="143"/>
  <c r="T126" i="143"/>
  <c r="T142" i="143"/>
  <c r="T190" i="143"/>
  <c r="Q192" i="140"/>
  <c r="U15" i="142"/>
  <c r="U19" i="142"/>
  <c r="U23" i="142"/>
  <c r="U27" i="142"/>
  <c r="U31" i="142"/>
  <c r="U35" i="142"/>
  <c r="U39" i="142"/>
  <c r="Q43" i="142"/>
  <c r="U43" i="142" s="1"/>
  <c r="U47" i="142"/>
  <c r="U51" i="142"/>
  <c r="U59" i="142"/>
  <c r="U63" i="142"/>
  <c r="U67" i="142"/>
  <c r="U181" i="142"/>
  <c r="U190" i="142"/>
  <c r="T17" i="143"/>
  <c r="T21" i="143"/>
  <c r="T25" i="143"/>
  <c r="T29" i="143"/>
  <c r="T33" i="143"/>
  <c r="T37" i="143"/>
  <c r="T53" i="143"/>
  <c r="T69" i="143"/>
  <c r="Q176" i="93"/>
  <c r="U176" i="93" s="1"/>
  <c r="U71" i="142"/>
  <c r="U75" i="142"/>
  <c r="U79" i="142"/>
  <c r="U83" i="142"/>
  <c r="U87" i="142"/>
  <c r="U91" i="142"/>
  <c r="U95" i="142"/>
  <c r="U99" i="142"/>
  <c r="U103" i="142"/>
  <c r="U107" i="142"/>
  <c r="U111" i="142"/>
  <c r="U115" i="142"/>
  <c r="U119" i="142"/>
  <c r="U123" i="142"/>
  <c r="U127" i="142"/>
  <c r="U131" i="142"/>
  <c r="U135" i="142"/>
  <c r="U139" i="142"/>
  <c r="U143" i="142"/>
  <c r="U147" i="142"/>
  <c r="U151" i="142"/>
  <c r="U155" i="142"/>
  <c r="T169" i="143"/>
  <c r="Q192" i="142"/>
  <c r="U192" i="142" s="1"/>
  <c r="U15" i="93"/>
  <c r="Q173" i="93"/>
  <c r="U173" i="93" s="1"/>
  <c r="Q166" i="143"/>
  <c r="T164" i="143"/>
  <c r="T180" i="143"/>
  <c r="T184" i="143"/>
  <c r="T189" i="143"/>
  <c r="Q168" i="90"/>
  <c r="Q192" i="90"/>
  <c r="Q164" i="93"/>
  <c r="Q177" i="93"/>
  <c r="U177" i="93" s="1"/>
  <c r="Q167" i="93"/>
  <c r="Q178" i="93"/>
  <c r="U178" i="93" s="1"/>
  <c r="Q191" i="93"/>
  <c r="U154" i="154"/>
  <c r="Q192" i="153"/>
  <c r="U36" i="154"/>
  <c r="U130" i="154"/>
  <c r="U28" i="154"/>
  <c r="U184" i="154"/>
  <c r="U146" i="154"/>
  <c r="U65" i="154"/>
  <c r="U93" i="154"/>
  <c r="U113" i="154"/>
  <c r="U134" i="154"/>
  <c r="Q166" i="154"/>
  <c r="M182" i="154"/>
  <c r="Q166" i="153"/>
  <c r="Q173" i="153" s="1"/>
  <c r="U122" i="154"/>
  <c r="U126" i="154"/>
  <c r="U142" i="154"/>
  <c r="U150" i="154"/>
  <c r="N172" i="154"/>
  <c r="Q167" i="154"/>
  <c r="U167" i="154" s="1"/>
  <c r="J182" i="154"/>
  <c r="Q176" i="154"/>
  <c r="U176" i="154" s="1"/>
  <c r="U138" i="154"/>
  <c r="Q177" i="154"/>
  <c r="U177" i="154" s="1"/>
  <c r="F191" i="154"/>
  <c r="E164" i="154"/>
  <c r="Q174" i="154"/>
  <c r="U174" i="154" s="1"/>
  <c r="R104" i="135"/>
  <c r="R75" i="136"/>
  <c r="O100" i="108"/>
  <c r="M100" i="108"/>
  <c r="M65" i="108"/>
  <c r="U13" i="81"/>
  <c r="R49" i="81"/>
  <c r="R31" i="81"/>
  <c r="Q25" i="108"/>
  <c r="V25" i="108" s="1"/>
  <c r="Q43" i="140"/>
  <c r="T43" i="140" s="1"/>
  <c r="R71" i="126"/>
  <c r="R158" i="126"/>
  <c r="Q125" i="126"/>
  <c r="T125" i="126" s="1"/>
  <c r="R104" i="126"/>
  <c r="R105" i="126"/>
  <c r="R42" i="126"/>
  <c r="R52" i="126"/>
  <c r="R85" i="126"/>
  <c r="T108" i="135"/>
  <c r="R54" i="126"/>
  <c r="R88" i="126"/>
  <c r="O45" i="108"/>
  <c r="R92" i="126"/>
  <c r="R45" i="126"/>
  <c r="R26" i="150"/>
  <c r="R24" i="150"/>
  <c r="G103" i="138"/>
  <c r="M151" i="108"/>
  <c r="R66" i="119"/>
  <c r="R97" i="119"/>
  <c r="R42" i="119"/>
  <c r="L35" i="121"/>
  <c r="R63" i="119"/>
  <c r="R62" i="126"/>
  <c r="R79" i="126"/>
  <c r="R80" i="126"/>
  <c r="R49" i="126"/>
  <c r="R41" i="126"/>
  <c r="R73" i="126"/>
  <c r="R69" i="126"/>
  <c r="R50" i="126"/>
  <c r="R56" i="126"/>
  <c r="R106" i="126"/>
  <c r="R68" i="126"/>
  <c r="R98" i="126"/>
  <c r="R149" i="126"/>
  <c r="R48" i="126"/>
  <c r="R82" i="126"/>
  <c r="R64" i="126"/>
  <c r="R55" i="126"/>
  <c r="R77" i="126"/>
  <c r="R94" i="126"/>
  <c r="R39" i="119"/>
  <c r="R79" i="119"/>
  <c r="R102" i="119"/>
  <c r="R82" i="119"/>
  <c r="U117" i="119"/>
  <c r="R88" i="119"/>
  <c r="R84" i="119"/>
  <c r="R155" i="119"/>
  <c r="R53" i="119"/>
  <c r="R60" i="119"/>
  <c r="R132" i="119"/>
  <c r="R89" i="119"/>
  <c r="R96" i="119"/>
  <c r="R52" i="119"/>
  <c r="R98" i="119"/>
  <c r="R64" i="119"/>
  <c r="R70" i="152"/>
  <c r="R76" i="119"/>
  <c r="Q33" i="121"/>
  <c r="T33" i="121" s="1"/>
  <c r="R75" i="119"/>
  <c r="R71" i="119"/>
  <c r="I65" i="108"/>
  <c r="T147" i="126"/>
  <c r="R25" i="150"/>
  <c r="R31" i="150"/>
  <c r="R29" i="150"/>
  <c r="R35" i="150"/>
  <c r="R28" i="150"/>
  <c r="K90" i="83"/>
  <c r="R159" i="119"/>
  <c r="Q13" i="130"/>
  <c r="M161" i="123"/>
  <c r="M36" i="123" s="1"/>
  <c r="L161" i="126"/>
  <c r="L36" i="126" s="1"/>
  <c r="K161" i="123"/>
  <c r="K36" i="123" s="1"/>
  <c r="J161" i="124"/>
  <c r="J36" i="124" s="1"/>
  <c r="J43" i="83"/>
  <c r="F43" i="83"/>
  <c r="J115" i="132"/>
  <c r="R96" i="126"/>
  <c r="R102" i="126"/>
  <c r="R150" i="126"/>
  <c r="R86" i="126"/>
  <c r="R61" i="126"/>
  <c r="R90" i="119"/>
  <c r="R74" i="119"/>
  <c r="R56" i="119"/>
  <c r="R74" i="126"/>
  <c r="R58" i="126"/>
  <c r="R40" i="126"/>
  <c r="R60" i="126"/>
  <c r="R84" i="126"/>
  <c r="R47" i="126"/>
  <c r="R87" i="126"/>
  <c r="R83" i="119"/>
  <c r="R91" i="119"/>
  <c r="R149" i="119"/>
  <c r="R87" i="119"/>
  <c r="R57" i="119"/>
  <c r="R40" i="119"/>
  <c r="R103" i="126"/>
  <c r="R76" i="126"/>
  <c r="Q43" i="108"/>
  <c r="V43" i="108" s="1"/>
  <c r="R59" i="119"/>
  <c r="R60" i="152"/>
  <c r="R67" i="126"/>
  <c r="R95" i="126"/>
  <c r="R72" i="119"/>
  <c r="R46" i="126"/>
  <c r="R58" i="119"/>
  <c r="R93" i="119"/>
  <c r="T73" i="136"/>
  <c r="R81" i="125"/>
  <c r="Q160" i="126"/>
  <c r="T160" i="126" s="1"/>
  <c r="R44" i="126"/>
  <c r="R77" i="119"/>
  <c r="R48" i="119"/>
  <c r="R81" i="119"/>
  <c r="R43" i="119"/>
  <c r="R144" i="125"/>
  <c r="R77" i="125"/>
  <c r="L161" i="125"/>
  <c r="L36" i="125" s="1"/>
  <c r="R103" i="125"/>
  <c r="L151" i="108"/>
  <c r="P161" i="123"/>
  <c r="P36" i="123" s="1"/>
  <c r="E58" i="81"/>
  <c r="E94" i="151"/>
  <c r="R73" i="119"/>
  <c r="R85" i="119"/>
  <c r="R69" i="119"/>
  <c r="R74" i="125"/>
  <c r="R80" i="125"/>
  <c r="R89" i="125"/>
  <c r="N161" i="124"/>
  <c r="N36" i="124" s="1"/>
  <c r="R138" i="119"/>
  <c r="R103" i="119"/>
  <c r="R92" i="119"/>
  <c r="R99" i="119"/>
  <c r="R62" i="119"/>
  <c r="R44" i="119"/>
  <c r="R148" i="126"/>
  <c r="Q160" i="119"/>
  <c r="U160" i="119" s="1"/>
  <c r="R144" i="126"/>
  <c r="F161" i="119"/>
  <c r="F36" i="119" s="1"/>
  <c r="T159" i="124"/>
  <c r="T137" i="124"/>
  <c r="H127" i="132"/>
  <c r="T108" i="126"/>
  <c r="U43" i="148"/>
  <c r="G151" i="108"/>
  <c r="M11" i="18"/>
  <c r="H115" i="132"/>
  <c r="R114" i="134"/>
  <c r="R94" i="134"/>
  <c r="R68" i="134"/>
  <c r="R83" i="134"/>
  <c r="R97" i="134"/>
  <c r="R101" i="134"/>
  <c r="R63" i="134"/>
  <c r="T96" i="146"/>
  <c r="I99" i="108"/>
  <c r="P99" i="108"/>
  <c r="O99" i="108"/>
  <c r="T17" i="123"/>
  <c r="U137" i="119"/>
  <c r="T166" i="143"/>
  <c r="T123" i="152"/>
  <c r="R69" i="134"/>
  <c r="T15" i="152"/>
  <c r="R81" i="152"/>
  <c r="R83" i="152"/>
  <c r="R75" i="152"/>
  <c r="P103" i="138"/>
  <c r="R115" i="134"/>
  <c r="R82" i="134"/>
  <c r="G149" i="150"/>
  <c r="G54" i="81"/>
  <c r="R112" i="134"/>
  <c r="J131" i="147"/>
  <c r="J99" i="108"/>
  <c r="T143" i="125"/>
  <c r="R70" i="134"/>
  <c r="L99" i="108"/>
  <c r="Q127" i="125"/>
  <c r="T127" i="125" s="1"/>
  <c r="R92" i="125"/>
  <c r="R57" i="125"/>
  <c r="R53" i="125"/>
  <c r="R42" i="125"/>
  <c r="T117" i="125"/>
  <c r="Q125" i="125"/>
  <c r="T125" i="125" s="1"/>
  <c r="R79" i="125"/>
  <c r="R71" i="125"/>
  <c r="R52" i="125"/>
  <c r="R106" i="125"/>
  <c r="R73" i="125"/>
  <c r="R65" i="125"/>
  <c r="R83" i="125"/>
  <c r="R75" i="125"/>
  <c r="R67" i="125"/>
  <c r="R102" i="125"/>
  <c r="R87" i="125"/>
  <c r="R61" i="125"/>
  <c r="R148" i="125"/>
  <c r="R66" i="125"/>
  <c r="R146" i="126"/>
  <c r="T138" i="126"/>
  <c r="R138" i="126"/>
  <c r="R147" i="125"/>
  <c r="R101" i="125"/>
  <c r="T158" i="124"/>
  <c r="R159" i="126"/>
  <c r="T159" i="126"/>
  <c r="R95" i="125"/>
  <c r="R48" i="125"/>
  <c r="R102" i="123"/>
  <c r="R71" i="123"/>
  <c r="R51" i="123"/>
  <c r="R149" i="123"/>
  <c r="R74" i="123"/>
  <c r="R82" i="123"/>
  <c r="Q134" i="119"/>
  <c r="R134" i="119" s="1"/>
  <c r="R131" i="119"/>
  <c r="T137" i="125"/>
  <c r="R72" i="125"/>
  <c r="R146" i="125"/>
  <c r="T131" i="123"/>
  <c r="Q134" i="123"/>
  <c r="T90" i="127"/>
  <c r="T137" i="123"/>
  <c r="R104" i="123"/>
  <c r="Q18" i="130"/>
  <c r="Q141" i="123"/>
  <c r="R141" i="123" s="1"/>
  <c r="P34" i="119"/>
  <c r="L116" i="132"/>
  <c r="F115" i="132"/>
  <c r="N99" i="108"/>
  <c r="R133" i="125"/>
  <c r="G70" i="108"/>
  <c r="G99" i="108"/>
  <c r="O151" i="108"/>
  <c r="G118" i="132"/>
  <c r="Q140" i="152"/>
  <c r="T140" i="152" s="1"/>
  <c r="R88" i="134"/>
  <c r="R65" i="134"/>
  <c r="Q77" i="81"/>
  <c r="T142" i="134"/>
  <c r="R111" i="134"/>
  <c r="R62" i="134"/>
  <c r="T108" i="134"/>
  <c r="R98" i="152"/>
  <c r="F99" i="108"/>
  <c r="T157" i="125"/>
  <c r="H99" i="108"/>
  <c r="T157" i="126"/>
  <c r="R157" i="126"/>
  <c r="R82" i="125"/>
  <c r="R58" i="125"/>
  <c r="R44" i="125"/>
  <c r="T136" i="124"/>
  <c r="R139" i="125"/>
  <c r="T139" i="125"/>
  <c r="R60" i="125"/>
  <c r="T140" i="124"/>
  <c r="T132" i="124"/>
  <c r="T17" i="121"/>
  <c r="T145" i="126"/>
  <c r="R145" i="126"/>
  <c r="R70" i="125"/>
  <c r="T131" i="124"/>
  <c r="Q134" i="124"/>
  <c r="T134" i="124" s="1"/>
  <c r="N148" i="108"/>
  <c r="R136" i="125"/>
  <c r="R94" i="125"/>
  <c r="R64" i="125"/>
  <c r="T140" i="123"/>
  <c r="L161" i="123"/>
  <c r="L36" i="123" s="1"/>
  <c r="R132" i="123"/>
  <c r="K108" i="119"/>
  <c r="R159" i="125"/>
  <c r="T95" i="123"/>
  <c r="R157" i="119"/>
  <c r="P161" i="119"/>
  <c r="P36" i="119" s="1"/>
  <c r="F28" i="119"/>
  <c r="I28" i="119"/>
  <c r="T138" i="134"/>
  <c r="R92" i="134"/>
  <c r="R61" i="134"/>
  <c r="R136" i="126"/>
  <c r="T143" i="123"/>
  <c r="R143" i="123"/>
  <c r="T157" i="123"/>
  <c r="T148" i="123"/>
  <c r="R158" i="119"/>
  <c r="K151" i="108"/>
  <c r="N115" i="132"/>
  <c r="R81" i="134"/>
  <c r="R58" i="134"/>
  <c r="R127" i="152"/>
  <c r="O149" i="150"/>
  <c r="O54" i="81"/>
  <c r="R96" i="134"/>
  <c r="T131" i="126"/>
  <c r="M99" i="108"/>
  <c r="T143" i="126"/>
  <c r="E34" i="126"/>
  <c r="K99" i="108"/>
  <c r="E28" i="126"/>
  <c r="R55" i="125"/>
  <c r="T145" i="125"/>
  <c r="R145" i="125"/>
  <c r="T138" i="125"/>
  <c r="R62" i="125"/>
  <c r="R51" i="125"/>
  <c r="R43" i="125"/>
  <c r="T157" i="124"/>
  <c r="F34" i="119"/>
  <c r="R132" i="125"/>
  <c r="V124" i="108"/>
  <c r="E28" i="119"/>
  <c r="K118" i="132"/>
  <c r="P28" i="119"/>
  <c r="H28" i="119"/>
  <c r="Q42" i="127"/>
  <c r="T42" i="127" s="1"/>
  <c r="G115" i="132"/>
  <c r="N129" i="132"/>
  <c r="Q43" i="121"/>
  <c r="N70" i="108"/>
  <c r="M70" i="108"/>
  <c r="L70" i="108"/>
  <c r="K70" i="108"/>
  <c r="I70" i="108"/>
  <c r="J70" i="108"/>
  <c r="H70" i="108"/>
  <c r="O70" i="108"/>
  <c r="P70" i="108"/>
  <c r="Q145" i="93"/>
  <c r="Q35" i="153"/>
  <c r="O86" i="108"/>
  <c r="E90" i="83"/>
  <c r="J90" i="83"/>
  <c r="L90" i="83"/>
  <c r="I90" i="83"/>
  <c r="G90" i="83"/>
  <c r="H90" i="83"/>
  <c r="N90" i="83"/>
  <c r="M90" i="83"/>
  <c r="O90" i="83"/>
  <c r="P90" i="83"/>
  <c r="Q90" i="141"/>
  <c r="T90" i="141" s="1"/>
  <c r="F90" i="83"/>
  <c r="Q109" i="148"/>
  <c r="U109" i="148" s="1"/>
  <c r="E190" i="108"/>
  <c r="Q106" i="148"/>
  <c r="U106" i="148" s="1"/>
  <c r="E187" i="108"/>
  <c r="Q111" i="148"/>
  <c r="U111" i="148" s="1"/>
  <c r="E192" i="108"/>
  <c r="Q107" i="148"/>
  <c r="U107" i="148" s="1"/>
  <c r="E188" i="108"/>
  <c r="O115" i="132"/>
  <c r="K115" i="132"/>
  <c r="P115" i="132"/>
  <c r="M115" i="132"/>
  <c r="Q77" i="121"/>
  <c r="E99" i="108"/>
  <c r="U77" i="81"/>
  <c r="Q48" i="121"/>
  <c r="E70" i="108"/>
  <c r="O65" i="108"/>
  <c r="V22" i="130"/>
  <c r="L115" i="132"/>
  <c r="I115" i="132"/>
  <c r="Q34" i="130"/>
  <c r="Q22" i="153"/>
  <c r="K44" i="18"/>
  <c r="K47" i="18" s="1"/>
  <c r="M44" i="18"/>
  <c r="M47" i="18" s="1"/>
  <c r="V21" i="130"/>
  <c r="G44" i="18"/>
  <c r="G47" i="18" s="1"/>
  <c r="J44" i="18"/>
  <c r="J47" i="18" s="1"/>
  <c r="O44" i="18"/>
  <c r="O47" i="18" s="1"/>
  <c r="I44" i="18"/>
  <c r="I47" i="18" s="1"/>
  <c r="H44" i="18"/>
  <c r="H47" i="18" s="1"/>
  <c r="Q13" i="155"/>
  <c r="E44" i="18"/>
  <c r="E47" i="18" s="1"/>
  <c r="N44" i="18"/>
  <c r="N47" i="18" s="1"/>
  <c r="P47" i="18"/>
  <c r="L44" i="18"/>
  <c r="L47" i="18" s="1"/>
  <c r="F44" i="18"/>
  <c r="F47" i="18" s="1"/>
  <c r="Q177" i="139"/>
  <c r="T177" i="139" s="1"/>
  <c r="K177" i="83"/>
  <c r="Q181" i="139"/>
  <c r="T181" i="139" s="1"/>
  <c r="K181" i="83"/>
  <c r="K178" i="83"/>
  <c r="Q178" i="139"/>
  <c r="T178" i="139" s="1"/>
  <c r="K179" i="83"/>
  <c r="Q179" i="139"/>
  <c r="T179" i="139" s="1"/>
  <c r="Q184" i="139"/>
  <c r="T184" i="139" s="1"/>
  <c r="K184" i="83"/>
  <c r="Q184" i="83" s="1"/>
  <c r="U184" i="83" s="1"/>
  <c r="K182" i="83"/>
  <c r="Q182" i="139"/>
  <c r="T182" i="139" s="1"/>
  <c r="Q180" i="139"/>
  <c r="T180" i="139" s="1"/>
  <c r="K180" i="83"/>
  <c r="Q152" i="122"/>
  <c r="K192" i="108"/>
  <c r="Q13" i="91"/>
  <c r="U13" i="91" s="1"/>
  <c r="L18" i="91"/>
  <c r="L34" i="18" s="1"/>
  <c r="P18" i="91"/>
  <c r="P34" i="18" s="1"/>
  <c r="K18" i="91"/>
  <c r="K34" i="18" s="1"/>
  <c r="Q14" i="91"/>
  <c r="U14" i="91" s="1"/>
  <c r="Q16" i="91"/>
  <c r="U16" i="91" s="1"/>
  <c r="O18" i="91"/>
  <c r="O34" i="18" s="1"/>
  <c r="F18" i="91"/>
  <c r="F34" i="18" s="1"/>
  <c r="N18" i="91"/>
  <c r="N34" i="18" s="1"/>
  <c r="E18" i="91"/>
  <c r="E34" i="18" s="1"/>
  <c r="J18" i="91"/>
  <c r="J34" i="18" s="1"/>
  <c r="M18" i="91"/>
  <c r="M34" i="18" s="1"/>
  <c r="H18" i="91"/>
  <c r="H34" i="18" s="1"/>
  <c r="I18" i="91"/>
  <c r="I34" i="18" s="1"/>
  <c r="G18" i="91"/>
  <c r="G34" i="18" s="1"/>
  <c r="U19" i="91"/>
  <c r="Q13" i="122"/>
  <c r="Q121" i="122" s="1"/>
  <c r="F121" i="122"/>
  <c r="F17" i="122"/>
  <c r="Q47" i="122"/>
  <c r="F70" i="108"/>
  <c r="Q15" i="155"/>
  <c r="O105" i="130" l="1"/>
  <c r="O107" i="130" s="1"/>
  <c r="O91" i="130"/>
  <c r="O97" i="130" s="1"/>
  <c r="H105" i="130"/>
  <c r="H107" i="130" s="1"/>
  <c r="H91" i="130"/>
  <c r="H97" i="130" s="1"/>
  <c r="L105" i="130"/>
  <c r="L107" i="130" s="1"/>
  <c r="L91" i="130"/>
  <c r="L97" i="130" s="1"/>
  <c r="P105" i="130"/>
  <c r="P107" i="130" s="1"/>
  <c r="P91" i="130"/>
  <c r="P97" i="130" s="1"/>
  <c r="G105" i="130"/>
  <c r="G107" i="130" s="1"/>
  <c r="G91" i="130"/>
  <c r="G97" i="130" s="1"/>
  <c r="I105" i="130"/>
  <c r="I107" i="130" s="1"/>
  <c r="I91" i="130"/>
  <c r="I97" i="130" s="1"/>
  <c r="M105" i="130"/>
  <c r="M107" i="130" s="1"/>
  <c r="M91" i="130"/>
  <c r="M97" i="130" s="1"/>
  <c r="K105" i="130"/>
  <c r="K107" i="130" s="1"/>
  <c r="K91" i="130"/>
  <c r="K97" i="130" s="1"/>
  <c r="F105" i="130"/>
  <c r="F107" i="130" s="1"/>
  <c r="F91" i="130"/>
  <c r="F97" i="130" s="1"/>
  <c r="J105" i="130"/>
  <c r="J107" i="130" s="1"/>
  <c r="J91" i="130"/>
  <c r="J97" i="130" s="1"/>
  <c r="N105" i="130"/>
  <c r="N107" i="130" s="1"/>
  <c r="N91" i="130"/>
  <c r="N97" i="130" s="1"/>
  <c r="E105" i="130"/>
  <c r="E107" i="130" s="1"/>
  <c r="E91" i="130"/>
  <c r="I105" i="127"/>
  <c r="I91" i="127"/>
  <c r="P105" i="127"/>
  <c r="P91" i="127"/>
  <c r="L105" i="127"/>
  <c r="L91" i="127"/>
  <c r="H105" i="127"/>
  <c r="H91" i="127"/>
  <c r="M105" i="127"/>
  <c r="M91" i="127"/>
  <c r="O105" i="127"/>
  <c r="O91" i="127"/>
  <c r="K105" i="127"/>
  <c r="K91" i="127"/>
  <c r="G105" i="127"/>
  <c r="G91" i="127"/>
  <c r="N105" i="127"/>
  <c r="N91" i="127"/>
  <c r="J105" i="127"/>
  <c r="J91" i="127"/>
  <c r="F105" i="127"/>
  <c r="F91" i="127"/>
  <c r="H95" i="148"/>
  <c r="H110" i="148"/>
  <c r="L110" i="148"/>
  <c r="L95" i="148"/>
  <c r="P95" i="148"/>
  <c r="P110" i="148"/>
  <c r="I110" i="148"/>
  <c r="I95" i="148"/>
  <c r="M110" i="148"/>
  <c r="M95" i="148"/>
  <c r="F95" i="148"/>
  <c r="F110" i="148"/>
  <c r="J95" i="148"/>
  <c r="J110" i="148"/>
  <c r="N95" i="148"/>
  <c r="N110" i="148"/>
  <c r="G95" i="148"/>
  <c r="G110" i="148"/>
  <c r="K110" i="148"/>
  <c r="K95" i="148"/>
  <c r="O95" i="148"/>
  <c r="O110" i="148"/>
  <c r="K109" i="135"/>
  <c r="K123" i="135"/>
  <c r="O109" i="135"/>
  <c r="O115" i="135" s="1"/>
  <c r="O123" i="135"/>
  <c r="L109" i="135"/>
  <c r="L115" i="135" s="1"/>
  <c r="L123" i="135"/>
  <c r="P109" i="135"/>
  <c r="P115" i="135" s="1"/>
  <c r="P123" i="135"/>
  <c r="M109" i="135"/>
  <c r="M115" i="135" s="1"/>
  <c r="M123" i="135"/>
  <c r="N109" i="135"/>
  <c r="N123" i="135"/>
  <c r="K183" i="139"/>
  <c r="K169" i="139"/>
  <c r="O183" i="139"/>
  <c r="O169" i="139"/>
  <c r="L183" i="139"/>
  <c r="L169" i="139"/>
  <c r="P183" i="139"/>
  <c r="P169" i="139"/>
  <c r="M183" i="139"/>
  <c r="M169" i="139"/>
  <c r="N183" i="139"/>
  <c r="N169" i="139"/>
  <c r="Q27" i="138"/>
  <c r="R27" i="138" s="1"/>
  <c r="M101" i="138"/>
  <c r="L60" i="81"/>
  <c r="K60" i="81"/>
  <c r="E42" i="81"/>
  <c r="H166" i="83"/>
  <c r="H163" i="83" s="1"/>
  <c r="F166" i="83"/>
  <c r="S35" i="147"/>
  <c r="R79" i="134"/>
  <c r="R117" i="134"/>
  <c r="R113" i="134"/>
  <c r="R109" i="134"/>
  <c r="R72" i="134"/>
  <c r="R98" i="134"/>
  <c r="R70" i="136"/>
  <c r="R74" i="136"/>
  <c r="Q81" i="144"/>
  <c r="Q82" i="144" s="1"/>
  <c r="Q105" i="144"/>
  <c r="G35" i="121"/>
  <c r="K35" i="121"/>
  <c r="O148" i="108"/>
  <c r="F183" i="141"/>
  <c r="F185" i="141" s="1"/>
  <c r="F175" i="141"/>
  <c r="J183" i="141"/>
  <c r="J175" i="141"/>
  <c r="N183" i="141"/>
  <c r="N175" i="141"/>
  <c r="F183" i="90"/>
  <c r="F175" i="90"/>
  <c r="J185" i="90"/>
  <c r="J183" i="90"/>
  <c r="J175" i="90"/>
  <c r="N183" i="90"/>
  <c r="N185" i="90" s="1"/>
  <c r="N175" i="90"/>
  <c r="H184" i="93"/>
  <c r="H174" i="93"/>
  <c r="L184" i="93"/>
  <c r="L174" i="93"/>
  <c r="P184" i="93"/>
  <c r="P174" i="93"/>
  <c r="F183" i="153"/>
  <c r="F181" i="153"/>
  <c r="J181" i="153"/>
  <c r="J183" i="153" s="1"/>
  <c r="J193" i="153" s="1"/>
  <c r="J12" i="153" s="1"/>
  <c r="J158" i="153" s="1"/>
  <c r="J198" i="153" s="1"/>
  <c r="N181" i="153"/>
  <c r="N183" i="153" s="1"/>
  <c r="N193" i="153" s="1"/>
  <c r="N12" i="153" s="1"/>
  <c r="N158" i="153" s="1"/>
  <c r="N198" i="153" s="1"/>
  <c r="R73" i="134"/>
  <c r="R107" i="134"/>
  <c r="R86" i="134"/>
  <c r="R59" i="134"/>
  <c r="R85" i="134"/>
  <c r="R142" i="134"/>
  <c r="R66" i="134"/>
  <c r="R144" i="134"/>
  <c r="R126" i="134"/>
  <c r="R90" i="134"/>
  <c r="R119" i="134"/>
  <c r="R91" i="134"/>
  <c r="R75" i="134"/>
  <c r="R71" i="134"/>
  <c r="R60" i="134"/>
  <c r="T28" i="134"/>
  <c r="R76" i="134"/>
  <c r="R106" i="134"/>
  <c r="R131" i="134"/>
  <c r="R95" i="134"/>
  <c r="R69" i="136"/>
  <c r="R109" i="136"/>
  <c r="R144" i="141"/>
  <c r="G183" i="141"/>
  <c r="G185" i="141" s="1"/>
  <c r="G175" i="141"/>
  <c r="K183" i="141"/>
  <c r="K185" i="141" s="1"/>
  <c r="K175" i="141"/>
  <c r="O183" i="141"/>
  <c r="O185" i="141" s="1"/>
  <c r="O175" i="141"/>
  <c r="G175" i="90"/>
  <c r="G183" i="90"/>
  <c r="G185" i="90" s="1"/>
  <c r="K175" i="90"/>
  <c r="K183" i="90"/>
  <c r="K185" i="90" s="1"/>
  <c r="O175" i="90"/>
  <c r="O183" i="90"/>
  <c r="O185" i="90" s="1"/>
  <c r="I184" i="93"/>
  <c r="I174" i="93"/>
  <c r="M184" i="93"/>
  <c r="M174" i="93"/>
  <c r="G183" i="153"/>
  <c r="G181" i="153"/>
  <c r="K181" i="153"/>
  <c r="K183" i="153" s="1"/>
  <c r="K193" i="153" s="1"/>
  <c r="K12" i="153" s="1"/>
  <c r="K158" i="153" s="1"/>
  <c r="K198" i="153" s="1"/>
  <c r="O181" i="153"/>
  <c r="O183" i="153" s="1"/>
  <c r="O193" i="153" s="1"/>
  <c r="O12" i="153" s="1"/>
  <c r="O158" i="153" s="1"/>
  <c r="O159" i="153" s="1"/>
  <c r="E183" i="90"/>
  <c r="E185" i="90" s="1"/>
  <c r="R99" i="134"/>
  <c r="R78" i="134"/>
  <c r="R132" i="134"/>
  <c r="R131" i="125"/>
  <c r="R153" i="134"/>
  <c r="R104" i="134"/>
  <c r="R77" i="134"/>
  <c r="R116" i="134"/>
  <c r="R105" i="134"/>
  <c r="R89" i="134"/>
  <c r="R87" i="134"/>
  <c r="R67" i="134"/>
  <c r="R57" i="134"/>
  <c r="R84" i="134"/>
  <c r="R110" i="134"/>
  <c r="R74" i="134"/>
  <c r="R72" i="136"/>
  <c r="R138" i="134"/>
  <c r="I161" i="125"/>
  <c r="I36" i="125" s="1"/>
  <c r="F45" i="108"/>
  <c r="E35" i="121"/>
  <c r="M35" i="121"/>
  <c r="F121" i="149"/>
  <c r="F12" i="149" s="1"/>
  <c r="J121" i="149"/>
  <c r="J12" i="149" s="1"/>
  <c r="N121" i="149"/>
  <c r="N12" i="149" s="1"/>
  <c r="T93" i="141"/>
  <c r="T42" i="141"/>
  <c r="T123" i="141"/>
  <c r="H183" i="141"/>
  <c r="H185" i="141" s="1"/>
  <c r="H175" i="141"/>
  <c r="L183" i="141"/>
  <c r="L185" i="141" s="1"/>
  <c r="L175" i="141"/>
  <c r="P183" i="141"/>
  <c r="P185" i="141" s="1"/>
  <c r="P175" i="141"/>
  <c r="H185" i="90"/>
  <c r="H175" i="90"/>
  <c r="H183" i="90"/>
  <c r="L175" i="90"/>
  <c r="L183" i="90"/>
  <c r="L185" i="90" s="1"/>
  <c r="P175" i="90"/>
  <c r="P183" i="90"/>
  <c r="P185" i="90" s="1"/>
  <c r="F184" i="93"/>
  <c r="F174" i="93"/>
  <c r="J184" i="93"/>
  <c r="J174" i="93"/>
  <c r="N184" i="93"/>
  <c r="N174" i="93"/>
  <c r="H181" i="153"/>
  <c r="H183" i="153" s="1"/>
  <c r="H193" i="153" s="1"/>
  <c r="H12" i="153" s="1"/>
  <c r="H158" i="153" s="1"/>
  <c r="L183" i="153"/>
  <c r="L181" i="153"/>
  <c r="P181" i="153"/>
  <c r="P183" i="153" s="1"/>
  <c r="P193" i="153" s="1"/>
  <c r="P12" i="153" s="1"/>
  <c r="P158" i="153" s="1"/>
  <c r="E183" i="141"/>
  <c r="E185" i="141" s="1"/>
  <c r="E161" i="124"/>
  <c r="E36" i="124" s="1"/>
  <c r="Q71" i="108"/>
  <c r="V71" i="108" s="1"/>
  <c r="Q80" i="108"/>
  <c r="V80" i="108" s="1"/>
  <c r="P73" i="81"/>
  <c r="P75" i="81"/>
  <c r="F95" i="81"/>
  <c r="N100" i="81"/>
  <c r="R117" i="141"/>
  <c r="I183" i="141"/>
  <c r="I185" i="141" s="1"/>
  <c r="I175" i="141"/>
  <c r="M183" i="141"/>
  <c r="M185" i="141" s="1"/>
  <c r="M175" i="141"/>
  <c r="I175" i="90"/>
  <c r="I183" i="90"/>
  <c r="I185" i="90" s="1"/>
  <c r="M183" i="90"/>
  <c r="M185" i="90" s="1"/>
  <c r="M175" i="90"/>
  <c r="G184" i="93"/>
  <c r="G174" i="93"/>
  <c r="K184" i="93"/>
  <c r="K174" i="93"/>
  <c r="O184" i="93"/>
  <c r="O174" i="93"/>
  <c r="I181" i="153"/>
  <c r="I183" i="153" s="1"/>
  <c r="I193" i="153" s="1"/>
  <c r="I12" i="153" s="1"/>
  <c r="I158" i="153" s="1"/>
  <c r="M181" i="153"/>
  <c r="M183" i="153" s="1"/>
  <c r="M193" i="153" s="1"/>
  <c r="M12" i="153" s="1"/>
  <c r="M158" i="153" s="1"/>
  <c r="M198" i="153" s="1"/>
  <c r="G126" i="121"/>
  <c r="O126" i="121"/>
  <c r="Q118" i="121"/>
  <c r="R43" i="121" s="1"/>
  <c r="J174" i="108"/>
  <c r="H26" i="108"/>
  <c r="H164" i="108" s="1"/>
  <c r="G26" i="108"/>
  <c r="L26" i="108"/>
  <c r="K126" i="121"/>
  <c r="K29" i="121"/>
  <c r="K131" i="147" s="1"/>
  <c r="K130" i="148"/>
  <c r="Q121" i="121"/>
  <c r="T121" i="121" s="1"/>
  <c r="O26" i="108"/>
  <c r="O164" i="108" s="1"/>
  <c r="K26" i="108"/>
  <c r="H126" i="121"/>
  <c r="O29" i="121"/>
  <c r="O131" i="147" s="1"/>
  <c r="G29" i="121"/>
  <c r="G130" i="148"/>
  <c r="Q122" i="121"/>
  <c r="T122" i="121" s="1"/>
  <c r="M29" i="121"/>
  <c r="M131" i="147" s="1"/>
  <c r="L128" i="148"/>
  <c r="O130" i="148"/>
  <c r="P130" i="148"/>
  <c r="P128" i="148" s="1"/>
  <c r="J172" i="154"/>
  <c r="R80" i="135"/>
  <c r="R74" i="135"/>
  <c r="R138" i="125"/>
  <c r="R39" i="125"/>
  <c r="R77" i="135"/>
  <c r="R40" i="125"/>
  <c r="R90" i="125"/>
  <c r="G49" i="108"/>
  <c r="R86" i="125"/>
  <c r="Q141" i="124"/>
  <c r="T141" i="124" s="1"/>
  <c r="R158" i="125"/>
  <c r="Q134" i="125"/>
  <c r="R134" i="125" s="1"/>
  <c r="R97" i="125"/>
  <c r="R150" i="125"/>
  <c r="R68" i="125"/>
  <c r="R56" i="125"/>
  <c r="R45" i="125"/>
  <c r="R41" i="125"/>
  <c r="R49" i="125"/>
  <c r="R91" i="125"/>
  <c r="R50" i="125"/>
  <c r="R96" i="125"/>
  <c r="R58" i="121"/>
  <c r="R150" i="121"/>
  <c r="R60" i="121"/>
  <c r="R78" i="125"/>
  <c r="R81" i="135"/>
  <c r="R137" i="125"/>
  <c r="O155" i="134"/>
  <c r="O49" i="134" s="1"/>
  <c r="O121" i="134" s="1"/>
  <c r="J40" i="121"/>
  <c r="J62" i="108" s="1"/>
  <c r="J143" i="121"/>
  <c r="I40" i="121"/>
  <c r="I62" i="108" s="1"/>
  <c r="I143" i="121"/>
  <c r="E161" i="125"/>
  <c r="E36" i="125" s="1"/>
  <c r="J161" i="123"/>
  <c r="J36" i="123" s="1"/>
  <c r="R137" i="119"/>
  <c r="R93" i="135"/>
  <c r="R79" i="135"/>
  <c r="F40" i="121"/>
  <c r="F62" i="108" s="1"/>
  <c r="F143" i="121"/>
  <c r="F131" i="147"/>
  <c r="R93" i="125"/>
  <c r="R149" i="125"/>
  <c r="R99" i="125"/>
  <c r="R105" i="125"/>
  <c r="R47" i="125"/>
  <c r="R88" i="125"/>
  <c r="R46" i="125"/>
  <c r="R104" i="125"/>
  <c r="R63" i="125"/>
  <c r="R98" i="125"/>
  <c r="R100" i="125"/>
  <c r="R59" i="125"/>
  <c r="R69" i="125"/>
  <c r="R84" i="125"/>
  <c r="R157" i="125"/>
  <c r="K143" i="121"/>
  <c r="K40" i="121"/>
  <c r="K62" i="108" s="1"/>
  <c r="R69" i="121"/>
  <c r="R137" i="121"/>
  <c r="R83" i="121"/>
  <c r="R148" i="121"/>
  <c r="R95" i="121"/>
  <c r="R139" i="121"/>
  <c r="R44" i="121"/>
  <c r="R81" i="121"/>
  <c r="R98" i="121"/>
  <c r="R46" i="121"/>
  <c r="R51" i="121"/>
  <c r="R106" i="119"/>
  <c r="R41" i="119"/>
  <c r="R67" i="119"/>
  <c r="R104" i="119"/>
  <c r="Q125" i="119"/>
  <c r="U125" i="119" s="1"/>
  <c r="R80" i="119"/>
  <c r="R94" i="119"/>
  <c r="R86" i="119"/>
  <c r="R156" i="119"/>
  <c r="R65" i="119"/>
  <c r="R105" i="119"/>
  <c r="Q127" i="119"/>
  <c r="U127" i="119" s="1"/>
  <c r="R68" i="119"/>
  <c r="R50" i="119"/>
  <c r="R51" i="119"/>
  <c r="R107" i="119"/>
  <c r="R46" i="119"/>
  <c r="R154" i="119"/>
  <c r="R55" i="119"/>
  <c r="R70" i="119"/>
  <c r="V14" i="18"/>
  <c r="F84" i="149"/>
  <c r="F86" i="149" s="1"/>
  <c r="P76" i="81"/>
  <c r="Q134" i="126"/>
  <c r="R134" i="126" s="1"/>
  <c r="O40" i="121"/>
  <c r="O62" i="108" s="1"/>
  <c r="O143" i="121"/>
  <c r="Q160" i="123"/>
  <c r="T160" i="123" s="1"/>
  <c r="H161" i="123"/>
  <c r="H36" i="123" s="1"/>
  <c r="N161" i="119"/>
  <c r="N36" i="119" s="1"/>
  <c r="L161" i="119"/>
  <c r="L36" i="119" s="1"/>
  <c r="R136" i="119"/>
  <c r="Q40" i="81"/>
  <c r="U40" i="81" s="1"/>
  <c r="H13" i="108"/>
  <c r="N76" i="81"/>
  <c r="N40" i="121"/>
  <c r="N62" i="108" s="1"/>
  <c r="N143" i="121"/>
  <c r="M40" i="121"/>
  <c r="M62" i="108" s="1"/>
  <c r="M143" i="121"/>
  <c r="L34" i="125"/>
  <c r="J161" i="125"/>
  <c r="J36" i="125" s="1"/>
  <c r="G40" i="121"/>
  <c r="G62" i="108" s="1"/>
  <c r="G143" i="121"/>
  <c r="Q90" i="108"/>
  <c r="V90" i="108" s="1"/>
  <c r="Q151" i="125"/>
  <c r="T151" i="125" s="1"/>
  <c r="R139" i="126"/>
  <c r="M161" i="124"/>
  <c r="M36" i="124" s="1"/>
  <c r="E161" i="123"/>
  <c r="E36" i="123" s="1"/>
  <c r="Q63" i="108"/>
  <c r="V63" i="108" s="1"/>
  <c r="Q64" i="108"/>
  <c r="V64" i="108" s="1"/>
  <c r="Q72" i="108"/>
  <c r="V72" i="108" s="1"/>
  <c r="Q73" i="108"/>
  <c r="V73" i="108" s="1"/>
  <c r="Q76" i="108"/>
  <c r="V76" i="108" s="1"/>
  <c r="Q88" i="108"/>
  <c r="V88" i="108" s="1"/>
  <c r="Q109" i="108"/>
  <c r="V109" i="108" s="1"/>
  <c r="Q117" i="108"/>
  <c r="V117" i="108" s="1"/>
  <c r="Q126" i="108"/>
  <c r="V126" i="108" s="1"/>
  <c r="K31" i="119"/>
  <c r="K34" i="119" s="1"/>
  <c r="K12" i="108"/>
  <c r="F181" i="108"/>
  <c r="Q164" i="154"/>
  <c r="U164" i="154" s="1"/>
  <c r="J161" i="119"/>
  <c r="J36" i="119" s="1"/>
  <c r="H174" i="108"/>
  <c r="Q46" i="18"/>
  <c r="Q49" i="18"/>
  <c r="F152" i="121"/>
  <c r="F154" i="121" s="1"/>
  <c r="J152" i="121"/>
  <c r="J154" i="121" s="1"/>
  <c r="N152" i="121"/>
  <c r="N154" i="121" s="1"/>
  <c r="G102" i="148"/>
  <c r="G112" i="148"/>
  <c r="K102" i="148"/>
  <c r="K112" i="148"/>
  <c r="O102" i="148"/>
  <c r="O112" i="148"/>
  <c r="I109" i="147"/>
  <c r="I111" i="147" s="1"/>
  <c r="I101" i="147"/>
  <c r="M111" i="147"/>
  <c r="M101" i="147"/>
  <c r="F125" i="135"/>
  <c r="J86" i="81"/>
  <c r="N86" i="81"/>
  <c r="J185" i="139"/>
  <c r="N185" i="139"/>
  <c r="F185" i="139"/>
  <c r="H185" i="139"/>
  <c r="I175" i="140"/>
  <c r="I183" i="140"/>
  <c r="M175" i="140"/>
  <c r="M183" i="140"/>
  <c r="M185" i="140" s="1"/>
  <c r="G185" i="142"/>
  <c r="K185" i="142"/>
  <c r="O185" i="142"/>
  <c r="E152" i="121"/>
  <c r="E154" i="121" s="1"/>
  <c r="E138" i="121"/>
  <c r="E109" i="147"/>
  <c r="E111" i="147" s="1"/>
  <c r="E183" i="142"/>
  <c r="E185" i="142" s="1"/>
  <c r="Q198" i="108"/>
  <c r="Q17" i="122"/>
  <c r="N34" i="126"/>
  <c r="F134" i="126"/>
  <c r="J134" i="126"/>
  <c r="J161" i="126" s="1"/>
  <c r="J36" i="126" s="1"/>
  <c r="J109" i="126" s="1"/>
  <c r="J110" i="126" s="1"/>
  <c r="N134" i="126"/>
  <c r="E173" i="108"/>
  <c r="I173" i="108"/>
  <c r="I174" i="108" s="1"/>
  <c r="M173" i="108"/>
  <c r="E176" i="108"/>
  <c r="E178" i="108"/>
  <c r="M178" i="108"/>
  <c r="I179" i="108"/>
  <c r="M179" i="108"/>
  <c r="M180" i="108"/>
  <c r="I187" i="108"/>
  <c r="M188" i="108"/>
  <c r="I189" i="108"/>
  <c r="Q16" i="146"/>
  <c r="H132" i="146"/>
  <c r="H24" i="146" s="1"/>
  <c r="H97" i="146" s="1"/>
  <c r="H98" i="146" s="1"/>
  <c r="L132" i="146"/>
  <c r="L24" i="146" s="1"/>
  <c r="T118" i="138"/>
  <c r="R115" i="141"/>
  <c r="R146" i="141"/>
  <c r="T63" i="141"/>
  <c r="G152" i="121"/>
  <c r="G154" i="121" s="1"/>
  <c r="K152" i="121"/>
  <c r="K154" i="121" s="1"/>
  <c r="O152" i="121"/>
  <c r="O154" i="121" s="1"/>
  <c r="H112" i="148"/>
  <c r="H102" i="148"/>
  <c r="L112" i="148"/>
  <c r="L102" i="148"/>
  <c r="P112" i="148"/>
  <c r="P102" i="148"/>
  <c r="F109" i="147"/>
  <c r="F111" i="147" s="1"/>
  <c r="F101" i="147"/>
  <c r="J109" i="147"/>
  <c r="J111" i="147" s="1"/>
  <c r="J101" i="147"/>
  <c r="N111" i="147"/>
  <c r="N101" i="147"/>
  <c r="G125" i="135"/>
  <c r="K86" i="81"/>
  <c r="O86" i="81"/>
  <c r="K185" i="139"/>
  <c r="O185" i="139"/>
  <c r="F183" i="140"/>
  <c r="F185" i="140" s="1"/>
  <c r="F175" i="140"/>
  <c r="J183" i="140"/>
  <c r="J185" i="140" s="1"/>
  <c r="J175" i="140"/>
  <c r="N183" i="140"/>
  <c r="N185" i="140" s="1"/>
  <c r="N175" i="140"/>
  <c r="L185" i="142"/>
  <c r="P185" i="142"/>
  <c r="E183" i="139"/>
  <c r="E185" i="139" s="1"/>
  <c r="E183" i="140"/>
  <c r="E185" i="140" s="1"/>
  <c r="R118" i="141"/>
  <c r="T104" i="141"/>
  <c r="R67" i="141"/>
  <c r="H152" i="121"/>
  <c r="H154" i="121" s="1"/>
  <c r="L152" i="121"/>
  <c r="L154" i="121" s="1"/>
  <c r="P152" i="121"/>
  <c r="P154" i="121" s="1"/>
  <c r="I102" i="148"/>
  <c r="I112" i="148"/>
  <c r="M112" i="148"/>
  <c r="M102" i="148"/>
  <c r="G109" i="147"/>
  <c r="G111" i="147" s="1"/>
  <c r="G101" i="147"/>
  <c r="K109" i="147"/>
  <c r="K111" i="147" s="1"/>
  <c r="K101" i="147"/>
  <c r="O111" i="147"/>
  <c r="O101" i="147"/>
  <c r="H86" i="81"/>
  <c r="L86" i="81"/>
  <c r="P86" i="81"/>
  <c r="L185" i="139"/>
  <c r="P185" i="139"/>
  <c r="G185" i="139"/>
  <c r="G175" i="140"/>
  <c r="G183" i="140"/>
  <c r="G185" i="140" s="1"/>
  <c r="K175" i="140"/>
  <c r="K183" i="140"/>
  <c r="O175" i="140"/>
  <c r="O183" i="140"/>
  <c r="O185" i="140" s="1"/>
  <c r="T103" i="141"/>
  <c r="I185" i="142"/>
  <c r="M185" i="142"/>
  <c r="E110" i="148"/>
  <c r="E112" i="148" s="1"/>
  <c r="J138" i="108"/>
  <c r="J155" i="108" s="1"/>
  <c r="M146" i="108"/>
  <c r="M163" i="108" s="1"/>
  <c r="P172" i="108"/>
  <c r="P174" i="108" s="1"/>
  <c r="H178" i="108"/>
  <c r="L178" i="108"/>
  <c r="P178" i="108"/>
  <c r="P179" i="108"/>
  <c r="H180" i="108"/>
  <c r="P180" i="108"/>
  <c r="H187" i="108"/>
  <c r="L187" i="108"/>
  <c r="P187" i="108"/>
  <c r="L190" i="108"/>
  <c r="Q122" i="122"/>
  <c r="G67" i="81"/>
  <c r="O67" i="81"/>
  <c r="G68" i="81"/>
  <c r="K68" i="81"/>
  <c r="O68" i="81"/>
  <c r="O71" i="81"/>
  <c r="G72" i="81"/>
  <c r="K72" i="81"/>
  <c r="O72" i="81"/>
  <c r="G73" i="81"/>
  <c r="K73" i="81"/>
  <c r="O73" i="81"/>
  <c r="K74" i="81"/>
  <c r="G75" i="81"/>
  <c r="K75" i="81"/>
  <c r="O75" i="81"/>
  <c r="K80" i="81"/>
  <c r="G81" i="81"/>
  <c r="O81" i="81"/>
  <c r="G83" i="81"/>
  <c r="O83" i="81"/>
  <c r="G85" i="81"/>
  <c r="O85" i="81"/>
  <c r="Q106" i="135"/>
  <c r="T106" i="135" s="1"/>
  <c r="Q168" i="154"/>
  <c r="Q169" i="154"/>
  <c r="U169" i="154" s="1"/>
  <c r="Q189" i="154"/>
  <c r="U189" i="154" s="1"/>
  <c r="Q190" i="154"/>
  <c r="U190" i="154" s="1"/>
  <c r="R130" i="141"/>
  <c r="R51" i="141"/>
  <c r="I152" i="121"/>
  <c r="I154" i="121" s="1"/>
  <c r="M152" i="121"/>
  <c r="M154" i="121" s="1"/>
  <c r="F112" i="148"/>
  <c r="F102" i="148"/>
  <c r="J102" i="148"/>
  <c r="J112" i="148"/>
  <c r="N102" i="148"/>
  <c r="H109" i="147"/>
  <c r="H111" i="147" s="1"/>
  <c r="H101" i="147"/>
  <c r="L111" i="147"/>
  <c r="L101" i="147"/>
  <c r="P111" i="147"/>
  <c r="P101" i="147"/>
  <c r="I125" i="135"/>
  <c r="I86" i="81"/>
  <c r="M86" i="81"/>
  <c r="H175" i="140"/>
  <c r="H183" i="140"/>
  <c r="H185" i="140" s="1"/>
  <c r="L175" i="140"/>
  <c r="L183" i="140"/>
  <c r="L185" i="140" s="1"/>
  <c r="P175" i="140"/>
  <c r="P183" i="140"/>
  <c r="P185" i="140" s="1"/>
  <c r="R71" i="141"/>
  <c r="F185" i="142"/>
  <c r="J185" i="142"/>
  <c r="N185" i="142"/>
  <c r="G166" i="83"/>
  <c r="M166" i="83"/>
  <c r="M163" i="83" s="1"/>
  <c r="K185" i="140"/>
  <c r="T104" i="135"/>
  <c r="M174" i="108"/>
  <c r="S92" i="147"/>
  <c r="U90" i="147"/>
  <c r="R149" i="121"/>
  <c r="Q97" i="108"/>
  <c r="V97" i="108" s="1"/>
  <c r="L174" i="108"/>
  <c r="R133" i="121"/>
  <c r="E174" i="108"/>
  <c r="Q135" i="121"/>
  <c r="T135" i="121" s="1"/>
  <c r="M151" i="122"/>
  <c r="M153" i="122" s="1"/>
  <c r="N151" i="122"/>
  <c r="O151" i="122"/>
  <c r="O153" i="122" s="1"/>
  <c r="L151" i="122"/>
  <c r="L177" i="108"/>
  <c r="P151" i="122"/>
  <c r="K151" i="122"/>
  <c r="I151" i="122"/>
  <c r="I153" i="122" s="1"/>
  <c r="F151" i="122"/>
  <c r="F191" i="108" s="1"/>
  <c r="J151" i="122"/>
  <c r="G151" i="122"/>
  <c r="G191" i="108" s="1"/>
  <c r="H151" i="122"/>
  <c r="H153" i="122" s="1"/>
  <c r="E151" i="122"/>
  <c r="N107" i="127"/>
  <c r="J107" i="127"/>
  <c r="F107" i="127"/>
  <c r="E105" i="127"/>
  <c r="I127" i="132"/>
  <c r="V49" i="130"/>
  <c r="V34" i="130"/>
  <c r="V29" i="130"/>
  <c r="V18" i="130"/>
  <c r="Q105" i="130"/>
  <c r="Q107" i="130" s="1"/>
  <c r="V107" i="130" s="1"/>
  <c r="F144" i="132"/>
  <c r="F146" i="132" s="1"/>
  <c r="I62" i="121"/>
  <c r="I59" i="121"/>
  <c r="I47" i="121"/>
  <c r="I61" i="121"/>
  <c r="I63" i="121"/>
  <c r="N46" i="122"/>
  <c r="N61" i="122"/>
  <c r="N62" i="122"/>
  <c r="N60" i="122"/>
  <c r="R97" i="123"/>
  <c r="R103" i="123"/>
  <c r="R153" i="123"/>
  <c r="U136" i="119"/>
  <c r="R159" i="123"/>
  <c r="R41" i="123"/>
  <c r="J149" i="150"/>
  <c r="R72" i="135"/>
  <c r="R137" i="123"/>
  <c r="R134" i="123"/>
  <c r="R144" i="123"/>
  <c r="R58" i="123"/>
  <c r="R70" i="123"/>
  <c r="R156" i="123"/>
  <c r="R59" i="123"/>
  <c r="R87" i="123"/>
  <c r="R141" i="134"/>
  <c r="T119" i="152"/>
  <c r="T144" i="125"/>
  <c r="R91" i="151"/>
  <c r="Q146" i="108"/>
  <c r="Q163" i="108" s="1"/>
  <c r="V163" i="108" s="1"/>
  <c r="T139" i="126"/>
  <c r="S43" i="147"/>
  <c r="R135" i="135"/>
  <c r="R105" i="135"/>
  <c r="Q128" i="134"/>
  <c r="R128" i="134" s="1"/>
  <c r="R47" i="134"/>
  <c r="J63" i="121"/>
  <c r="J62" i="121"/>
  <c r="J59" i="121"/>
  <c r="J47" i="121"/>
  <c r="J61" i="121"/>
  <c r="O63" i="121"/>
  <c r="O62" i="121"/>
  <c r="O59" i="121"/>
  <c r="O47" i="121"/>
  <c r="O61" i="121"/>
  <c r="G161" i="124"/>
  <c r="G36" i="124" s="1"/>
  <c r="Q160" i="124"/>
  <c r="T160" i="124" s="1"/>
  <c r="H161" i="124"/>
  <c r="H36" i="124" s="1"/>
  <c r="I161" i="124"/>
  <c r="I36" i="124" s="1"/>
  <c r="Q121" i="119"/>
  <c r="U121" i="119" s="1"/>
  <c r="U113" i="119"/>
  <c r="E134" i="108"/>
  <c r="E151" i="108" s="1"/>
  <c r="E54" i="119"/>
  <c r="E108" i="119" s="1"/>
  <c r="I54" i="119"/>
  <c r="I134" i="108"/>
  <c r="I151" i="108" s="1"/>
  <c r="M127" i="119"/>
  <c r="M54" i="119"/>
  <c r="M108" i="119" s="1"/>
  <c r="G173" i="108"/>
  <c r="G174" i="108" s="1"/>
  <c r="K173" i="108"/>
  <c r="E205" i="108"/>
  <c r="M205" i="108"/>
  <c r="L31" i="124"/>
  <c r="L34" i="124" s="1"/>
  <c r="L15" i="108"/>
  <c r="P31" i="124"/>
  <c r="P15" i="108"/>
  <c r="P27" i="108" s="1"/>
  <c r="G161" i="125"/>
  <c r="G36" i="125" s="1"/>
  <c r="R139" i="123"/>
  <c r="R147" i="123"/>
  <c r="R131" i="126"/>
  <c r="R72" i="123"/>
  <c r="R84" i="123"/>
  <c r="R146" i="123"/>
  <c r="M54" i="81"/>
  <c r="T14" i="135"/>
  <c r="R89" i="123"/>
  <c r="R49" i="123"/>
  <c r="R46" i="123"/>
  <c r="R54" i="123"/>
  <c r="R86" i="123"/>
  <c r="R39" i="123"/>
  <c r="R67" i="123"/>
  <c r="R98" i="123"/>
  <c r="T139" i="123"/>
  <c r="R58" i="135"/>
  <c r="R62" i="135"/>
  <c r="R128" i="135"/>
  <c r="R130" i="135"/>
  <c r="F155" i="134"/>
  <c r="F49" i="134" s="1"/>
  <c r="F121" i="134" s="1"/>
  <c r="I155" i="134"/>
  <c r="I49" i="134" s="1"/>
  <c r="I121" i="134" s="1"/>
  <c r="F47" i="121"/>
  <c r="M62" i="121"/>
  <c r="M59" i="121"/>
  <c r="M47" i="121"/>
  <c r="M61" i="121"/>
  <c r="M63" i="121"/>
  <c r="Q151" i="123"/>
  <c r="T151" i="123" s="1"/>
  <c r="Q95" i="131"/>
  <c r="T95" i="131" s="1"/>
  <c r="Q88" i="127"/>
  <c r="T88" i="127" s="1"/>
  <c r="M128" i="148"/>
  <c r="N32" i="119"/>
  <c r="N34" i="119" s="1"/>
  <c r="N30" i="108"/>
  <c r="M127" i="123"/>
  <c r="M125" i="123"/>
  <c r="E31" i="124"/>
  <c r="E34" i="124" s="1"/>
  <c r="E27" i="124"/>
  <c r="E28" i="124" s="1"/>
  <c r="E15" i="108"/>
  <c r="G131" i="147"/>
  <c r="G47" i="121"/>
  <c r="F161" i="125"/>
  <c r="F36" i="125" s="1"/>
  <c r="I118" i="132"/>
  <c r="M118" i="132"/>
  <c r="I134" i="132"/>
  <c r="I115" i="131"/>
  <c r="I11" i="131" s="1"/>
  <c r="I82" i="131" s="1"/>
  <c r="I141" i="126"/>
  <c r="I181" i="108" s="1"/>
  <c r="I176" i="108"/>
  <c r="M141" i="126"/>
  <c r="M161" i="126" s="1"/>
  <c r="M36" i="126" s="1"/>
  <c r="M176" i="108"/>
  <c r="F35" i="121"/>
  <c r="F130" i="148"/>
  <c r="F26" i="108"/>
  <c r="J35" i="121"/>
  <c r="J26" i="108"/>
  <c r="J164" i="108" s="1"/>
  <c r="J130" i="148"/>
  <c r="N35" i="121"/>
  <c r="N130" i="148"/>
  <c r="N128" i="148" s="1"/>
  <c r="N26" i="108"/>
  <c r="N164" i="108" s="1"/>
  <c r="R73" i="123"/>
  <c r="R76" i="123"/>
  <c r="R65" i="123"/>
  <c r="Q31" i="126"/>
  <c r="R31" i="126" s="1"/>
  <c r="R148" i="123"/>
  <c r="R95" i="123"/>
  <c r="R76" i="135"/>
  <c r="R68" i="123"/>
  <c r="R42" i="123"/>
  <c r="R90" i="123"/>
  <c r="Q127" i="123"/>
  <c r="T127" i="123" s="1"/>
  <c r="R55" i="123"/>
  <c r="R79" i="123"/>
  <c r="R155" i="123"/>
  <c r="S97" i="147"/>
  <c r="R95" i="119"/>
  <c r="R90" i="151"/>
  <c r="R92" i="135"/>
  <c r="R87" i="135"/>
  <c r="Q80" i="81"/>
  <c r="U80" i="81" s="1"/>
  <c r="Q126" i="151"/>
  <c r="N131" i="147"/>
  <c r="N63" i="121"/>
  <c r="N62" i="121"/>
  <c r="N59" i="121"/>
  <c r="N47" i="121"/>
  <c r="N61" i="121"/>
  <c r="K63" i="121"/>
  <c r="K62" i="121"/>
  <c r="K59" i="121"/>
  <c r="K47" i="121"/>
  <c r="K61" i="121"/>
  <c r="F161" i="124"/>
  <c r="F36" i="124" s="1"/>
  <c r="L31" i="123"/>
  <c r="L34" i="123" s="1"/>
  <c r="L14" i="108"/>
  <c r="G32" i="123"/>
  <c r="G34" i="123" s="1"/>
  <c r="G32" i="108"/>
  <c r="G45" i="108" s="1"/>
  <c r="N32" i="123"/>
  <c r="N34" i="123" s="1"/>
  <c r="N32" i="108"/>
  <c r="H125" i="124"/>
  <c r="H127" i="124"/>
  <c r="J31" i="125"/>
  <c r="J16" i="108"/>
  <c r="N31" i="125"/>
  <c r="N16" i="108"/>
  <c r="I32" i="125"/>
  <c r="I34" i="125" s="1"/>
  <c r="I34" i="108"/>
  <c r="M32" i="125"/>
  <c r="M34" i="125" s="1"/>
  <c r="M34" i="108"/>
  <c r="M45" i="108" s="1"/>
  <c r="E127" i="125"/>
  <c r="E138" i="108"/>
  <c r="E54" i="125"/>
  <c r="I127" i="125"/>
  <c r="I54" i="125"/>
  <c r="I138" i="108"/>
  <c r="I155" i="108" s="1"/>
  <c r="M127" i="125"/>
  <c r="M138" i="108"/>
  <c r="M155" i="108" s="1"/>
  <c r="I13" i="108"/>
  <c r="J84" i="149"/>
  <c r="J86" i="149" s="1"/>
  <c r="N84" i="149"/>
  <c r="T12" i="146"/>
  <c r="R41" i="81"/>
  <c r="U15" i="81"/>
  <c r="F199" i="108"/>
  <c r="J199" i="108"/>
  <c r="N199" i="108"/>
  <c r="T149" i="141"/>
  <c r="R137" i="141"/>
  <c r="S51" i="147"/>
  <c r="N97" i="136"/>
  <c r="F97" i="136"/>
  <c r="O118" i="132"/>
  <c r="T141" i="141"/>
  <c r="R79" i="141"/>
  <c r="R182" i="141"/>
  <c r="T16" i="141"/>
  <c r="Q45" i="18"/>
  <c r="E127" i="132"/>
  <c r="Q92" i="108"/>
  <c r="V92" i="108" s="1"/>
  <c r="Q93" i="108"/>
  <c r="V93" i="108" s="1"/>
  <c r="Q94" i="108"/>
  <c r="V94" i="108" s="1"/>
  <c r="Q95" i="108"/>
  <c r="V95" i="108" s="1"/>
  <c r="Q96" i="108"/>
  <c r="V96" i="108" s="1"/>
  <c r="Q98" i="108"/>
  <c r="V98" i="108" s="1"/>
  <c r="Q102" i="108"/>
  <c r="V102" i="108" s="1"/>
  <c r="Q110" i="108"/>
  <c r="V110" i="108" s="1"/>
  <c r="Q114" i="108"/>
  <c r="V114" i="108" s="1"/>
  <c r="Q120" i="108"/>
  <c r="V120" i="108" s="1"/>
  <c r="P67" i="81"/>
  <c r="L68" i="81"/>
  <c r="H72" i="81"/>
  <c r="P72" i="81"/>
  <c r="R126" i="141"/>
  <c r="R138" i="141"/>
  <c r="T120" i="141"/>
  <c r="R178" i="141"/>
  <c r="T18" i="141"/>
  <c r="R46" i="141"/>
  <c r="R99" i="141"/>
  <c r="R109" i="141"/>
  <c r="R119" i="141"/>
  <c r="R125" i="141"/>
  <c r="Q123" i="108"/>
  <c r="V123" i="108" s="1"/>
  <c r="S40" i="147"/>
  <c r="Q105" i="108"/>
  <c r="V105" i="108" s="1"/>
  <c r="R74" i="121"/>
  <c r="R92" i="121"/>
  <c r="R80" i="121"/>
  <c r="R84" i="121"/>
  <c r="F94" i="151"/>
  <c r="F58" i="81"/>
  <c r="T48" i="121"/>
  <c r="P27" i="81"/>
  <c r="R52" i="123"/>
  <c r="R100" i="123"/>
  <c r="L181" i="108"/>
  <c r="R133" i="119"/>
  <c r="Q132" i="146"/>
  <c r="E115" i="144"/>
  <c r="I115" i="144"/>
  <c r="M115" i="144"/>
  <c r="K49" i="108"/>
  <c r="R92" i="123"/>
  <c r="P141" i="152"/>
  <c r="P35" i="152" s="1"/>
  <c r="P107" i="152" s="1"/>
  <c r="Q131" i="152"/>
  <c r="T131" i="152" s="1"/>
  <c r="M192" i="154"/>
  <c r="M12" i="154" s="1"/>
  <c r="J134" i="132"/>
  <c r="J32" i="125"/>
  <c r="J34" i="125" s="1"/>
  <c r="J34" i="108"/>
  <c r="Q192" i="108"/>
  <c r="V192" i="108" s="1"/>
  <c r="R136" i="123"/>
  <c r="R40" i="123"/>
  <c r="R57" i="123"/>
  <c r="Q121" i="152"/>
  <c r="T121" i="152" s="1"/>
  <c r="R62" i="123"/>
  <c r="R44" i="123"/>
  <c r="F49" i="108"/>
  <c r="R125" i="152"/>
  <c r="R85" i="123"/>
  <c r="R80" i="123"/>
  <c r="R45" i="123"/>
  <c r="R48" i="123"/>
  <c r="R66" i="123"/>
  <c r="R78" i="123"/>
  <c r="R63" i="123"/>
  <c r="R154" i="123"/>
  <c r="R43" i="123"/>
  <c r="R64" i="123"/>
  <c r="R83" i="123"/>
  <c r="R150" i="123"/>
  <c r="R75" i="135"/>
  <c r="R71" i="135"/>
  <c r="Q160" i="125"/>
  <c r="R160" i="125" s="1"/>
  <c r="U162" i="154"/>
  <c r="R89" i="136"/>
  <c r="R84" i="136"/>
  <c r="R96" i="135"/>
  <c r="I76" i="81"/>
  <c r="E141" i="152"/>
  <c r="E35" i="152" s="1"/>
  <c r="E107" i="152" s="1"/>
  <c r="Q42" i="81"/>
  <c r="U42" i="81" s="1"/>
  <c r="K161" i="126"/>
  <c r="K36" i="126" s="1"/>
  <c r="K181" i="108"/>
  <c r="G34" i="125"/>
  <c r="N161" i="123"/>
  <c r="N36" i="123" s="1"/>
  <c r="H191" i="108"/>
  <c r="H193" i="108" s="1"/>
  <c r="M191" i="108"/>
  <c r="O34" i="124"/>
  <c r="E74" i="81"/>
  <c r="I74" i="81"/>
  <c r="M74" i="81"/>
  <c r="E75" i="81"/>
  <c r="I75" i="81"/>
  <c r="Q181" i="153"/>
  <c r="Q183" i="153" s="1"/>
  <c r="T65" i="141"/>
  <c r="R168" i="141"/>
  <c r="N183" i="83"/>
  <c r="N185" i="83" s="1"/>
  <c r="N178" i="108"/>
  <c r="F180" i="108"/>
  <c r="Q152" i="121"/>
  <c r="T152" i="121" s="1"/>
  <c r="Q109" i="147"/>
  <c r="L38" i="81"/>
  <c r="Q18" i="81"/>
  <c r="U18" i="81" s="1"/>
  <c r="G183" i="83"/>
  <c r="G185" i="83" s="1"/>
  <c r="R30" i="141"/>
  <c r="R155" i="141"/>
  <c r="R152" i="141"/>
  <c r="T165" i="141"/>
  <c r="H115" i="144"/>
  <c r="P153" i="152"/>
  <c r="O183" i="83"/>
  <c r="O185" i="83" s="1"/>
  <c r="F86" i="81"/>
  <c r="R22" i="141"/>
  <c r="R82" i="141"/>
  <c r="T96" i="141"/>
  <c r="R34" i="141"/>
  <c r="R151" i="141"/>
  <c r="Q188" i="154"/>
  <c r="U188" i="154" s="1"/>
  <c r="Q180" i="154"/>
  <c r="U180" i="154" s="1"/>
  <c r="L55" i="108"/>
  <c r="L97" i="146"/>
  <c r="L98" i="146" s="1"/>
  <c r="L13" i="18"/>
  <c r="G13" i="18"/>
  <c r="N144" i="121"/>
  <c r="N67" i="121"/>
  <c r="N89" i="108" s="1"/>
  <c r="N55" i="121"/>
  <c r="N65" i="121"/>
  <c r="M55" i="121"/>
  <c r="M144" i="121"/>
  <c r="M67" i="121"/>
  <c r="M89" i="108" s="1"/>
  <c r="M65" i="121"/>
  <c r="K192" i="154"/>
  <c r="K12" i="154" s="1"/>
  <c r="R20" i="141"/>
  <c r="T20" i="141"/>
  <c r="R24" i="141"/>
  <c r="T24" i="141"/>
  <c r="R32" i="141"/>
  <c r="T32" i="141"/>
  <c r="R131" i="141"/>
  <c r="T131" i="141"/>
  <c r="R147" i="141"/>
  <c r="T147" i="141"/>
  <c r="H185" i="142"/>
  <c r="H183" i="83"/>
  <c r="F185" i="90"/>
  <c r="Q183" i="90"/>
  <c r="N155" i="134"/>
  <c r="N49" i="134" s="1"/>
  <c r="N121" i="134" s="1"/>
  <c r="J144" i="121"/>
  <c r="J67" i="121"/>
  <c r="J89" i="108" s="1"/>
  <c r="J55" i="121"/>
  <c r="J65" i="121"/>
  <c r="I144" i="121"/>
  <c r="I55" i="121"/>
  <c r="I65" i="121"/>
  <c r="I67" i="121"/>
  <c r="I89" i="108" s="1"/>
  <c r="I161" i="123"/>
  <c r="I36" i="123" s="1"/>
  <c r="R150" i="119"/>
  <c r="I183" i="83"/>
  <c r="I185" i="83" s="1"/>
  <c r="I185" i="139"/>
  <c r="M185" i="139"/>
  <c r="M183" i="83"/>
  <c r="M185" i="83" s="1"/>
  <c r="T81" i="141"/>
  <c r="R81" i="141"/>
  <c r="R85" i="141"/>
  <c r="T85" i="141"/>
  <c r="T89" i="141"/>
  <c r="R89" i="141"/>
  <c r="R112" i="141"/>
  <c r="T112" i="141"/>
  <c r="T188" i="141"/>
  <c r="R188" i="141"/>
  <c r="U134" i="119"/>
  <c r="E182" i="154"/>
  <c r="E192" i="154" s="1"/>
  <c r="E12" i="154" s="1"/>
  <c r="E158" i="154" s="1"/>
  <c r="F144" i="121"/>
  <c r="F67" i="121"/>
  <c r="F89" i="108" s="1"/>
  <c r="F55" i="121"/>
  <c r="F65" i="121"/>
  <c r="O65" i="121"/>
  <c r="O144" i="121"/>
  <c r="O67" i="121"/>
  <c r="O89" i="108" s="1"/>
  <c r="O55" i="121"/>
  <c r="N161" i="125"/>
  <c r="N36" i="125" s="1"/>
  <c r="G65" i="121"/>
  <c r="G144" i="121"/>
  <c r="G67" i="121"/>
  <c r="G89" i="108" s="1"/>
  <c r="G55" i="121"/>
  <c r="N142" i="122"/>
  <c r="N143" i="122" s="1"/>
  <c r="N54" i="122"/>
  <c r="N77" i="108" s="1"/>
  <c r="N81" i="108"/>
  <c r="N64" i="122"/>
  <c r="N85" i="108"/>
  <c r="I192" i="154"/>
  <c r="I12" i="154" s="1"/>
  <c r="P134" i="132"/>
  <c r="L183" i="83"/>
  <c r="L185" i="83" s="1"/>
  <c r="T143" i="141"/>
  <c r="E86" i="81"/>
  <c r="E125" i="135"/>
  <c r="I185" i="140"/>
  <c r="R62" i="141"/>
  <c r="T62" i="141"/>
  <c r="T66" i="141"/>
  <c r="R66" i="141"/>
  <c r="T74" i="141"/>
  <c r="R74" i="141"/>
  <c r="T78" i="141"/>
  <c r="R78" i="141"/>
  <c r="Q183" i="141"/>
  <c r="J185" i="141"/>
  <c r="I141" i="152"/>
  <c r="I35" i="152" s="1"/>
  <c r="I107" i="152" s="1"/>
  <c r="I109" i="152" s="1"/>
  <c r="J141" i="152"/>
  <c r="J35" i="152" s="1"/>
  <c r="J107" i="152" s="1"/>
  <c r="K34" i="125"/>
  <c r="K65" i="121"/>
  <c r="K144" i="121"/>
  <c r="K67" i="121"/>
  <c r="K89" i="108" s="1"/>
  <c r="K55" i="121"/>
  <c r="L192" i="154"/>
  <c r="L12" i="154" s="1"/>
  <c r="O177" i="108"/>
  <c r="G178" i="108"/>
  <c r="K178" i="108"/>
  <c r="G179" i="108"/>
  <c r="K179" i="108"/>
  <c r="O179" i="108"/>
  <c r="K180" i="108"/>
  <c r="K186" i="108"/>
  <c r="O186" i="108"/>
  <c r="K187" i="108"/>
  <c r="O187" i="108"/>
  <c r="K188" i="108"/>
  <c r="O188" i="108"/>
  <c r="K189" i="108"/>
  <c r="O189" i="108"/>
  <c r="K190" i="108"/>
  <c r="O190" i="108"/>
  <c r="T191" i="141"/>
  <c r="T39" i="141"/>
  <c r="R39" i="141"/>
  <c r="T150" i="141"/>
  <c r="R150" i="141"/>
  <c r="N185" i="141"/>
  <c r="Q171" i="154"/>
  <c r="U171" i="154" s="1"/>
  <c r="R37" i="141"/>
  <c r="R80" i="141"/>
  <c r="P192" i="154"/>
  <c r="P12" i="154" s="1"/>
  <c r="N192" i="154"/>
  <c r="N12" i="154" s="1"/>
  <c r="H192" i="154"/>
  <c r="H12" i="154" s="1"/>
  <c r="O192" i="154"/>
  <c r="O12" i="154" s="1"/>
  <c r="R179" i="141"/>
  <c r="Q166" i="141"/>
  <c r="R166" i="141" s="1"/>
  <c r="Q88" i="130"/>
  <c r="V88" i="130" s="1"/>
  <c r="N127" i="132"/>
  <c r="L127" i="132"/>
  <c r="P127" i="132"/>
  <c r="T92" i="141"/>
  <c r="R135" i="141"/>
  <c r="R111" i="141"/>
  <c r="G94" i="151"/>
  <c r="G58" i="81"/>
  <c r="E109" i="126"/>
  <c r="E110" i="126" s="1"/>
  <c r="Q191" i="154"/>
  <c r="U191" i="154" s="1"/>
  <c r="J192" i="154"/>
  <c r="J12" i="154" s="1"/>
  <c r="H27" i="81"/>
  <c r="K109" i="126"/>
  <c r="K110" i="126" s="1"/>
  <c r="J76" i="81"/>
  <c r="O161" i="124"/>
  <c r="O36" i="124" s="1"/>
  <c r="R127" i="134"/>
  <c r="Q152" i="152"/>
  <c r="T152" i="152" s="1"/>
  <c r="R151" i="125"/>
  <c r="T127" i="134"/>
  <c r="U191" i="93"/>
  <c r="K161" i="125"/>
  <c r="K36" i="125" s="1"/>
  <c r="F192" i="154"/>
  <c r="F12" i="154" s="1"/>
  <c r="Q165" i="93"/>
  <c r="U165" i="93" s="1"/>
  <c r="H141" i="152"/>
  <c r="H35" i="152" s="1"/>
  <c r="H107" i="152" s="1"/>
  <c r="H109" i="152" s="1"/>
  <c r="Q145" i="134"/>
  <c r="R145" i="134" s="1"/>
  <c r="Q22" i="81"/>
  <c r="R40" i="81" s="1"/>
  <c r="Q148" i="150"/>
  <c r="F161" i="123"/>
  <c r="F36" i="123" s="1"/>
  <c r="N109" i="119"/>
  <c r="N110" i="119" s="1"/>
  <c r="J155" i="134"/>
  <c r="J49" i="134" s="1"/>
  <c r="J121" i="134" s="1"/>
  <c r="K161" i="124"/>
  <c r="K36" i="124" s="1"/>
  <c r="Q141" i="126"/>
  <c r="R141" i="126" s="1"/>
  <c r="P161" i="125"/>
  <c r="P36" i="125" s="1"/>
  <c r="O161" i="125"/>
  <c r="O36" i="125" s="1"/>
  <c r="Q130" i="148"/>
  <c r="N181" i="108"/>
  <c r="Q100" i="81"/>
  <c r="U100" i="81" s="1"/>
  <c r="Q135" i="138"/>
  <c r="J14" i="108"/>
  <c r="G31" i="119"/>
  <c r="G34" i="119" s="1"/>
  <c r="T26" i="136"/>
  <c r="Q94" i="136"/>
  <c r="R57" i="141"/>
  <c r="T57" i="141"/>
  <c r="T122" i="141"/>
  <c r="R122" i="141"/>
  <c r="T142" i="141"/>
  <c r="R142" i="141"/>
  <c r="F31" i="81"/>
  <c r="J31" i="81"/>
  <c r="R64" i="141"/>
  <c r="R54" i="141"/>
  <c r="T47" i="141"/>
  <c r="R47" i="141"/>
  <c r="T107" i="141"/>
  <c r="R107" i="141"/>
  <c r="T110" i="141"/>
  <c r="R110" i="141"/>
  <c r="T139" i="141"/>
  <c r="R139" i="141"/>
  <c r="T184" i="141"/>
  <c r="R184" i="141"/>
  <c r="E115" i="131"/>
  <c r="E11" i="131" s="1"/>
  <c r="E82" i="131" s="1"/>
  <c r="M115" i="131"/>
  <c r="M11" i="131" s="1"/>
  <c r="M82" i="131" s="1"/>
  <c r="F115" i="131"/>
  <c r="F11" i="131" s="1"/>
  <c r="J115" i="131"/>
  <c r="J11" i="131" s="1"/>
  <c r="J82" i="131" s="1"/>
  <c r="N115" i="131"/>
  <c r="N11" i="131" s="1"/>
  <c r="N82" i="131" s="1"/>
  <c r="K115" i="131"/>
  <c r="K11" i="131" s="1"/>
  <c r="K82" i="131" s="1"/>
  <c r="Q82" i="108"/>
  <c r="V82" i="108" s="1"/>
  <c r="N34" i="125"/>
  <c r="O34" i="126"/>
  <c r="T187" i="141"/>
  <c r="R29" i="141"/>
  <c r="T29" i="141"/>
  <c r="R101" i="141"/>
  <c r="T101" i="141"/>
  <c r="R133" i="141"/>
  <c r="T133" i="141"/>
  <c r="T136" i="141"/>
  <c r="R136" i="141"/>
  <c r="T174" i="141"/>
  <c r="R174" i="141"/>
  <c r="R177" i="141"/>
  <c r="T177" i="141"/>
  <c r="T181" i="141"/>
  <c r="R181" i="141"/>
  <c r="L134" i="132"/>
  <c r="I180" i="108"/>
  <c r="K199" i="108"/>
  <c r="Q199" i="108" s="1"/>
  <c r="G205" i="108"/>
  <c r="K205" i="108"/>
  <c r="O205" i="108"/>
  <c r="T44" i="141"/>
  <c r="T95" i="141"/>
  <c r="R95" i="141"/>
  <c r="T127" i="141"/>
  <c r="R127" i="141"/>
  <c r="E72" i="81"/>
  <c r="M73" i="81"/>
  <c r="M95" i="81"/>
  <c r="Q17" i="83"/>
  <c r="U17" i="83" s="1"/>
  <c r="Q18" i="83"/>
  <c r="U18" i="83" s="1"/>
  <c r="T164" i="141"/>
  <c r="R134" i="141"/>
  <c r="R102" i="141"/>
  <c r="R27" i="141"/>
  <c r="Q89" i="132"/>
  <c r="E67" i="81"/>
  <c r="I67" i="81"/>
  <c r="M67" i="81"/>
  <c r="M69" i="81" s="1"/>
  <c r="E68" i="81"/>
  <c r="I68" i="81"/>
  <c r="M75" i="81"/>
  <c r="J36" i="81"/>
  <c r="E36" i="81"/>
  <c r="H67" i="81"/>
  <c r="L73" i="81"/>
  <c r="G163" i="83"/>
  <c r="R69" i="141"/>
  <c r="T128" i="141"/>
  <c r="E125" i="122"/>
  <c r="V74" i="130"/>
  <c r="Q15" i="83"/>
  <c r="U15" i="83" s="1"/>
  <c r="Q16" i="83"/>
  <c r="U16" i="83" s="1"/>
  <c r="Q19" i="83"/>
  <c r="U19" i="83" s="1"/>
  <c r="Q20" i="83"/>
  <c r="U20" i="83" s="1"/>
  <c r="Q21" i="83"/>
  <c r="U21" i="83" s="1"/>
  <c r="Q22" i="83"/>
  <c r="U22" i="83" s="1"/>
  <c r="Q24" i="83"/>
  <c r="U24" i="83" s="1"/>
  <c r="Q75" i="108"/>
  <c r="V75" i="108" s="1"/>
  <c r="Q101" i="132"/>
  <c r="Q99" i="132"/>
  <c r="Q97" i="132"/>
  <c r="Q96" i="132"/>
  <c r="Q90" i="132"/>
  <c r="Q88" i="132"/>
  <c r="Q87" i="132"/>
  <c r="Q84" i="132"/>
  <c r="Q81" i="132"/>
  <c r="Q78" i="132"/>
  <c r="Q76" i="132"/>
  <c r="Q70" i="132"/>
  <c r="Q67" i="132"/>
  <c r="Q63" i="132"/>
  <c r="T145" i="134"/>
  <c r="N149" i="150"/>
  <c r="N54" i="81"/>
  <c r="M58" i="81"/>
  <c r="M94" i="151"/>
  <c r="P149" i="150"/>
  <c r="P54" i="81"/>
  <c r="N94" i="151"/>
  <c r="N58" i="81"/>
  <c r="I54" i="81"/>
  <c r="I149" i="150"/>
  <c r="H103" i="138"/>
  <c r="H60" i="81"/>
  <c r="I58" i="81"/>
  <c r="I94" i="151"/>
  <c r="O94" i="151"/>
  <c r="O58" i="81"/>
  <c r="I49" i="81"/>
  <c r="I123" i="134"/>
  <c r="R58" i="81"/>
  <c r="I60" i="81"/>
  <c r="I103" i="138"/>
  <c r="O60" i="81"/>
  <c r="O103" i="138"/>
  <c r="M103" i="138"/>
  <c r="M60" i="81"/>
  <c r="J94" i="151"/>
  <c r="J58" i="81"/>
  <c r="P94" i="151"/>
  <c r="P58" i="81"/>
  <c r="F54" i="81"/>
  <c r="F149" i="150"/>
  <c r="E54" i="81"/>
  <c r="E149" i="150"/>
  <c r="K149" i="150"/>
  <c r="K54" i="81"/>
  <c r="K94" i="151"/>
  <c r="K58" i="81"/>
  <c r="Q42" i="150"/>
  <c r="T42" i="150" s="1"/>
  <c r="T128" i="134"/>
  <c r="T31" i="126"/>
  <c r="P109" i="119"/>
  <c r="P110" i="119" s="1"/>
  <c r="R137" i="134"/>
  <c r="R137" i="152"/>
  <c r="V146" i="108"/>
  <c r="R91" i="152"/>
  <c r="R99" i="152"/>
  <c r="R85" i="152"/>
  <c r="R44" i="152"/>
  <c r="T15" i="136"/>
  <c r="R123" i="152"/>
  <c r="T168" i="139"/>
  <c r="R160" i="123"/>
  <c r="R133" i="123"/>
  <c r="R106" i="152"/>
  <c r="R138" i="152"/>
  <c r="R50" i="152"/>
  <c r="R93" i="123"/>
  <c r="R76" i="152"/>
  <c r="R69" i="152"/>
  <c r="R95" i="136"/>
  <c r="R94" i="136"/>
  <c r="Q97" i="136"/>
  <c r="T97" i="136" s="1"/>
  <c r="R85" i="136"/>
  <c r="R108" i="136"/>
  <c r="R21" i="136"/>
  <c r="R73" i="136"/>
  <c r="R80" i="136"/>
  <c r="Q29" i="138"/>
  <c r="R29" i="138" s="1"/>
  <c r="Q19" i="81"/>
  <c r="U19" i="81" s="1"/>
  <c r="R76" i="125"/>
  <c r="O161" i="126"/>
  <c r="O36" i="126" s="1"/>
  <c r="O109" i="126" s="1"/>
  <c r="O110" i="126" s="1"/>
  <c r="J181" i="108"/>
  <c r="E155" i="134"/>
  <c r="E49" i="134" s="1"/>
  <c r="E121" i="134" s="1"/>
  <c r="O76" i="81"/>
  <c r="F161" i="126"/>
  <c r="F36" i="126" s="1"/>
  <c r="F109" i="126" s="1"/>
  <c r="F110" i="126" s="1"/>
  <c r="E128" i="148"/>
  <c r="P115" i="144"/>
  <c r="G192" i="154"/>
  <c r="G12" i="154" s="1"/>
  <c r="H88" i="81"/>
  <c r="J69" i="81"/>
  <c r="F69" i="81"/>
  <c r="J127" i="132"/>
  <c r="Q124" i="132"/>
  <c r="O127" i="132"/>
  <c r="Q126" i="132"/>
  <c r="Q148" i="132"/>
  <c r="Q150" i="132"/>
  <c r="Q151" i="132"/>
  <c r="Q114" i="131"/>
  <c r="T114" i="131" s="1"/>
  <c r="L152" i="108"/>
  <c r="R116" i="152"/>
  <c r="T137" i="134"/>
  <c r="R79" i="152"/>
  <c r="Q153" i="152"/>
  <c r="T153" i="152" s="1"/>
  <c r="R74" i="152"/>
  <c r="R136" i="152"/>
  <c r="R135" i="152"/>
  <c r="R87" i="136"/>
  <c r="R86" i="136"/>
  <c r="R23" i="136"/>
  <c r="R81" i="136"/>
  <c r="R91" i="136"/>
  <c r="R90" i="136"/>
  <c r="R92" i="136"/>
  <c r="R76" i="136"/>
  <c r="K141" i="152"/>
  <c r="K35" i="152" s="1"/>
  <c r="K107" i="152" s="1"/>
  <c r="N161" i="126"/>
  <c r="N36" i="126" s="1"/>
  <c r="N109" i="126" s="1"/>
  <c r="N110" i="126" s="1"/>
  <c r="H161" i="125"/>
  <c r="H36" i="125" s="1"/>
  <c r="M161" i="125"/>
  <c r="M36" i="125" s="1"/>
  <c r="N88" i="81"/>
  <c r="H161" i="126"/>
  <c r="H36" i="126" s="1"/>
  <c r="H109" i="126" s="1"/>
  <c r="H110" i="126" s="1"/>
  <c r="I161" i="126"/>
  <c r="I36" i="126" s="1"/>
  <c r="I109" i="126" s="1"/>
  <c r="I110" i="126" s="1"/>
  <c r="M155" i="134"/>
  <c r="M49" i="134" s="1"/>
  <c r="M121" i="134" s="1"/>
  <c r="M49" i="81" s="1"/>
  <c r="H155" i="134"/>
  <c r="H49" i="134" s="1"/>
  <c r="H121" i="134" s="1"/>
  <c r="H123" i="134" s="1"/>
  <c r="Q26" i="18"/>
  <c r="G115" i="131"/>
  <c r="G11" i="131" s="1"/>
  <c r="G82" i="131" s="1"/>
  <c r="L115" i="131"/>
  <c r="L11" i="131" s="1"/>
  <c r="L82" i="131" s="1"/>
  <c r="F134" i="132"/>
  <c r="N134" i="132"/>
  <c r="Q114" i="144"/>
  <c r="Q115" i="144" s="1"/>
  <c r="F31" i="123"/>
  <c r="F34" i="123" s="1"/>
  <c r="F14" i="108"/>
  <c r="P152" i="108"/>
  <c r="T134" i="123"/>
  <c r="R140" i="152"/>
  <c r="R160" i="126"/>
  <c r="R112" i="152"/>
  <c r="R139" i="152"/>
  <c r="R71" i="152"/>
  <c r="R53" i="152"/>
  <c r="R97" i="152"/>
  <c r="R18" i="151"/>
  <c r="R104" i="152"/>
  <c r="Q161" i="123"/>
  <c r="R99" i="123"/>
  <c r="R88" i="123"/>
  <c r="R77" i="123"/>
  <c r="Q25" i="81"/>
  <c r="R96" i="152"/>
  <c r="R157" i="123"/>
  <c r="R53" i="123"/>
  <c r="R138" i="123"/>
  <c r="R60" i="123"/>
  <c r="R140" i="123"/>
  <c r="R66" i="152"/>
  <c r="R158" i="123"/>
  <c r="R131" i="123"/>
  <c r="I49" i="108"/>
  <c r="R101" i="123"/>
  <c r="R94" i="123"/>
  <c r="R50" i="123"/>
  <c r="R105" i="123"/>
  <c r="T117" i="123"/>
  <c r="R47" i="123"/>
  <c r="R61" i="123"/>
  <c r="R75" i="123"/>
  <c r="R91" i="123"/>
  <c r="Q125" i="123"/>
  <c r="T125" i="123" s="1"/>
  <c r="R87" i="152"/>
  <c r="R95" i="152"/>
  <c r="R61" i="152"/>
  <c r="R101" i="152"/>
  <c r="R129" i="152"/>
  <c r="U133" i="119"/>
  <c r="R56" i="123"/>
  <c r="R120" i="152"/>
  <c r="G27" i="81"/>
  <c r="R96" i="123"/>
  <c r="R46" i="152"/>
  <c r="R79" i="136"/>
  <c r="R78" i="136"/>
  <c r="R93" i="136"/>
  <c r="R77" i="136"/>
  <c r="R83" i="136"/>
  <c r="R82" i="136"/>
  <c r="R88" i="136"/>
  <c r="L141" i="152"/>
  <c r="L35" i="152" s="1"/>
  <c r="L107" i="152" s="1"/>
  <c r="L109" i="152" s="1"/>
  <c r="G141" i="152"/>
  <c r="G35" i="152" s="1"/>
  <c r="G107" i="152" s="1"/>
  <c r="O141" i="152"/>
  <c r="O35" i="152" s="1"/>
  <c r="O107" i="152" s="1"/>
  <c r="O109" i="152" s="1"/>
  <c r="N141" i="152"/>
  <c r="N35" i="152" s="1"/>
  <c r="N107" i="152" s="1"/>
  <c r="N109" i="152" s="1"/>
  <c r="F141" i="152"/>
  <c r="F35" i="152" s="1"/>
  <c r="F107" i="152" s="1"/>
  <c r="R140" i="134"/>
  <c r="P161" i="126"/>
  <c r="P36" i="126" s="1"/>
  <c r="P109" i="126" s="1"/>
  <c r="P110" i="126" s="1"/>
  <c r="E84" i="149"/>
  <c r="E86" i="149" s="1"/>
  <c r="G161" i="126"/>
  <c r="G36" i="126" s="1"/>
  <c r="G109" i="126" s="1"/>
  <c r="G110" i="126" s="1"/>
  <c r="H27" i="108"/>
  <c r="F54" i="108"/>
  <c r="Q32" i="126"/>
  <c r="R68" i="141"/>
  <c r="T68" i="141"/>
  <c r="T76" i="141"/>
  <c r="R76" i="141"/>
  <c r="R87" i="141"/>
  <c r="T87" i="141"/>
  <c r="T113" i="141"/>
  <c r="R113" i="141"/>
  <c r="T116" i="141"/>
  <c r="R116" i="141"/>
  <c r="T145" i="141"/>
  <c r="R145" i="141"/>
  <c r="T148" i="141"/>
  <c r="R148" i="141"/>
  <c r="I127" i="119"/>
  <c r="P177" i="108"/>
  <c r="F172" i="108"/>
  <c r="F174" i="108" s="1"/>
  <c r="N172" i="108"/>
  <c r="N173" i="108"/>
  <c r="F177" i="108"/>
  <c r="N177" i="108"/>
  <c r="J178" i="108"/>
  <c r="F179" i="108"/>
  <c r="N179" i="108"/>
  <c r="J180" i="108"/>
  <c r="Q145" i="124"/>
  <c r="J188" i="108"/>
  <c r="J190" i="108"/>
  <c r="L34" i="126"/>
  <c r="L109" i="126" s="1"/>
  <c r="L110" i="126" s="1"/>
  <c r="F164" i="108"/>
  <c r="H73" i="81"/>
  <c r="Q17" i="119"/>
  <c r="U17" i="119" s="1"/>
  <c r="I108" i="119"/>
  <c r="I109" i="119" s="1"/>
  <c r="I110" i="119" s="1"/>
  <c r="H179" i="108"/>
  <c r="Q147" i="119"/>
  <c r="Q148" i="119"/>
  <c r="P34" i="123"/>
  <c r="R69" i="123"/>
  <c r="E34" i="125"/>
  <c r="Q117" i="122"/>
  <c r="R78" i="122" s="1"/>
  <c r="G164" i="108"/>
  <c r="H74" i="81"/>
  <c r="L74" i="81"/>
  <c r="P74" i="81"/>
  <c r="P78" i="81" s="1"/>
  <c r="H75" i="81"/>
  <c r="P115" i="131"/>
  <c r="P11" i="131" s="1"/>
  <c r="P82" i="131" s="1"/>
  <c r="Q46" i="108"/>
  <c r="V46" i="108" s="1"/>
  <c r="Q66" i="108"/>
  <c r="V66" i="108" s="1"/>
  <c r="Q74" i="108"/>
  <c r="V74" i="108" s="1"/>
  <c r="Q79" i="108"/>
  <c r="V79" i="108" s="1"/>
  <c r="Q103" i="108"/>
  <c r="V103" i="108" s="1"/>
  <c r="Q104" i="108"/>
  <c r="V104" i="108" s="1"/>
  <c r="Q106" i="108"/>
  <c r="V106" i="108" s="1"/>
  <c r="Q107" i="108"/>
  <c r="V107" i="108" s="1"/>
  <c r="Q111" i="108"/>
  <c r="V111" i="108" s="1"/>
  <c r="Q112" i="108"/>
  <c r="V112" i="108" s="1"/>
  <c r="Q113" i="108"/>
  <c r="V113" i="108" s="1"/>
  <c r="Q115" i="108"/>
  <c r="V115" i="108" s="1"/>
  <c r="Q119" i="108"/>
  <c r="V119" i="108" s="1"/>
  <c r="Q121" i="108"/>
  <c r="V121" i="108" s="1"/>
  <c r="Q125" i="108"/>
  <c r="V125" i="108" s="1"/>
  <c r="Q127" i="108"/>
  <c r="V127" i="108" s="1"/>
  <c r="K134" i="119"/>
  <c r="O173" i="108"/>
  <c r="G141" i="119"/>
  <c r="G181" i="108" s="1"/>
  <c r="L180" i="108"/>
  <c r="K172" i="108"/>
  <c r="K174" i="108" s="1"/>
  <c r="K177" i="108"/>
  <c r="O178" i="108"/>
  <c r="G180" i="108"/>
  <c r="H121" i="149"/>
  <c r="H12" i="149" s="1"/>
  <c r="H84" i="149" s="1"/>
  <c r="H86" i="149" s="1"/>
  <c r="L121" i="149"/>
  <c r="L12" i="149" s="1"/>
  <c r="L84" i="149" s="1"/>
  <c r="L86" i="149" s="1"/>
  <c r="P121" i="149"/>
  <c r="P12" i="149" s="1"/>
  <c r="P84" i="149" s="1"/>
  <c r="P85" i="149" s="1"/>
  <c r="G121" i="149"/>
  <c r="G12" i="149" s="1"/>
  <c r="G84" i="149" s="1"/>
  <c r="G86" i="149" s="1"/>
  <c r="K121" i="149"/>
  <c r="K12" i="149" s="1"/>
  <c r="K84" i="149" s="1"/>
  <c r="K86" i="149" s="1"/>
  <c r="O121" i="149"/>
  <c r="O12" i="149" s="1"/>
  <c r="O84" i="149" s="1"/>
  <c r="Q120" i="134"/>
  <c r="L67" i="81"/>
  <c r="L69" i="81" s="1"/>
  <c r="P68" i="81"/>
  <c r="P69" i="81" s="1"/>
  <c r="L72" i="81"/>
  <c r="Q25" i="135"/>
  <c r="T25" i="135" s="1"/>
  <c r="Q128" i="136"/>
  <c r="T128" i="136" s="1"/>
  <c r="L129" i="136"/>
  <c r="L23" i="136" s="1"/>
  <c r="P129" i="136"/>
  <c r="P23" i="136" s="1"/>
  <c r="T98" i="151"/>
  <c r="T101" i="151"/>
  <c r="T103" i="151"/>
  <c r="T105" i="151"/>
  <c r="T108" i="151"/>
  <c r="T110" i="151"/>
  <c r="T112" i="151"/>
  <c r="T114" i="151"/>
  <c r="T119" i="151"/>
  <c r="T121" i="151"/>
  <c r="T123" i="151"/>
  <c r="K67" i="81"/>
  <c r="H68" i="81"/>
  <c r="H69" i="81" s="1"/>
  <c r="M72" i="81"/>
  <c r="M78" i="81" s="1"/>
  <c r="O74" i="81"/>
  <c r="L75" i="81"/>
  <c r="K84" i="81"/>
  <c r="K88" i="81" s="1"/>
  <c r="T97" i="151"/>
  <c r="T102" i="151"/>
  <c r="T104" i="151"/>
  <c r="T109" i="151"/>
  <c r="T111" i="151"/>
  <c r="T113" i="151"/>
  <c r="T115" i="151"/>
  <c r="T118" i="151"/>
  <c r="T120" i="151"/>
  <c r="T122" i="151"/>
  <c r="T124" i="151"/>
  <c r="Q185" i="143"/>
  <c r="T185" i="143" s="1"/>
  <c r="R132" i="141"/>
  <c r="T48" i="141"/>
  <c r="R48" i="141"/>
  <c r="R52" i="141"/>
  <c r="T52" i="141"/>
  <c r="R55" i="141"/>
  <c r="T55" i="141"/>
  <c r="T58" i="141"/>
  <c r="R58" i="141"/>
  <c r="T105" i="141"/>
  <c r="R105" i="141"/>
  <c r="T108" i="141"/>
  <c r="R108" i="141"/>
  <c r="T140" i="141"/>
  <c r="R140" i="141"/>
  <c r="T31" i="141"/>
  <c r="R31" i="141"/>
  <c r="T38" i="141"/>
  <c r="R38" i="141"/>
  <c r="T97" i="141"/>
  <c r="R97" i="141"/>
  <c r="T129" i="141"/>
  <c r="R129" i="141"/>
  <c r="R189" i="141"/>
  <c r="T189" i="141"/>
  <c r="G193" i="153"/>
  <c r="G12" i="153" s="1"/>
  <c r="R35" i="141"/>
  <c r="T121" i="141"/>
  <c r="R121" i="141"/>
  <c r="T124" i="141"/>
  <c r="R124" i="141"/>
  <c r="T153" i="141"/>
  <c r="R153" i="141"/>
  <c r="T156" i="141"/>
  <c r="R156" i="141"/>
  <c r="T193" i="141"/>
  <c r="R84" i="141"/>
  <c r="R190" i="141"/>
  <c r="T49" i="141"/>
  <c r="R73" i="141"/>
  <c r="R106" i="141"/>
  <c r="R98" i="141"/>
  <c r="T15" i="141"/>
  <c r="T28" i="18"/>
  <c r="T36" i="18" s="1"/>
  <c r="T187" i="140"/>
  <c r="T189" i="140"/>
  <c r="T191" i="140"/>
  <c r="R36" i="141"/>
  <c r="R154" i="141"/>
  <c r="T88" i="141"/>
  <c r="R170" i="141"/>
  <c r="R114" i="141"/>
  <c r="T94" i="141"/>
  <c r="R141" i="122"/>
  <c r="R85" i="122"/>
  <c r="R159" i="122"/>
  <c r="R94" i="122"/>
  <c r="R131" i="122"/>
  <c r="R148" i="122"/>
  <c r="R59" i="122"/>
  <c r="R55" i="122"/>
  <c r="R83" i="122"/>
  <c r="R89" i="122"/>
  <c r="R67" i="122"/>
  <c r="R69" i="122"/>
  <c r="R91" i="122"/>
  <c r="R136" i="122"/>
  <c r="R82" i="122"/>
  <c r="R43" i="122"/>
  <c r="R71" i="122"/>
  <c r="R66" i="122"/>
  <c r="R90" i="122"/>
  <c r="R51" i="122"/>
  <c r="R147" i="122"/>
  <c r="R53" i="122"/>
  <c r="R100" i="122"/>
  <c r="R155" i="122"/>
  <c r="R72" i="122"/>
  <c r="R101" i="122"/>
  <c r="R156" i="122"/>
  <c r="R150" i="122"/>
  <c r="R75" i="122"/>
  <c r="R132" i="122"/>
  <c r="R65" i="122"/>
  <c r="R157" i="122"/>
  <c r="R84" i="122"/>
  <c r="R56" i="122"/>
  <c r="R98" i="122"/>
  <c r="R146" i="122"/>
  <c r="R49" i="122"/>
  <c r="R80" i="122"/>
  <c r="R79" i="122"/>
  <c r="Q123" i="122"/>
  <c r="R47" i="122"/>
  <c r="O28" i="122"/>
  <c r="O58" i="122" s="1"/>
  <c r="O129" i="148"/>
  <c r="O128" i="148" s="1"/>
  <c r="O13" i="108"/>
  <c r="O152" i="108" s="1"/>
  <c r="M13" i="108"/>
  <c r="I129" i="148"/>
  <c r="I128" i="148" s="1"/>
  <c r="N130" i="147"/>
  <c r="M28" i="122"/>
  <c r="M58" i="122" s="1"/>
  <c r="I28" i="122"/>
  <c r="I58" i="122" s="1"/>
  <c r="K13" i="108"/>
  <c r="K152" i="108" s="1"/>
  <c r="K164" i="108"/>
  <c r="K148" i="108"/>
  <c r="I164" i="108"/>
  <c r="Q23" i="83"/>
  <c r="U23" i="83" s="1"/>
  <c r="Q25" i="83"/>
  <c r="U25" i="83" s="1"/>
  <c r="P86" i="149"/>
  <c r="P109" i="152"/>
  <c r="P61" i="81"/>
  <c r="G61" i="81"/>
  <c r="G109" i="152"/>
  <c r="O61" i="81"/>
  <c r="J103" i="138"/>
  <c r="J60" i="81"/>
  <c r="J123" i="134"/>
  <c r="J49" i="81"/>
  <c r="E61" i="81"/>
  <c r="E109" i="152"/>
  <c r="N123" i="134"/>
  <c r="N49" i="81"/>
  <c r="O49" i="81"/>
  <c r="O123" i="134"/>
  <c r="F49" i="81"/>
  <c r="F123" i="134"/>
  <c r="J61" i="81"/>
  <c r="J109" i="152"/>
  <c r="R55" i="81"/>
  <c r="R129" i="135"/>
  <c r="R109" i="135"/>
  <c r="R91" i="135"/>
  <c r="R121" i="135"/>
  <c r="R27" i="135"/>
  <c r="R90" i="135"/>
  <c r="R120" i="135"/>
  <c r="R106" i="135"/>
  <c r="R85" i="135"/>
  <c r="R115" i="135"/>
  <c r="R133" i="135"/>
  <c r="R94" i="135"/>
  <c r="R82" i="135"/>
  <c r="R83" i="135"/>
  <c r="R73" i="135"/>
  <c r="R134" i="135"/>
  <c r="R113" i="135"/>
  <c r="R95" i="135"/>
  <c r="R111" i="135"/>
  <c r="R118" i="135"/>
  <c r="R98" i="135"/>
  <c r="R124" i="135"/>
  <c r="R88" i="135"/>
  <c r="R127" i="135"/>
  <c r="R89" i="135"/>
  <c r="R122" i="135"/>
  <c r="R25" i="135"/>
  <c r="M13" i="18"/>
  <c r="R94" i="152"/>
  <c r="M86" i="149"/>
  <c r="L27" i="108"/>
  <c r="T104" i="127"/>
  <c r="U143" i="119"/>
  <c r="R143" i="119"/>
  <c r="H94" i="151"/>
  <c r="H58" i="81"/>
  <c r="R33" i="150"/>
  <c r="R30" i="150"/>
  <c r="R113" i="150"/>
  <c r="R36" i="150"/>
  <c r="R32" i="150"/>
  <c r="R34" i="150"/>
  <c r="J78" i="81"/>
  <c r="F127" i="132"/>
  <c r="Q123" i="132"/>
  <c r="Q149" i="132"/>
  <c r="T17" i="131"/>
  <c r="Q81" i="131"/>
  <c r="T99" i="131"/>
  <c r="Q105" i="131"/>
  <c r="O31" i="119"/>
  <c r="O34" i="119" s="1"/>
  <c r="O12" i="108"/>
  <c r="O27" i="119"/>
  <c r="L32" i="119"/>
  <c r="L34" i="119" s="1"/>
  <c r="L27" i="119"/>
  <c r="L28" i="119" s="1"/>
  <c r="L30" i="108"/>
  <c r="U61" i="119"/>
  <c r="R61" i="119"/>
  <c r="F125" i="119"/>
  <c r="F127" i="119"/>
  <c r="F134" i="108"/>
  <c r="F54" i="119"/>
  <c r="M177" i="108"/>
  <c r="M141" i="119"/>
  <c r="O180" i="108"/>
  <c r="O141" i="119"/>
  <c r="Q140" i="119"/>
  <c r="K151" i="119"/>
  <c r="K161" i="119" s="1"/>
  <c r="K36" i="119" s="1"/>
  <c r="K109" i="119" s="1"/>
  <c r="K110" i="119" s="1"/>
  <c r="K185" i="108"/>
  <c r="O185" i="108"/>
  <c r="O151" i="119"/>
  <c r="G186" i="108"/>
  <c r="Q144" i="119"/>
  <c r="G187" i="108"/>
  <c r="Q145" i="119"/>
  <c r="Q146" i="119"/>
  <c r="G188" i="108"/>
  <c r="E31" i="123"/>
  <c r="E14" i="108"/>
  <c r="E27" i="123"/>
  <c r="M31" i="123"/>
  <c r="M34" i="123" s="1"/>
  <c r="M14" i="108"/>
  <c r="M27" i="123"/>
  <c r="M49" i="108" s="1"/>
  <c r="E32" i="123"/>
  <c r="E32" i="108"/>
  <c r="F129" i="108"/>
  <c r="Q129" i="108" s="1"/>
  <c r="V129" i="108" s="1"/>
  <c r="Q106" i="123"/>
  <c r="T15" i="124"/>
  <c r="Q17" i="124"/>
  <c r="J33" i="108"/>
  <c r="Q33" i="108" s="1"/>
  <c r="J27" i="124"/>
  <c r="Q27" i="124" s="1"/>
  <c r="T27" i="124" s="1"/>
  <c r="Q32" i="124"/>
  <c r="P34" i="124"/>
  <c r="T83" i="124"/>
  <c r="T86" i="124"/>
  <c r="L125" i="124"/>
  <c r="L137" i="108"/>
  <c r="T14" i="125"/>
  <c r="Q17" i="125"/>
  <c r="O16" i="108"/>
  <c r="O31" i="125"/>
  <c r="O34" i="125" s="1"/>
  <c r="O27" i="125"/>
  <c r="O28" i="125" s="1"/>
  <c r="H32" i="125"/>
  <c r="H34" i="125" s="1"/>
  <c r="H34" i="108"/>
  <c r="H27" i="125"/>
  <c r="H28" i="125" s="1"/>
  <c r="P34" i="108"/>
  <c r="P32" i="125"/>
  <c r="P34" i="125" s="1"/>
  <c r="P27" i="125"/>
  <c r="P49" i="108" s="1"/>
  <c r="M135" i="108"/>
  <c r="Q135" i="108" s="1"/>
  <c r="V135" i="108" s="1"/>
  <c r="M125" i="122"/>
  <c r="T43" i="126"/>
  <c r="R43" i="126"/>
  <c r="T66" i="126"/>
  <c r="R66" i="126"/>
  <c r="T75" i="126"/>
  <c r="R75" i="126"/>
  <c r="H44" i="108"/>
  <c r="H29" i="121"/>
  <c r="L29" i="121"/>
  <c r="L44" i="108"/>
  <c r="P44" i="108"/>
  <c r="P29" i="121"/>
  <c r="T70" i="121"/>
  <c r="R70" i="121"/>
  <c r="L147" i="108"/>
  <c r="L164" i="108" s="1"/>
  <c r="L126" i="121"/>
  <c r="K47" i="108"/>
  <c r="Q47" i="108" s="1"/>
  <c r="K97" i="146"/>
  <c r="K98" i="146" s="1"/>
  <c r="G55" i="108"/>
  <c r="G97" i="146"/>
  <c r="G98" i="146" s="1"/>
  <c r="J55" i="108"/>
  <c r="J97" i="146"/>
  <c r="J98" i="146" s="1"/>
  <c r="O55" i="108"/>
  <c r="O97" i="146"/>
  <c r="O98" i="146" s="1"/>
  <c r="U52" i="147"/>
  <c r="S52" i="147"/>
  <c r="S77" i="147"/>
  <c r="U77" i="147"/>
  <c r="T74" i="149"/>
  <c r="Q83" i="149"/>
  <c r="T83" i="149" s="1"/>
  <c r="T91" i="149"/>
  <c r="Q92" i="149"/>
  <c r="Q120" i="149"/>
  <c r="T120" i="149" s="1"/>
  <c r="T116" i="149"/>
  <c r="G71" i="81"/>
  <c r="G135" i="134"/>
  <c r="K71" i="81"/>
  <c r="K135" i="134"/>
  <c r="G74" i="81"/>
  <c r="Q133" i="134"/>
  <c r="H94" i="81"/>
  <c r="Q151" i="134"/>
  <c r="P94" i="81"/>
  <c r="P154" i="134"/>
  <c r="P155" i="134" s="1"/>
  <c r="P49" i="134" s="1"/>
  <c r="P121" i="134" s="1"/>
  <c r="H95" i="81"/>
  <c r="Q95" i="81" s="1"/>
  <c r="Q152" i="134"/>
  <c r="R152" i="134" s="1"/>
  <c r="T128" i="135"/>
  <c r="I97" i="136"/>
  <c r="I20" i="81"/>
  <c r="I95" i="136"/>
  <c r="I56" i="81" s="1"/>
  <c r="L97" i="136"/>
  <c r="L95" i="136"/>
  <c r="L56" i="81" s="1"/>
  <c r="H38" i="81"/>
  <c r="Q21" i="136"/>
  <c r="T21" i="136" s="1"/>
  <c r="H95" i="136"/>
  <c r="H56" i="81" s="1"/>
  <c r="P38" i="81"/>
  <c r="P95" i="136"/>
  <c r="P56" i="81" s="1"/>
  <c r="T29" i="136"/>
  <c r="T100" i="136"/>
  <c r="Q102" i="136"/>
  <c r="J109" i="136"/>
  <c r="J129" i="136" s="1"/>
  <c r="J23" i="136" s="1"/>
  <c r="J95" i="136" s="1"/>
  <c r="J56" i="81" s="1"/>
  <c r="Q108" i="136"/>
  <c r="T113" i="136"/>
  <c r="Q119" i="136"/>
  <c r="T119" i="136" s="1"/>
  <c r="F24" i="81"/>
  <c r="F13" i="18" s="1"/>
  <c r="F101" i="138"/>
  <c r="T33" i="138"/>
  <c r="Q100" i="138"/>
  <c r="L94" i="151"/>
  <c r="L58" i="81"/>
  <c r="T147" i="124"/>
  <c r="Q70" i="108"/>
  <c r="V70" i="108" s="1"/>
  <c r="R90" i="141"/>
  <c r="R131" i="152"/>
  <c r="T141" i="123"/>
  <c r="R22" i="146"/>
  <c r="T134" i="125"/>
  <c r="R121" i="152"/>
  <c r="R151" i="123"/>
  <c r="R160" i="119"/>
  <c r="R43" i="81"/>
  <c r="Q151" i="126"/>
  <c r="E97" i="146"/>
  <c r="E98" i="146" s="1"/>
  <c r="R128" i="152"/>
  <c r="R134" i="134"/>
  <c r="H13" i="18"/>
  <c r="L54" i="81"/>
  <c r="R64" i="135"/>
  <c r="R68" i="135"/>
  <c r="Q182" i="154"/>
  <c r="U182" i="154" s="1"/>
  <c r="R113" i="152"/>
  <c r="U166" i="154"/>
  <c r="Q27" i="126"/>
  <c r="R139" i="134"/>
  <c r="R103" i="152"/>
  <c r="R43" i="152"/>
  <c r="R47" i="152"/>
  <c r="R45" i="152"/>
  <c r="R73" i="152"/>
  <c r="R89" i="152"/>
  <c r="R105" i="152"/>
  <c r="R48" i="152"/>
  <c r="R134" i="152"/>
  <c r="L27" i="81"/>
  <c r="T19" i="146"/>
  <c r="H114" i="150"/>
  <c r="Q20" i="151"/>
  <c r="R90" i="152"/>
  <c r="R70" i="135"/>
  <c r="R100" i="119"/>
  <c r="R86" i="152"/>
  <c r="R38" i="150"/>
  <c r="T21" i="150"/>
  <c r="R40" i="150"/>
  <c r="R100" i="152"/>
  <c r="R66" i="135"/>
  <c r="R37" i="150"/>
  <c r="R97" i="126"/>
  <c r="E76" i="81"/>
  <c r="R108" i="135"/>
  <c r="R125" i="135"/>
  <c r="R114" i="135"/>
  <c r="R86" i="135"/>
  <c r="R132" i="135"/>
  <c r="R123" i="135"/>
  <c r="M141" i="152"/>
  <c r="M35" i="152" s="1"/>
  <c r="M107" i="152" s="1"/>
  <c r="R103" i="134"/>
  <c r="R143" i="134"/>
  <c r="R118" i="134"/>
  <c r="R102" i="134"/>
  <c r="R80" i="134"/>
  <c r="R64" i="134"/>
  <c r="R93" i="134"/>
  <c r="M109" i="126"/>
  <c r="M110" i="126" s="1"/>
  <c r="T69" i="123"/>
  <c r="Q130" i="134"/>
  <c r="L154" i="134"/>
  <c r="L155" i="134" s="1"/>
  <c r="L49" i="134" s="1"/>
  <c r="L121" i="134" s="1"/>
  <c r="R52" i="121"/>
  <c r="R76" i="121"/>
  <c r="R42" i="121"/>
  <c r="R104" i="121"/>
  <c r="R135" i="121"/>
  <c r="R85" i="121"/>
  <c r="R146" i="121"/>
  <c r="R88" i="121"/>
  <c r="R72" i="121"/>
  <c r="R73" i="121"/>
  <c r="R79" i="121"/>
  <c r="R93" i="121"/>
  <c r="R90" i="121"/>
  <c r="R57" i="121"/>
  <c r="R54" i="121"/>
  <c r="G189" i="108"/>
  <c r="G190" i="108"/>
  <c r="Q190" i="108" s="1"/>
  <c r="V190" i="108" s="1"/>
  <c r="Q85" i="81"/>
  <c r="U85" i="81" s="1"/>
  <c r="R82" i="152"/>
  <c r="R68" i="152"/>
  <c r="R88" i="152"/>
  <c r="R130" i="152"/>
  <c r="R62" i="152"/>
  <c r="R72" i="152"/>
  <c r="R78" i="152"/>
  <c r="R65" i="152"/>
  <c r="R126" i="152"/>
  <c r="T140" i="125"/>
  <c r="Q141" i="125"/>
  <c r="Q161" i="125" s="1"/>
  <c r="Q157" i="153"/>
  <c r="T160" i="125"/>
  <c r="I61" i="81"/>
  <c r="R145" i="123"/>
  <c r="Q24" i="146"/>
  <c r="Q97" i="146" s="1"/>
  <c r="R64" i="152"/>
  <c r="R67" i="135"/>
  <c r="R65" i="135"/>
  <c r="Q114" i="152"/>
  <c r="R59" i="135"/>
  <c r="R124" i="152"/>
  <c r="R140" i="125"/>
  <c r="R117" i="152"/>
  <c r="R69" i="135"/>
  <c r="R61" i="135"/>
  <c r="R60" i="135"/>
  <c r="R84" i="135"/>
  <c r="R80" i="152"/>
  <c r="R51" i="152"/>
  <c r="R59" i="152"/>
  <c r="R63" i="152"/>
  <c r="R67" i="152"/>
  <c r="R49" i="152"/>
  <c r="R77" i="152"/>
  <c r="R93" i="152"/>
  <c r="R133" i="152"/>
  <c r="I131" i="147"/>
  <c r="R63" i="135"/>
  <c r="R84" i="152"/>
  <c r="R49" i="119"/>
  <c r="R153" i="119"/>
  <c r="R118" i="152"/>
  <c r="R92" i="152"/>
  <c r="R27" i="150"/>
  <c r="R112" i="150"/>
  <c r="R58" i="152"/>
  <c r="R78" i="135"/>
  <c r="R39" i="150"/>
  <c r="R102" i="152"/>
  <c r="O157" i="154"/>
  <c r="O158" i="154" s="1"/>
  <c r="O199" i="154" s="1"/>
  <c r="O212" i="154" s="1"/>
  <c r="R112" i="135"/>
  <c r="R131" i="135"/>
  <c r="R110" i="135"/>
  <c r="R117" i="135"/>
  <c r="R99" i="135"/>
  <c r="R119" i="135"/>
  <c r="P28" i="125"/>
  <c r="Q25" i="121"/>
  <c r="P181" i="108"/>
  <c r="P161" i="124"/>
  <c r="P36" i="124" s="1"/>
  <c r="Q36" i="124" s="1"/>
  <c r="N49" i="108"/>
  <c r="H141" i="119"/>
  <c r="Q118" i="131"/>
  <c r="T118" i="131" s="1"/>
  <c r="R39" i="126"/>
  <c r="R83" i="126"/>
  <c r="R81" i="126"/>
  <c r="R107" i="126"/>
  <c r="R91" i="126"/>
  <c r="R57" i="126"/>
  <c r="R100" i="126"/>
  <c r="R53" i="126"/>
  <c r="R93" i="126"/>
  <c r="R59" i="126"/>
  <c r="R70" i="126"/>
  <c r="R65" i="126"/>
  <c r="R72" i="126"/>
  <c r="R147" i="126"/>
  <c r="R89" i="126"/>
  <c r="R101" i="126"/>
  <c r="T117" i="126"/>
  <c r="R63" i="126"/>
  <c r="R133" i="126"/>
  <c r="R137" i="126"/>
  <c r="R78" i="126"/>
  <c r="R51" i="126"/>
  <c r="R90" i="126"/>
  <c r="G185" i="108"/>
  <c r="N53" i="108"/>
  <c r="M88" i="81"/>
  <c r="F82" i="131"/>
  <c r="H115" i="131"/>
  <c r="H11" i="131" s="1"/>
  <c r="M31" i="119"/>
  <c r="M12" i="108"/>
  <c r="J32" i="119"/>
  <c r="J30" i="108"/>
  <c r="P127" i="119"/>
  <c r="P134" i="108"/>
  <c r="Q139" i="119"/>
  <c r="E179" i="108"/>
  <c r="E141" i="119"/>
  <c r="K31" i="123"/>
  <c r="K14" i="108"/>
  <c r="K32" i="123"/>
  <c r="K32" i="108"/>
  <c r="K45" i="108" s="1"/>
  <c r="F127" i="123"/>
  <c r="F136" i="108"/>
  <c r="F125" i="123"/>
  <c r="O171" i="108"/>
  <c r="O174" i="108" s="1"/>
  <c r="O134" i="123"/>
  <c r="O161" i="123" s="1"/>
  <c r="O36" i="123" s="1"/>
  <c r="Q36" i="123" s="1"/>
  <c r="M193" i="108"/>
  <c r="J88" i="81"/>
  <c r="I32" i="123"/>
  <c r="I34" i="123" s="1"/>
  <c r="I32" i="108"/>
  <c r="I45" i="108" s="1"/>
  <c r="F31" i="125"/>
  <c r="F53" i="108" s="1"/>
  <c r="F57" i="108" s="1"/>
  <c r="F16" i="108"/>
  <c r="R45" i="119"/>
  <c r="L88" i="81"/>
  <c r="L157" i="154"/>
  <c r="V143" i="108"/>
  <c r="Q160" i="108"/>
  <c r="V160" i="108" s="1"/>
  <c r="Q123" i="123"/>
  <c r="T123" i="123" s="1"/>
  <c r="T114" i="123"/>
  <c r="I31" i="124"/>
  <c r="I15" i="108"/>
  <c r="Q121" i="124"/>
  <c r="T121" i="124" s="1"/>
  <c r="T113" i="124"/>
  <c r="Q117" i="124"/>
  <c r="R83" i="124" s="1"/>
  <c r="F88" i="81"/>
  <c r="I88" i="81"/>
  <c r="P88" i="81"/>
  <c r="O88" i="81"/>
  <c r="J157" i="154"/>
  <c r="G127" i="132"/>
  <c r="K127" i="132"/>
  <c r="Q125" i="132"/>
  <c r="Q152" i="132"/>
  <c r="I32" i="122"/>
  <c r="I54" i="108" s="1"/>
  <c r="M32" i="122"/>
  <c r="M54" i="108" s="1"/>
  <c r="R14" i="132"/>
  <c r="Q129" i="132"/>
  <c r="Q91" i="108"/>
  <c r="V91" i="108" s="1"/>
  <c r="J32" i="122"/>
  <c r="J54" i="108" s="1"/>
  <c r="E29" i="121"/>
  <c r="Q120" i="122"/>
  <c r="G129" i="148"/>
  <c r="G128" i="148" s="1"/>
  <c r="G53" i="108"/>
  <c r="G32" i="122"/>
  <c r="G54" i="108" s="1"/>
  <c r="K32" i="122"/>
  <c r="K34" i="122" s="1"/>
  <c r="Q57" i="81"/>
  <c r="U57" i="81" s="1"/>
  <c r="T108" i="138"/>
  <c r="T115" i="138"/>
  <c r="H32" i="122"/>
  <c r="L32" i="122"/>
  <c r="L54" i="108" s="1"/>
  <c r="J148" i="108"/>
  <c r="U12" i="81"/>
  <c r="T125" i="138"/>
  <c r="T134" i="138"/>
  <c r="G95" i="136"/>
  <c r="G56" i="81" s="1"/>
  <c r="K95" i="136"/>
  <c r="K56" i="81" s="1"/>
  <c r="O95" i="136"/>
  <c r="O56" i="81" s="1"/>
  <c r="T107" i="138"/>
  <c r="T110" i="138"/>
  <c r="T112" i="138"/>
  <c r="T114" i="138"/>
  <c r="T106" i="138"/>
  <c r="T111" i="138"/>
  <c r="T113" i="138"/>
  <c r="T120" i="138"/>
  <c r="T122" i="138"/>
  <c r="T127" i="138"/>
  <c r="T129" i="138"/>
  <c r="T131" i="138"/>
  <c r="T133" i="138"/>
  <c r="T116" i="151"/>
  <c r="T125" i="151"/>
  <c r="T126" i="151"/>
  <c r="T117" i="138"/>
  <c r="T119" i="138"/>
  <c r="T121" i="138"/>
  <c r="T123" i="138"/>
  <c r="T128" i="138"/>
  <c r="T130" i="138"/>
  <c r="T132" i="138"/>
  <c r="T135" i="138"/>
  <c r="T99" i="151"/>
  <c r="T106" i="151"/>
  <c r="T184" i="140"/>
  <c r="U37" i="18"/>
  <c r="U41" i="18"/>
  <c r="U53" i="18" s="1"/>
  <c r="J166" i="83"/>
  <c r="J163" i="83" s="1"/>
  <c r="T188" i="140"/>
  <c r="T190" i="140"/>
  <c r="T37" i="18"/>
  <c r="T41" i="18"/>
  <c r="T53" i="18" s="1"/>
  <c r="Q71" i="83"/>
  <c r="Q166" i="140"/>
  <c r="T166" i="140" s="1"/>
  <c r="L193" i="153"/>
  <c r="L12" i="153" s="1"/>
  <c r="L158" i="153" s="1"/>
  <c r="Q71" i="132"/>
  <c r="Q44" i="132"/>
  <c r="Q64" i="132"/>
  <c r="Q60" i="132"/>
  <c r="Q58" i="132"/>
  <c r="Q57" i="132"/>
  <c r="Q56" i="132"/>
  <c r="Q55" i="132"/>
  <c r="Q54" i="132"/>
  <c r="Q53" i="132"/>
  <c r="Q50" i="132"/>
  <c r="Q49" i="132"/>
  <c r="Q48" i="132"/>
  <c r="Q47" i="132"/>
  <c r="Q46" i="132"/>
  <c r="Q45" i="132"/>
  <c r="Q42" i="132"/>
  <c r="Q51" i="132"/>
  <c r="Q185" i="90"/>
  <c r="R28" i="141"/>
  <c r="R86" i="141"/>
  <c r="R50" i="141"/>
  <c r="T21" i="141"/>
  <c r="R61" i="141"/>
  <c r="T26" i="141"/>
  <c r="T59" i="141"/>
  <c r="R17" i="141"/>
  <c r="R45" i="141"/>
  <c r="T19" i="141"/>
  <c r="Q164" i="153"/>
  <c r="R23" i="141"/>
  <c r="R33" i="141"/>
  <c r="R41" i="141"/>
  <c r="R25" i="141"/>
  <c r="R91" i="141"/>
  <c r="R53" i="141"/>
  <c r="Q43" i="132"/>
  <c r="Q40" i="132"/>
  <c r="Q41" i="132"/>
  <c r="F193" i="153"/>
  <c r="F12" i="153" s="1"/>
  <c r="F158" i="153" s="1"/>
  <c r="F198" i="153" s="1"/>
  <c r="G158" i="153"/>
  <c r="G198" i="153" s="1"/>
  <c r="D215" i="153"/>
  <c r="U167" i="93"/>
  <c r="U164" i="93"/>
  <c r="Q166" i="90"/>
  <c r="Q175" i="143"/>
  <c r="Q84" i="83"/>
  <c r="U84" i="83" s="1"/>
  <c r="Q107" i="83"/>
  <c r="U107" i="83" s="1"/>
  <c r="Q137" i="83"/>
  <c r="U137" i="83" s="1"/>
  <c r="Q140" i="83"/>
  <c r="U140" i="83" s="1"/>
  <c r="Q151" i="83"/>
  <c r="U151" i="83" s="1"/>
  <c r="F163" i="83"/>
  <c r="Q106" i="83"/>
  <c r="U106" i="83" s="1"/>
  <c r="Q110" i="83"/>
  <c r="U110" i="83" s="1"/>
  <c r="Q115" i="83"/>
  <c r="U115" i="83" s="1"/>
  <c r="Q122" i="83"/>
  <c r="U122" i="83" s="1"/>
  <c r="Q129" i="83"/>
  <c r="U129" i="83" s="1"/>
  <c r="Q131" i="83"/>
  <c r="U131" i="83" s="1"/>
  <c r="Q133" i="83"/>
  <c r="U133" i="83" s="1"/>
  <c r="Q135" i="83"/>
  <c r="U135" i="83" s="1"/>
  <c r="Q139" i="83"/>
  <c r="U139" i="83" s="1"/>
  <c r="Q143" i="83"/>
  <c r="U143" i="83" s="1"/>
  <c r="Q146" i="83"/>
  <c r="U146" i="83" s="1"/>
  <c r="Q149" i="83"/>
  <c r="U149" i="83" s="1"/>
  <c r="Q153" i="83"/>
  <c r="U153" i="83" s="1"/>
  <c r="Q156" i="83"/>
  <c r="U156" i="83" s="1"/>
  <c r="Q80" i="83"/>
  <c r="U80" i="83" s="1"/>
  <c r="Q88" i="83"/>
  <c r="U88" i="83" s="1"/>
  <c r="Q89" i="83"/>
  <c r="U89" i="83" s="1"/>
  <c r="Q92" i="83"/>
  <c r="U177" i="142"/>
  <c r="Q182" i="83"/>
  <c r="U182" i="83" s="1"/>
  <c r="Q175" i="142"/>
  <c r="U175" i="142" s="1"/>
  <c r="Q157" i="83"/>
  <c r="U157" i="83" s="1"/>
  <c r="H185" i="83"/>
  <c r="Q178" i="83"/>
  <c r="U178" i="83" s="1"/>
  <c r="Q181" i="83"/>
  <c r="U181" i="83" s="1"/>
  <c r="R180" i="141"/>
  <c r="Q185" i="141"/>
  <c r="T185" i="141" s="1"/>
  <c r="Q170" i="83"/>
  <c r="U170" i="83" s="1"/>
  <c r="L166" i="83"/>
  <c r="L163" i="83" s="1"/>
  <c r="N166" i="83"/>
  <c r="N163" i="83" s="1"/>
  <c r="P166" i="83"/>
  <c r="P163" i="83" s="1"/>
  <c r="T157" i="141"/>
  <c r="Q72" i="83"/>
  <c r="U72" i="83" s="1"/>
  <c r="Q73" i="83"/>
  <c r="U73" i="83" s="1"/>
  <c r="Q75" i="83"/>
  <c r="U75" i="83" s="1"/>
  <c r="Q82" i="83"/>
  <c r="U82" i="83" s="1"/>
  <c r="Q83" i="83"/>
  <c r="U83" i="83" s="1"/>
  <c r="Q85" i="83"/>
  <c r="U85" i="83" s="1"/>
  <c r="Q86" i="83"/>
  <c r="Q91" i="83"/>
  <c r="U91" i="83" s="1"/>
  <c r="R75" i="141"/>
  <c r="R83" i="141"/>
  <c r="Q96" i="83"/>
  <c r="U96" i="83" s="1"/>
  <c r="Q97" i="83"/>
  <c r="U97" i="83" s="1"/>
  <c r="T77" i="141"/>
  <c r="Q26" i="83"/>
  <c r="U26" i="83" s="1"/>
  <c r="Q28" i="83"/>
  <c r="U28" i="83" s="1"/>
  <c r="Q31" i="83"/>
  <c r="U31" i="83" s="1"/>
  <c r="Q35" i="83"/>
  <c r="U35" i="83" s="1"/>
  <c r="Q37" i="83"/>
  <c r="U37" i="83" s="1"/>
  <c r="Q40" i="83"/>
  <c r="U40" i="83" s="1"/>
  <c r="Q41" i="83"/>
  <c r="U41" i="83" s="1"/>
  <c r="Q45" i="83"/>
  <c r="U45" i="83" s="1"/>
  <c r="Q47" i="83"/>
  <c r="U47" i="83" s="1"/>
  <c r="Q48" i="83"/>
  <c r="U48" i="83" s="1"/>
  <c r="Q49" i="83"/>
  <c r="U49" i="83" s="1"/>
  <c r="Q50" i="83"/>
  <c r="U50" i="83" s="1"/>
  <c r="Q52" i="83"/>
  <c r="U52" i="83" s="1"/>
  <c r="Q55" i="83"/>
  <c r="U55" i="83" s="1"/>
  <c r="Q56" i="83"/>
  <c r="U56" i="83" s="1"/>
  <c r="Q59" i="83"/>
  <c r="U59" i="83" s="1"/>
  <c r="Q61" i="83"/>
  <c r="U61" i="83" s="1"/>
  <c r="Q63" i="83"/>
  <c r="U63" i="83" s="1"/>
  <c r="Q64" i="83"/>
  <c r="U64" i="83" s="1"/>
  <c r="Q68" i="83"/>
  <c r="U68" i="83" s="1"/>
  <c r="Q69" i="83"/>
  <c r="U69" i="83" s="1"/>
  <c r="Q191" i="83"/>
  <c r="U191" i="83" s="1"/>
  <c r="Q193" i="83"/>
  <c r="U193" i="83" s="1"/>
  <c r="F157" i="154"/>
  <c r="T192" i="140"/>
  <c r="Q180" i="83"/>
  <c r="U180" i="83" s="1"/>
  <c r="Q179" i="83"/>
  <c r="U179" i="83" s="1"/>
  <c r="Q174" i="83"/>
  <c r="U174" i="83" s="1"/>
  <c r="Q168" i="83"/>
  <c r="U168" i="83" s="1"/>
  <c r="Q173" i="83"/>
  <c r="U173" i="83" s="1"/>
  <c r="Q172" i="83"/>
  <c r="Q171" i="83"/>
  <c r="K166" i="83"/>
  <c r="K163" i="83" s="1"/>
  <c r="O166" i="83"/>
  <c r="O163" i="83" s="1"/>
  <c r="Q93" i="83"/>
  <c r="U93" i="83" s="1"/>
  <c r="Q94" i="83"/>
  <c r="U94" i="83" s="1"/>
  <c r="Q95" i="83"/>
  <c r="U95" i="83" s="1"/>
  <c r="Q98" i="83"/>
  <c r="U98" i="83" s="1"/>
  <c r="Q99" i="83"/>
  <c r="U99" i="83" s="1"/>
  <c r="Q100" i="83"/>
  <c r="U100" i="83" s="1"/>
  <c r="Q101" i="83"/>
  <c r="U101" i="83" s="1"/>
  <c r="Q102" i="83"/>
  <c r="U102" i="83" s="1"/>
  <c r="Q103" i="83"/>
  <c r="U103" i="83" s="1"/>
  <c r="Q104" i="83"/>
  <c r="U104" i="83" s="1"/>
  <c r="Q105" i="83"/>
  <c r="U105" i="83" s="1"/>
  <c r="Q108" i="83"/>
  <c r="U108" i="83" s="1"/>
  <c r="Q109" i="83"/>
  <c r="U109" i="83" s="1"/>
  <c r="Q111" i="83"/>
  <c r="U111" i="83" s="1"/>
  <c r="Q112" i="83"/>
  <c r="U112" i="83" s="1"/>
  <c r="Q113" i="83"/>
  <c r="U113" i="83" s="1"/>
  <c r="Q114" i="83"/>
  <c r="U114" i="83" s="1"/>
  <c r="Q116" i="83"/>
  <c r="U116" i="83" s="1"/>
  <c r="Q117" i="83"/>
  <c r="U117" i="83" s="1"/>
  <c r="Q118" i="83"/>
  <c r="U118" i="83" s="1"/>
  <c r="Q119" i="83"/>
  <c r="U119" i="83" s="1"/>
  <c r="Q120" i="83"/>
  <c r="U120" i="83" s="1"/>
  <c r="Q121" i="83"/>
  <c r="U121" i="83" s="1"/>
  <c r="Q123" i="83"/>
  <c r="U123" i="83" s="1"/>
  <c r="Q124" i="83"/>
  <c r="U124" i="83" s="1"/>
  <c r="Q125" i="83"/>
  <c r="U125" i="83" s="1"/>
  <c r="Q126" i="83"/>
  <c r="U126" i="83" s="1"/>
  <c r="Q127" i="83"/>
  <c r="U127" i="83" s="1"/>
  <c r="Q128" i="83"/>
  <c r="U128" i="83" s="1"/>
  <c r="Q130" i="83"/>
  <c r="U130" i="83" s="1"/>
  <c r="Q132" i="83"/>
  <c r="U132" i="83" s="1"/>
  <c r="Q134" i="83"/>
  <c r="U134" i="83" s="1"/>
  <c r="Q136" i="83"/>
  <c r="U136" i="83" s="1"/>
  <c r="Q138" i="83"/>
  <c r="U138" i="83" s="1"/>
  <c r="Q141" i="83"/>
  <c r="U141" i="83" s="1"/>
  <c r="Q142" i="83"/>
  <c r="U142" i="83" s="1"/>
  <c r="Q144" i="83"/>
  <c r="U144" i="83" s="1"/>
  <c r="Q145" i="83"/>
  <c r="U145" i="83" s="1"/>
  <c r="Q147" i="83"/>
  <c r="U147" i="83" s="1"/>
  <c r="Q148" i="83"/>
  <c r="U148" i="83" s="1"/>
  <c r="Q150" i="83"/>
  <c r="U150" i="83" s="1"/>
  <c r="Q152" i="83"/>
  <c r="U152" i="83" s="1"/>
  <c r="Q155" i="83"/>
  <c r="U155" i="83" s="1"/>
  <c r="Q76" i="83"/>
  <c r="U76" i="83" s="1"/>
  <c r="Q77" i="83"/>
  <c r="U77" i="83" s="1"/>
  <c r="Q78" i="83"/>
  <c r="U78" i="83" s="1"/>
  <c r="Q79" i="83"/>
  <c r="U79" i="83" s="1"/>
  <c r="Q81" i="83"/>
  <c r="U81" i="83" s="1"/>
  <c r="Q39" i="83"/>
  <c r="U39" i="83" s="1"/>
  <c r="Q27" i="83"/>
  <c r="U27" i="83" s="1"/>
  <c r="Q29" i="83"/>
  <c r="U29" i="83" s="1"/>
  <c r="Q30" i="83"/>
  <c r="U30" i="83" s="1"/>
  <c r="Q32" i="83"/>
  <c r="U32" i="83" s="1"/>
  <c r="Q33" i="83"/>
  <c r="U33" i="83" s="1"/>
  <c r="Q34" i="83"/>
  <c r="U34" i="83" s="1"/>
  <c r="Q36" i="83"/>
  <c r="U36" i="83" s="1"/>
  <c r="Q38" i="83"/>
  <c r="U38" i="83" s="1"/>
  <c r="Q42" i="83"/>
  <c r="U42" i="83" s="1"/>
  <c r="Q44" i="83"/>
  <c r="U44" i="83" s="1"/>
  <c r="Q46" i="83"/>
  <c r="U46" i="83" s="1"/>
  <c r="Q51" i="83"/>
  <c r="U51" i="83" s="1"/>
  <c r="Q53" i="83"/>
  <c r="U53" i="83" s="1"/>
  <c r="Q54" i="83"/>
  <c r="U54" i="83" s="1"/>
  <c r="Q57" i="83"/>
  <c r="U57" i="83" s="1"/>
  <c r="Q58" i="83"/>
  <c r="U58" i="83" s="1"/>
  <c r="Q60" i="83"/>
  <c r="U60" i="83" s="1"/>
  <c r="Q62" i="83"/>
  <c r="U62" i="83" s="1"/>
  <c r="Q65" i="83"/>
  <c r="U65" i="83" s="1"/>
  <c r="Q66" i="83"/>
  <c r="U66" i="83" s="1"/>
  <c r="Q67" i="83"/>
  <c r="U67" i="83" s="1"/>
  <c r="Q43" i="83"/>
  <c r="U43" i="83" s="1"/>
  <c r="Q198" i="83"/>
  <c r="U198" i="83" s="1"/>
  <c r="Q177" i="83"/>
  <c r="U177" i="83" s="1"/>
  <c r="Q90" i="83"/>
  <c r="U90" i="83" s="1"/>
  <c r="Q74" i="83"/>
  <c r="U74" i="83" s="1"/>
  <c r="K38" i="81"/>
  <c r="G38" i="81"/>
  <c r="T94" i="136"/>
  <c r="E95" i="136"/>
  <c r="E56" i="81" s="1"/>
  <c r="K27" i="81"/>
  <c r="K13" i="18"/>
  <c r="Q82" i="81"/>
  <c r="Q83" i="81"/>
  <c r="U83" i="81" s="1"/>
  <c r="F193" i="108"/>
  <c r="U118" i="148"/>
  <c r="Q200" i="108"/>
  <c r="Q116" i="108"/>
  <c r="V116" i="108" s="1"/>
  <c r="G148" i="108"/>
  <c r="Q99" i="108"/>
  <c r="E44" i="108"/>
  <c r="O53" i="108"/>
  <c r="O35" i="121"/>
  <c r="P35" i="121"/>
  <c r="P53" i="108"/>
  <c r="N129" i="147"/>
  <c r="M157" i="154"/>
  <c r="M158" i="154" s="1"/>
  <c r="M199" i="154" s="1"/>
  <c r="M212" i="154" s="1"/>
  <c r="V199" i="108"/>
  <c r="H157" i="154"/>
  <c r="F148" i="108"/>
  <c r="H152" i="108"/>
  <c r="H148" i="108"/>
  <c r="H165" i="108" s="1"/>
  <c r="I148" i="108"/>
  <c r="I152" i="108"/>
  <c r="J152" i="108"/>
  <c r="Q67" i="108"/>
  <c r="V67" i="108" s="1"/>
  <c r="Q68" i="108"/>
  <c r="V68" i="108" s="1"/>
  <c r="Q56" i="108"/>
  <c r="V56" i="108" s="1"/>
  <c r="M86" i="108"/>
  <c r="P34" i="122"/>
  <c r="N54" i="108"/>
  <c r="N34" i="122"/>
  <c r="O54" i="108"/>
  <c r="O34" i="122"/>
  <c r="N65" i="108"/>
  <c r="N69" i="108"/>
  <c r="P28" i="122"/>
  <c r="P58" i="122" s="1"/>
  <c r="H31" i="108"/>
  <c r="I34" i="122"/>
  <c r="N84" i="108"/>
  <c r="N83" i="108"/>
  <c r="N100" i="108"/>
  <c r="L28" i="122"/>
  <c r="L58" i="122" s="1"/>
  <c r="N31" i="108"/>
  <c r="N45" i="108" s="1"/>
  <c r="J31" i="108"/>
  <c r="N86" i="108"/>
  <c r="H28" i="122"/>
  <c r="P31" i="108"/>
  <c r="P45" i="108" s="1"/>
  <c r="M53" i="108"/>
  <c r="M34" i="122"/>
  <c r="P100" i="108"/>
  <c r="K125" i="122"/>
  <c r="E28" i="122"/>
  <c r="G125" i="122"/>
  <c r="G13" i="108"/>
  <c r="E27" i="108"/>
  <c r="P86" i="108"/>
  <c r="K28" i="122"/>
  <c r="K58" i="122" s="1"/>
  <c r="K129" i="148"/>
  <c r="K128" i="148" s="1"/>
  <c r="Q159" i="132"/>
  <c r="Q153" i="132"/>
  <c r="Q139" i="132"/>
  <c r="Q140" i="132"/>
  <c r="Q141" i="132"/>
  <c r="Q142" i="132"/>
  <c r="Q143" i="132"/>
  <c r="V90" i="130"/>
  <c r="Q133" i="132"/>
  <c r="Q132" i="132"/>
  <c r="Q131" i="132"/>
  <c r="Q135" i="132"/>
  <c r="Q102" i="132"/>
  <c r="Q61" i="132"/>
  <c r="T114" i="127"/>
  <c r="I157" i="154"/>
  <c r="I158" i="154" s="1"/>
  <c r="I199" i="154" s="1"/>
  <c r="E199" i="154"/>
  <c r="Q138" i="132"/>
  <c r="M127" i="132"/>
  <c r="Q93" i="132"/>
  <c r="Q95" i="132"/>
  <c r="Q94" i="132"/>
  <c r="L66" i="18"/>
  <c r="K65" i="18"/>
  <c r="K66" i="18" s="1"/>
  <c r="K116" i="132"/>
  <c r="H65" i="18"/>
  <c r="H66" i="18" s="1"/>
  <c r="Q28" i="132"/>
  <c r="N111" i="132"/>
  <c r="J27" i="108"/>
  <c r="J125" i="122"/>
  <c r="J28" i="122"/>
  <c r="J58" i="122" s="1"/>
  <c r="G28" i="122"/>
  <c r="L100" i="108"/>
  <c r="J129" i="148"/>
  <c r="J128" i="148" s="1"/>
  <c r="J86" i="108"/>
  <c r="J34" i="122"/>
  <c r="J53" i="108"/>
  <c r="L65" i="108"/>
  <c r="L53" i="108"/>
  <c r="R12" i="122"/>
  <c r="G100" i="108"/>
  <c r="F34" i="122"/>
  <c r="F125" i="122"/>
  <c r="F129" i="148"/>
  <c r="F13" i="108"/>
  <c r="F28" i="122"/>
  <c r="Q34" i="18"/>
  <c r="T166" i="141"/>
  <c r="Q165" i="83"/>
  <c r="U165" i="83" s="1"/>
  <c r="T165" i="140"/>
  <c r="T164" i="140"/>
  <c r="Q164" i="83"/>
  <c r="U164" i="83" s="1"/>
  <c r="N60" i="81"/>
  <c r="F74" i="18"/>
  <c r="S27" i="18"/>
  <c r="V15" i="18"/>
  <c r="O111" i="132"/>
  <c r="O65" i="18" s="1"/>
  <c r="T13" i="138"/>
  <c r="J13" i="18"/>
  <c r="J27" i="81"/>
  <c r="O27" i="81"/>
  <c r="O13" i="18"/>
  <c r="N13" i="18"/>
  <c r="N27" i="81"/>
  <c r="I35" i="121"/>
  <c r="I53" i="108"/>
  <c r="I86" i="108"/>
  <c r="I100" i="108"/>
  <c r="T43" i="121"/>
  <c r="H35" i="121"/>
  <c r="H53" i="108"/>
  <c r="Q32" i="121"/>
  <c r="G86" i="108"/>
  <c r="Q44" i="18"/>
  <c r="Q47" i="18" s="1"/>
  <c r="E193" i="153"/>
  <c r="E12" i="153" s="1"/>
  <c r="Q18" i="91"/>
  <c r="Q154" i="83"/>
  <c r="U154" i="83" s="1"/>
  <c r="T72" i="141"/>
  <c r="T43" i="141"/>
  <c r="T178" i="140"/>
  <c r="T180" i="140"/>
  <c r="T182" i="140"/>
  <c r="T177" i="140"/>
  <c r="T179" i="140"/>
  <c r="T181" i="140"/>
  <c r="T172" i="140"/>
  <c r="T168" i="140"/>
  <c r="T166" i="139"/>
  <c r="E60" i="81"/>
  <c r="Q24" i="81"/>
  <c r="E27" i="81"/>
  <c r="E13" i="18"/>
  <c r="U98" i="147"/>
  <c r="E148" i="108"/>
  <c r="E164" i="108"/>
  <c r="Q154" i="121"/>
  <c r="R33" i="121"/>
  <c r="Q78" i="121"/>
  <c r="Q64" i="121"/>
  <c r="E34" i="122"/>
  <c r="E100" i="108"/>
  <c r="E53" i="108"/>
  <c r="E111" i="132"/>
  <c r="Q36" i="132"/>
  <c r="Q14" i="127"/>
  <c r="F18" i="132"/>
  <c r="J18" i="132"/>
  <c r="J20" i="132" s="1"/>
  <c r="J31" i="132" s="1"/>
  <c r="N18" i="132"/>
  <c r="N20" i="132" s="1"/>
  <c r="N31" i="132" s="1"/>
  <c r="K117" i="132"/>
  <c r="K11" i="18"/>
  <c r="O11" i="18"/>
  <c r="G11" i="18"/>
  <c r="R16" i="132"/>
  <c r="R13" i="132"/>
  <c r="H18" i="132"/>
  <c r="H20" i="132" s="1"/>
  <c r="H31" i="132" s="1"/>
  <c r="L18" i="132"/>
  <c r="L20" i="132" s="1"/>
  <c r="L31" i="132" s="1"/>
  <c r="P20" i="132"/>
  <c r="P31" i="132" s="1"/>
  <c r="E20" i="132"/>
  <c r="E31" i="132" s="1"/>
  <c r="I117" i="132"/>
  <c r="I11" i="18"/>
  <c r="P116" i="132"/>
  <c r="P65" i="18"/>
  <c r="G116" i="132"/>
  <c r="G65" i="18"/>
  <c r="G117" i="132"/>
  <c r="M111" i="132"/>
  <c r="J111" i="132"/>
  <c r="I116" i="132"/>
  <c r="I65" i="18"/>
  <c r="F116" i="132"/>
  <c r="F65" i="18"/>
  <c r="T197" i="140"/>
  <c r="G157" i="154"/>
  <c r="G158" i="154" s="1"/>
  <c r="G199" i="154" s="1"/>
  <c r="K157" i="154"/>
  <c r="E97" i="130" l="1"/>
  <c r="Q91" i="130"/>
  <c r="L158" i="154"/>
  <c r="L199" i="154" s="1"/>
  <c r="L212" i="154" s="1"/>
  <c r="N115" i="135"/>
  <c r="N72" i="81"/>
  <c r="N78" i="81" s="1"/>
  <c r="Q109" i="135"/>
  <c r="K115" i="135"/>
  <c r="F27" i="81"/>
  <c r="F183" i="83"/>
  <c r="F185" i="83" s="1"/>
  <c r="J183" i="83"/>
  <c r="J185" i="83" s="1"/>
  <c r="Q183" i="140"/>
  <c r="T183" i="140" s="1"/>
  <c r="E183" i="83"/>
  <c r="E185" i="83" s="1"/>
  <c r="O125" i="135"/>
  <c r="J125" i="135"/>
  <c r="Q123" i="135"/>
  <c r="G86" i="81"/>
  <c r="G88" i="81" s="1"/>
  <c r="P198" i="153"/>
  <c r="P159" i="153"/>
  <c r="Q168" i="93"/>
  <c r="E174" i="93"/>
  <c r="L61" i="81"/>
  <c r="R54" i="81"/>
  <c r="Q81" i="81"/>
  <c r="U81" i="81" s="1"/>
  <c r="O69" i="81"/>
  <c r="R153" i="121"/>
  <c r="R107" i="121"/>
  <c r="R105" i="121"/>
  <c r="R102" i="121"/>
  <c r="R53" i="121"/>
  <c r="E184" i="93"/>
  <c r="Q182" i="93"/>
  <c r="E175" i="90"/>
  <c r="Q169" i="90"/>
  <c r="Q175" i="90" s="1"/>
  <c r="R57" i="81"/>
  <c r="Q12" i="149"/>
  <c r="R37" i="81"/>
  <c r="M123" i="134"/>
  <c r="H61" i="81"/>
  <c r="G69" i="81"/>
  <c r="Q126" i="121"/>
  <c r="T126" i="121" s="1"/>
  <c r="R66" i="121"/>
  <c r="E175" i="141"/>
  <c r="Q169" i="141"/>
  <c r="L34" i="122"/>
  <c r="N27" i="108"/>
  <c r="N165" i="108" s="1"/>
  <c r="R142" i="121"/>
  <c r="R68" i="121"/>
  <c r="R89" i="121"/>
  <c r="R77" i="121"/>
  <c r="Q147" i="108"/>
  <c r="R140" i="121"/>
  <c r="R161" i="121"/>
  <c r="R147" i="121"/>
  <c r="R134" i="121"/>
  <c r="R99" i="121"/>
  <c r="R94" i="121"/>
  <c r="R49" i="121"/>
  <c r="R160" i="121"/>
  <c r="R101" i="121"/>
  <c r="R50" i="121"/>
  <c r="R141" i="121"/>
  <c r="R91" i="121"/>
  <c r="R100" i="121"/>
  <c r="R45" i="121"/>
  <c r="R41" i="121"/>
  <c r="T118" i="121"/>
  <c r="R86" i="121"/>
  <c r="R106" i="121"/>
  <c r="R151" i="121"/>
  <c r="R56" i="121"/>
  <c r="R75" i="121"/>
  <c r="R82" i="121"/>
  <c r="R103" i="121"/>
  <c r="R71" i="121"/>
  <c r="R97" i="121"/>
  <c r="R87" i="121"/>
  <c r="R132" i="121"/>
  <c r="R48" i="121"/>
  <c r="Q183" i="142"/>
  <c r="U183" i="142" s="1"/>
  <c r="K183" i="83"/>
  <c r="K185" i="83" s="1"/>
  <c r="O191" i="108"/>
  <c r="J177" i="108"/>
  <c r="H177" i="108"/>
  <c r="G177" i="108"/>
  <c r="I191" i="108"/>
  <c r="I193" i="108" s="1"/>
  <c r="Q110" i="148"/>
  <c r="U110" i="148" s="1"/>
  <c r="Q26" i="108"/>
  <c r="V26" i="108" s="1"/>
  <c r="F158" i="154"/>
  <c r="F199" i="154" s="1"/>
  <c r="F193" i="90" s="1"/>
  <c r="F194" i="90" s="1"/>
  <c r="F195" i="90" s="1"/>
  <c r="F12" i="90" s="1"/>
  <c r="Q172" i="154"/>
  <c r="U172" i="154" s="1"/>
  <c r="J201" i="153"/>
  <c r="J86" i="135" s="1"/>
  <c r="J98" i="135" s="1"/>
  <c r="J37" i="81" s="1"/>
  <c r="J45" i="81" s="1"/>
  <c r="N144" i="132"/>
  <c r="N146" i="132" s="1"/>
  <c r="E40" i="121"/>
  <c r="E143" i="121"/>
  <c r="S26" i="18"/>
  <c r="E102" i="148"/>
  <c r="Q95" i="148"/>
  <c r="G169" i="83"/>
  <c r="G175" i="83" s="1"/>
  <c r="G175" i="139"/>
  <c r="L169" i="83"/>
  <c r="L175" i="83" s="1"/>
  <c r="L175" i="139"/>
  <c r="E175" i="139"/>
  <c r="E169" i="83"/>
  <c r="Q169" i="139"/>
  <c r="Q138" i="121"/>
  <c r="L40" i="121"/>
  <c r="L62" i="108" s="1"/>
  <c r="L143" i="121"/>
  <c r="E177" i="108"/>
  <c r="G153" i="122"/>
  <c r="M175" i="139"/>
  <c r="M169" i="83"/>
  <c r="M175" i="83" s="1"/>
  <c r="N112" i="148"/>
  <c r="L125" i="135"/>
  <c r="K169" i="83"/>
  <c r="K175" i="83" s="1"/>
  <c r="K175" i="139"/>
  <c r="R95" i="146"/>
  <c r="T16" i="146"/>
  <c r="R96" i="146"/>
  <c r="H175" i="139"/>
  <c r="H169" i="83"/>
  <c r="H175" i="83" s="1"/>
  <c r="N169" i="83"/>
  <c r="N175" i="83" s="1"/>
  <c r="N175" i="139"/>
  <c r="P40" i="121"/>
  <c r="P62" i="108" s="1"/>
  <c r="P143" i="121"/>
  <c r="H40" i="121"/>
  <c r="H62" i="108" s="1"/>
  <c r="H143" i="121"/>
  <c r="R149" i="122"/>
  <c r="R160" i="122"/>
  <c r="R74" i="122"/>
  <c r="R88" i="122"/>
  <c r="R138" i="122"/>
  <c r="R134" i="122"/>
  <c r="R68" i="122"/>
  <c r="R139" i="122"/>
  <c r="R103" i="122"/>
  <c r="R158" i="122"/>
  <c r="R102" i="122"/>
  <c r="R106" i="122"/>
  <c r="R39" i="122"/>
  <c r="R41" i="122"/>
  <c r="R40" i="122"/>
  <c r="R93" i="122"/>
  <c r="R99" i="122"/>
  <c r="R145" i="122"/>
  <c r="R86" i="122"/>
  <c r="Q73" i="81"/>
  <c r="U73" i="81" s="1"/>
  <c r="U22" i="81"/>
  <c r="P183" i="83"/>
  <c r="P185" i="83" s="1"/>
  <c r="Q183" i="139"/>
  <c r="M125" i="135"/>
  <c r="P175" i="139"/>
  <c r="P169" i="83"/>
  <c r="P175" i="83" s="1"/>
  <c r="Q169" i="140"/>
  <c r="E175" i="140"/>
  <c r="K125" i="135"/>
  <c r="E101" i="147"/>
  <c r="Q95" i="147"/>
  <c r="N125" i="135"/>
  <c r="S56" i="108"/>
  <c r="Q16" i="108"/>
  <c r="V16" i="108" s="1"/>
  <c r="H49" i="81"/>
  <c r="R152" i="122"/>
  <c r="R57" i="122"/>
  <c r="R97" i="122"/>
  <c r="R50" i="122"/>
  <c r="R48" i="122"/>
  <c r="R76" i="122"/>
  <c r="R70" i="122"/>
  <c r="R105" i="122"/>
  <c r="R133" i="122"/>
  <c r="R140" i="122"/>
  <c r="R73" i="122"/>
  <c r="R44" i="122"/>
  <c r="R81" i="122"/>
  <c r="R92" i="122"/>
  <c r="R45" i="122"/>
  <c r="R104" i="122"/>
  <c r="R87" i="122"/>
  <c r="R96" i="122"/>
  <c r="R52" i="122"/>
  <c r="N87" i="108"/>
  <c r="Q176" i="108"/>
  <c r="V176" i="108" s="1"/>
  <c r="I177" i="108"/>
  <c r="I169" i="83"/>
  <c r="I175" i="83" s="1"/>
  <c r="I175" i="139"/>
  <c r="P125" i="135"/>
  <c r="H125" i="135"/>
  <c r="O169" i="83"/>
  <c r="O175" i="83" s="1"/>
  <c r="O175" i="139"/>
  <c r="F169" i="83"/>
  <c r="F175" i="83" s="1"/>
  <c r="F175" i="139"/>
  <c r="J169" i="83"/>
  <c r="J175" i="83" s="1"/>
  <c r="J175" i="139"/>
  <c r="J74" i="18"/>
  <c r="Q187" i="108"/>
  <c r="V187" i="108" s="1"/>
  <c r="L74" i="18"/>
  <c r="Q172" i="108"/>
  <c r="V172" i="108" s="1"/>
  <c r="O193" i="108"/>
  <c r="R152" i="121"/>
  <c r="Q189" i="108"/>
  <c r="V189" i="108" s="1"/>
  <c r="L153" i="122"/>
  <c r="L191" i="108"/>
  <c r="L193" i="108" s="1"/>
  <c r="N153" i="122"/>
  <c r="N191" i="108"/>
  <c r="N193" i="108" s="1"/>
  <c r="P153" i="122"/>
  <c r="P191" i="108"/>
  <c r="P193" i="108" s="1"/>
  <c r="Q137" i="122"/>
  <c r="R137" i="122" s="1"/>
  <c r="K153" i="122"/>
  <c r="K191" i="108"/>
  <c r="K193" i="108" s="1"/>
  <c r="J153" i="122"/>
  <c r="J191" i="108"/>
  <c r="J193" i="108" s="1"/>
  <c r="F153" i="122"/>
  <c r="E191" i="108"/>
  <c r="E193" i="108" s="1"/>
  <c r="Q151" i="122"/>
  <c r="E153" i="122"/>
  <c r="Q186" i="108"/>
  <c r="V186" i="108" s="1"/>
  <c r="Q185" i="108"/>
  <c r="V185" i="108" s="1"/>
  <c r="P204" i="153"/>
  <c r="P69" i="130"/>
  <c r="P81" i="130" s="1"/>
  <c r="G214" i="153"/>
  <c r="G70" i="93" s="1"/>
  <c r="F214" i="153"/>
  <c r="F70" i="93" s="1"/>
  <c r="I74" i="18"/>
  <c r="J144" i="132"/>
  <c r="J146" i="132" s="1"/>
  <c r="M97" i="127"/>
  <c r="M130" i="132"/>
  <c r="M136" i="132" s="1"/>
  <c r="K97" i="127"/>
  <c r="K130" i="132"/>
  <c r="K136" i="132" s="1"/>
  <c r="L97" i="127"/>
  <c r="L130" i="132"/>
  <c r="L136" i="132" s="1"/>
  <c r="M107" i="127"/>
  <c r="M144" i="132"/>
  <c r="M146" i="132" s="1"/>
  <c r="K107" i="127"/>
  <c r="K144" i="132"/>
  <c r="K146" i="132" s="1"/>
  <c r="L144" i="132"/>
  <c r="L146" i="132" s="1"/>
  <c r="L107" i="127"/>
  <c r="N130" i="132"/>
  <c r="N97" i="127"/>
  <c r="O97" i="127"/>
  <c r="O130" i="132"/>
  <c r="O136" i="132" s="1"/>
  <c r="P97" i="127"/>
  <c r="P130" i="132"/>
  <c r="P136" i="132" s="1"/>
  <c r="O144" i="132"/>
  <c r="O146" i="132" s="1"/>
  <c r="O107" i="127"/>
  <c r="P107" i="127"/>
  <c r="P144" i="132"/>
  <c r="P146" i="132" s="1"/>
  <c r="I130" i="132"/>
  <c r="I136" i="132" s="1"/>
  <c r="I97" i="127"/>
  <c r="J130" i="132"/>
  <c r="J136" i="132" s="1"/>
  <c r="J97" i="127"/>
  <c r="I144" i="132"/>
  <c r="I146" i="132" s="1"/>
  <c r="I107" i="127"/>
  <c r="Q105" i="127"/>
  <c r="Q107" i="127" s="1"/>
  <c r="T107" i="127" s="1"/>
  <c r="H130" i="132"/>
  <c r="H136" i="132" s="1"/>
  <c r="H97" i="127"/>
  <c r="F130" i="132"/>
  <c r="F136" i="132" s="1"/>
  <c r="F97" i="127"/>
  <c r="G130" i="132"/>
  <c r="G136" i="132" s="1"/>
  <c r="G97" i="127"/>
  <c r="H107" i="127"/>
  <c r="H144" i="132"/>
  <c r="H146" i="132" s="1"/>
  <c r="G144" i="132"/>
  <c r="G146" i="132" s="1"/>
  <c r="G107" i="127"/>
  <c r="E130" i="132"/>
  <c r="E97" i="127"/>
  <c r="Q91" i="127"/>
  <c r="E144" i="132"/>
  <c r="E107" i="127"/>
  <c r="Q185" i="142"/>
  <c r="U185" i="142" s="1"/>
  <c r="J213" i="153"/>
  <c r="J70" i="90" s="1"/>
  <c r="J158" i="90" s="1"/>
  <c r="H46" i="122"/>
  <c r="L46" i="122"/>
  <c r="L61" i="122"/>
  <c r="L62" i="122"/>
  <c r="L60" i="122"/>
  <c r="O46" i="122"/>
  <c r="O62" i="122"/>
  <c r="O60" i="122"/>
  <c r="O83" i="108" s="1"/>
  <c r="O61" i="122"/>
  <c r="G46" i="122"/>
  <c r="K46" i="122"/>
  <c r="K62" i="122"/>
  <c r="K61" i="122"/>
  <c r="K60" i="122"/>
  <c r="L61" i="121"/>
  <c r="L63" i="121"/>
  <c r="L62" i="121"/>
  <c r="L59" i="121"/>
  <c r="L47" i="121"/>
  <c r="I46" i="122"/>
  <c r="I60" i="122"/>
  <c r="I83" i="108" s="1"/>
  <c r="I62" i="122"/>
  <c r="I61" i="122"/>
  <c r="N85" i="149"/>
  <c r="N86" i="149"/>
  <c r="J46" i="122"/>
  <c r="J61" i="122"/>
  <c r="J60" i="122"/>
  <c r="J62" i="122"/>
  <c r="J85" i="108" s="1"/>
  <c r="E46" i="122"/>
  <c r="E47" i="121"/>
  <c r="P61" i="121"/>
  <c r="P63" i="121"/>
  <c r="P62" i="121"/>
  <c r="P59" i="121"/>
  <c r="P47" i="121"/>
  <c r="H61" i="121"/>
  <c r="H63" i="121"/>
  <c r="H62" i="121"/>
  <c r="H59" i="121"/>
  <c r="H47" i="121"/>
  <c r="M46" i="122"/>
  <c r="M60" i="122"/>
  <c r="M62" i="122"/>
  <c r="M61" i="122"/>
  <c r="R36" i="81"/>
  <c r="Q54" i="125"/>
  <c r="F46" i="122"/>
  <c r="P46" i="122"/>
  <c r="P61" i="122"/>
  <c r="P60" i="122"/>
  <c r="P62" i="122"/>
  <c r="E155" i="108"/>
  <c r="Q138" i="108"/>
  <c r="M203" i="154"/>
  <c r="M121" i="148" s="1"/>
  <c r="M122" i="148" s="1"/>
  <c r="M123" i="148" s="1"/>
  <c r="M12" i="148" s="1"/>
  <c r="F204" i="154"/>
  <c r="F161" i="122" s="1"/>
  <c r="O203" i="154"/>
  <c r="O121" i="148" s="1"/>
  <c r="O122" i="148" s="1"/>
  <c r="O123" i="148" s="1"/>
  <c r="O12" i="148" s="1"/>
  <c r="I78" i="81"/>
  <c r="E202" i="154"/>
  <c r="E203" i="154"/>
  <c r="E121" i="148" s="1"/>
  <c r="E200" i="154"/>
  <c r="G203" i="154"/>
  <c r="G121" i="148" s="1"/>
  <c r="G122" i="148" s="1"/>
  <c r="G123" i="148" s="1"/>
  <c r="G12" i="148" s="1"/>
  <c r="I193" i="90"/>
  <c r="I194" i="90" s="1"/>
  <c r="I195" i="90" s="1"/>
  <c r="I12" i="90" s="1"/>
  <c r="I203" i="154"/>
  <c r="I121" i="148" s="1"/>
  <c r="I122" i="148" s="1"/>
  <c r="I123" i="148" s="1"/>
  <c r="I12" i="148" s="1"/>
  <c r="J210" i="153"/>
  <c r="J70" i="143" s="1"/>
  <c r="J158" i="143" s="1"/>
  <c r="L109" i="119"/>
  <c r="L110" i="119" s="1"/>
  <c r="S109" i="147"/>
  <c r="Q111" i="147"/>
  <c r="U109" i="147"/>
  <c r="K158" i="154"/>
  <c r="K199" i="154" s="1"/>
  <c r="K212" i="154" s="1"/>
  <c r="J142" i="122"/>
  <c r="J84" i="108"/>
  <c r="J54" i="122"/>
  <c r="J77" i="108" s="1"/>
  <c r="J64" i="122"/>
  <c r="J87" i="108" s="1"/>
  <c r="J81" i="108"/>
  <c r="E210" i="154"/>
  <c r="E194" i="141" s="1"/>
  <c r="E206" i="154"/>
  <c r="E120" i="147" s="1"/>
  <c r="E211" i="154"/>
  <c r="E193" i="142" s="1"/>
  <c r="E213" i="154"/>
  <c r="E192" i="93" s="1"/>
  <c r="E209" i="154"/>
  <c r="E193" i="143" s="1"/>
  <c r="E205" i="154"/>
  <c r="E162" i="121" s="1"/>
  <c r="E201" i="154"/>
  <c r="E133" i="135" s="1"/>
  <c r="E207" i="154"/>
  <c r="E193" i="139" s="1"/>
  <c r="E193" i="90"/>
  <c r="E208" i="154"/>
  <c r="E193" i="140" s="1"/>
  <c r="E204" i="154"/>
  <c r="E161" i="122" s="1"/>
  <c r="P130" i="147"/>
  <c r="P64" i="122"/>
  <c r="P142" i="122"/>
  <c r="P54" i="122"/>
  <c r="E131" i="147"/>
  <c r="E67" i="121"/>
  <c r="E55" i="121"/>
  <c r="E65" i="121"/>
  <c r="O204" i="154"/>
  <c r="O161" i="122" s="1"/>
  <c r="O208" i="154"/>
  <c r="O193" i="140" s="1"/>
  <c r="O194" i="140" s="1"/>
  <c r="O195" i="140" s="1"/>
  <c r="O12" i="140" s="1"/>
  <c r="O207" i="154"/>
  <c r="O193" i="139" s="1"/>
  <c r="O211" i="154"/>
  <c r="O193" i="142" s="1"/>
  <c r="O194" i="142" s="1"/>
  <c r="O195" i="142" s="1"/>
  <c r="O12" i="142" s="1"/>
  <c r="O209" i="154"/>
  <c r="O193" i="143" s="1"/>
  <c r="O194" i="143" s="1"/>
  <c r="O195" i="143" s="1"/>
  <c r="O12" i="143" s="1"/>
  <c r="O200" i="154"/>
  <c r="O115" i="127" s="1"/>
  <c r="O202" i="154"/>
  <c r="O115" i="130" s="1"/>
  <c r="O116" i="130" s="1"/>
  <c r="O117" i="130" s="1"/>
  <c r="O11" i="130" s="1"/>
  <c r="O206" i="154"/>
  <c r="O120" i="147" s="1"/>
  <c r="O121" i="147" s="1"/>
  <c r="O122" i="147" s="1"/>
  <c r="O12" i="147" s="1"/>
  <c r="O210" i="154"/>
  <c r="O194" i="141" s="1"/>
  <c r="O195" i="141" s="1"/>
  <c r="O196" i="141" s="1"/>
  <c r="O12" i="141" s="1"/>
  <c r="O201" i="154"/>
  <c r="O133" i="135" s="1"/>
  <c r="O205" i="154"/>
  <c r="O162" i="121" s="1"/>
  <c r="O163" i="121" s="1"/>
  <c r="O164" i="121" s="1"/>
  <c r="O37" i="121" s="1"/>
  <c r="O213" i="154"/>
  <c r="O192" i="93" s="1"/>
  <c r="O193" i="93" s="1"/>
  <c r="O194" i="93" s="1"/>
  <c r="O12" i="93" s="1"/>
  <c r="P131" i="147"/>
  <c r="P65" i="121"/>
  <c r="P144" i="121"/>
  <c r="P67" i="121"/>
  <c r="P89" i="108" s="1"/>
  <c r="P55" i="121"/>
  <c r="H131" i="147"/>
  <c r="H65" i="121"/>
  <c r="H144" i="121"/>
  <c r="H67" i="121"/>
  <c r="H89" i="108" s="1"/>
  <c r="H55" i="121"/>
  <c r="T123" i="135"/>
  <c r="Q125" i="135"/>
  <c r="F142" i="122"/>
  <c r="F54" i="122"/>
  <c r="F64" i="122"/>
  <c r="I202" i="154"/>
  <c r="I115" i="130" s="1"/>
  <c r="I116" i="130" s="1"/>
  <c r="I117" i="130" s="1"/>
  <c r="I11" i="130" s="1"/>
  <c r="I206" i="154"/>
  <c r="I120" i="147" s="1"/>
  <c r="I121" i="147" s="1"/>
  <c r="I122" i="147" s="1"/>
  <c r="I12" i="147" s="1"/>
  <c r="I210" i="154"/>
  <c r="I194" i="141" s="1"/>
  <c r="I195" i="141" s="1"/>
  <c r="I196" i="141" s="1"/>
  <c r="I12" i="141" s="1"/>
  <c r="I207" i="154"/>
  <c r="I193" i="139" s="1"/>
  <c r="I201" i="154"/>
  <c r="I133" i="135" s="1"/>
  <c r="I205" i="154"/>
  <c r="I162" i="121" s="1"/>
  <c r="I163" i="121" s="1"/>
  <c r="I164" i="121" s="1"/>
  <c r="I37" i="121" s="1"/>
  <c r="I209" i="154"/>
  <c r="I193" i="143" s="1"/>
  <c r="I194" i="143" s="1"/>
  <c r="I195" i="143" s="1"/>
  <c r="I12" i="143" s="1"/>
  <c r="I213" i="154"/>
  <c r="I192" i="93" s="1"/>
  <c r="I193" i="93" s="1"/>
  <c r="I194" i="93" s="1"/>
  <c r="I12" i="93" s="1"/>
  <c r="I211" i="154"/>
  <c r="I193" i="142" s="1"/>
  <c r="I194" i="142" s="1"/>
  <c r="I195" i="142" s="1"/>
  <c r="I12" i="142" s="1"/>
  <c r="I204" i="154"/>
  <c r="I161" i="122" s="1"/>
  <c r="I208" i="154"/>
  <c r="I193" i="140" s="1"/>
  <c r="I194" i="140" s="1"/>
  <c r="I195" i="140" s="1"/>
  <c r="I12" i="140" s="1"/>
  <c r="I200" i="154"/>
  <c r="E130" i="147"/>
  <c r="E142" i="122"/>
  <c r="E64" i="122"/>
  <c r="E54" i="122"/>
  <c r="H64" i="122"/>
  <c r="H142" i="122"/>
  <c r="H54" i="122"/>
  <c r="H77" i="108" s="1"/>
  <c r="L130" i="147"/>
  <c r="L64" i="122"/>
  <c r="L142" i="122"/>
  <c r="L54" i="122"/>
  <c r="O130" i="147"/>
  <c r="O129" i="147" s="1"/>
  <c r="O85" i="108"/>
  <c r="O81" i="108"/>
  <c r="O64" i="122"/>
  <c r="O87" i="108" s="1"/>
  <c r="O142" i="122"/>
  <c r="O84" i="108"/>
  <c r="O54" i="122"/>
  <c r="O77" i="108" s="1"/>
  <c r="O69" i="108"/>
  <c r="K204" i="154"/>
  <c r="K161" i="122" s="1"/>
  <c r="K208" i="154"/>
  <c r="K193" i="140" s="1"/>
  <c r="K194" i="140" s="1"/>
  <c r="K195" i="140" s="1"/>
  <c r="K12" i="140" s="1"/>
  <c r="K205" i="154"/>
  <c r="K162" i="121" s="1"/>
  <c r="K163" i="121" s="1"/>
  <c r="K164" i="121" s="1"/>
  <c r="K37" i="121" s="1"/>
  <c r="K213" i="154"/>
  <c r="K192" i="93" s="1"/>
  <c r="K193" i="93" s="1"/>
  <c r="K194" i="93" s="1"/>
  <c r="K12" i="93" s="1"/>
  <c r="K200" i="154"/>
  <c r="K115" i="127" s="1"/>
  <c r="K207" i="154"/>
  <c r="K193" i="139" s="1"/>
  <c r="K211" i="154"/>
  <c r="K193" i="142" s="1"/>
  <c r="K194" i="142" s="1"/>
  <c r="K195" i="142" s="1"/>
  <c r="K12" i="142" s="1"/>
  <c r="K202" i="154"/>
  <c r="K115" i="130" s="1"/>
  <c r="K116" i="130" s="1"/>
  <c r="K117" i="130" s="1"/>
  <c r="K11" i="130" s="1"/>
  <c r="K206" i="154"/>
  <c r="K120" i="147" s="1"/>
  <c r="K121" i="147" s="1"/>
  <c r="K122" i="147" s="1"/>
  <c r="K12" i="147" s="1"/>
  <c r="K210" i="154"/>
  <c r="K194" i="141" s="1"/>
  <c r="K195" i="141" s="1"/>
  <c r="K196" i="141" s="1"/>
  <c r="K12" i="141" s="1"/>
  <c r="K201" i="154"/>
  <c r="K133" i="135" s="1"/>
  <c r="K209" i="154"/>
  <c r="K193" i="143" s="1"/>
  <c r="K194" i="143" s="1"/>
  <c r="K195" i="143" s="1"/>
  <c r="K12" i="143" s="1"/>
  <c r="K142" i="122"/>
  <c r="K54" i="122"/>
  <c r="K77" i="108" s="1"/>
  <c r="K64" i="122"/>
  <c r="M202" i="154"/>
  <c r="M115" i="130" s="1"/>
  <c r="M116" i="130" s="1"/>
  <c r="M117" i="130" s="1"/>
  <c r="M11" i="130" s="1"/>
  <c r="M206" i="154"/>
  <c r="M120" i="147" s="1"/>
  <c r="M121" i="147" s="1"/>
  <c r="M122" i="147" s="1"/>
  <c r="M12" i="147" s="1"/>
  <c r="M210" i="154"/>
  <c r="M194" i="141" s="1"/>
  <c r="M195" i="141" s="1"/>
  <c r="M196" i="141" s="1"/>
  <c r="M12" i="141" s="1"/>
  <c r="M207" i="154"/>
  <c r="M193" i="139" s="1"/>
  <c r="M211" i="154"/>
  <c r="M193" i="142" s="1"/>
  <c r="M194" i="142" s="1"/>
  <c r="M195" i="142" s="1"/>
  <c r="M12" i="142" s="1"/>
  <c r="M201" i="154"/>
  <c r="M133" i="135" s="1"/>
  <c r="M205" i="154"/>
  <c r="M162" i="121" s="1"/>
  <c r="M163" i="121" s="1"/>
  <c r="M164" i="121" s="1"/>
  <c r="M37" i="121" s="1"/>
  <c r="M209" i="154"/>
  <c r="M193" i="143" s="1"/>
  <c r="M194" i="143" s="1"/>
  <c r="M195" i="143" s="1"/>
  <c r="M12" i="143" s="1"/>
  <c r="M213" i="154"/>
  <c r="M192" i="93" s="1"/>
  <c r="M193" i="93" s="1"/>
  <c r="M194" i="93" s="1"/>
  <c r="M12" i="93" s="1"/>
  <c r="M200" i="154"/>
  <c r="M115" i="127" s="1"/>
  <c r="M204" i="154"/>
  <c r="M161" i="122" s="1"/>
  <c r="M208" i="154"/>
  <c r="M193" i="140" s="1"/>
  <c r="M194" i="140" s="1"/>
  <c r="M195" i="140" s="1"/>
  <c r="M12" i="140" s="1"/>
  <c r="F208" i="154"/>
  <c r="F193" i="140" s="1"/>
  <c r="F194" i="140" s="1"/>
  <c r="F195" i="140" s="1"/>
  <c r="F12" i="140" s="1"/>
  <c r="I130" i="147"/>
  <c r="I129" i="147" s="1"/>
  <c r="I142" i="122"/>
  <c r="I69" i="108"/>
  <c r="I64" i="122"/>
  <c r="I87" i="108" s="1"/>
  <c r="I84" i="108"/>
  <c r="I85" i="108"/>
  <c r="I81" i="108"/>
  <c r="I54" i="122"/>
  <c r="I77" i="108" s="1"/>
  <c r="E69" i="81"/>
  <c r="T183" i="141"/>
  <c r="R183" i="141"/>
  <c r="G204" i="154"/>
  <c r="G161" i="122" s="1"/>
  <c r="G208" i="154"/>
  <c r="G193" i="140" s="1"/>
  <c r="G194" i="140" s="1"/>
  <c r="G195" i="140" s="1"/>
  <c r="G12" i="140" s="1"/>
  <c r="G193" i="90"/>
  <c r="G194" i="90" s="1"/>
  <c r="G195" i="90" s="1"/>
  <c r="G12" i="90" s="1"/>
  <c r="G200" i="154"/>
  <c r="G209" i="154"/>
  <c r="G193" i="143" s="1"/>
  <c r="G194" i="143" s="1"/>
  <c r="G195" i="143" s="1"/>
  <c r="G12" i="143" s="1"/>
  <c r="G207" i="154"/>
  <c r="G193" i="139" s="1"/>
  <c r="G211" i="154"/>
  <c r="G193" i="142" s="1"/>
  <c r="G194" i="142" s="1"/>
  <c r="G195" i="142" s="1"/>
  <c r="G12" i="142" s="1"/>
  <c r="G202" i="154"/>
  <c r="G115" i="130" s="1"/>
  <c r="G116" i="130" s="1"/>
  <c r="G117" i="130" s="1"/>
  <c r="G11" i="130" s="1"/>
  <c r="G206" i="154"/>
  <c r="G120" i="147" s="1"/>
  <c r="G121" i="147" s="1"/>
  <c r="G122" i="147" s="1"/>
  <c r="G12" i="147" s="1"/>
  <c r="G210" i="154"/>
  <c r="G194" i="141" s="1"/>
  <c r="G195" i="141" s="1"/>
  <c r="G196" i="141" s="1"/>
  <c r="G12" i="141" s="1"/>
  <c r="G201" i="154"/>
  <c r="G133" i="135" s="1"/>
  <c r="G205" i="154"/>
  <c r="G162" i="121" s="1"/>
  <c r="G163" i="121" s="1"/>
  <c r="G164" i="121" s="1"/>
  <c r="G37" i="121" s="1"/>
  <c r="G213" i="154"/>
  <c r="G192" i="93" s="1"/>
  <c r="G193" i="93" s="1"/>
  <c r="G194" i="93" s="1"/>
  <c r="G12" i="93" s="1"/>
  <c r="I57" i="108"/>
  <c r="G85" i="108"/>
  <c r="G64" i="122"/>
  <c r="G142" i="122"/>
  <c r="G54" i="122"/>
  <c r="G77" i="108" s="1"/>
  <c r="G69" i="108"/>
  <c r="G83" i="108"/>
  <c r="L213" i="154"/>
  <c r="L192" i="93" s="1"/>
  <c r="L193" i="93" s="1"/>
  <c r="L194" i="93" s="1"/>
  <c r="L12" i="93" s="1"/>
  <c r="L208" i="154"/>
  <c r="L193" i="140" s="1"/>
  <c r="L194" i="140" s="1"/>
  <c r="L195" i="140" s="1"/>
  <c r="L12" i="140" s="1"/>
  <c r="L202" i="154"/>
  <c r="L115" i="130" s="1"/>
  <c r="L116" i="130" s="1"/>
  <c r="L117" i="130" s="1"/>
  <c r="L11" i="130" s="1"/>
  <c r="L131" i="147"/>
  <c r="L65" i="121"/>
  <c r="L144" i="121"/>
  <c r="L67" i="121"/>
  <c r="L89" i="108" s="1"/>
  <c r="L55" i="121"/>
  <c r="M28" i="123"/>
  <c r="M130" i="147"/>
  <c r="M129" i="147" s="1"/>
  <c r="M83" i="108"/>
  <c r="M84" i="108"/>
  <c r="M64" i="122"/>
  <c r="M87" i="108" s="1"/>
  <c r="M54" i="122"/>
  <c r="M77" i="108" s="1"/>
  <c r="M85" i="108"/>
  <c r="M81" i="108"/>
  <c r="M142" i="122"/>
  <c r="M69" i="108"/>
  <c r="Q86" i="81"/>
  <c r="U86" i="81" s="1"/>
  <c r="E88" i="81"/>
  <c r="N182" i="108"/>
  <c r="N75" i="18" s="1"/>
  <c r="J158" i="154"/>
  <c r="J199" i="154" s="1"/>
  <c r="H158" i="154"/>
  <c r="Q12" i="154"/>
  <c r="U12" i="154" s="1"/>
  <c r="N159" i="153"/>
  <c r="Q205" i="108"/>
  <c r="V205" i="108" s="1"/>
  <c r="P201" i="153"/>
  <c r="P86" i="135" s="1"/>
  <c r="P98" i="135" s="1"/>
  <c r="P37" i="81" s="1"/>
  <c r="P45" i="81" s="1"/>
  <c r="J214" i="153"/>
  <c r="J70" i="93" s="1"/>
  <c r="J212" i="153"/>
  <c r="J70" i="142" s="1"/>
  <c r="J158" i="142" s="1"/>
  <c r="P210" i="153"/>
  <c r="P70" i="143" s="1"/>
  <c r="P158" i="143" s="1"/>
  <c r="P200" i="153"/>
  <c r="P69" i="127" s="1"/>
  <c r="I198" i="153"/>
  <c r="I159" i="153"/>
  <c r="L198" i="153"/>
  <c r="L203" i="153" s="1"/>
  <c r="L71" i="148" s="1"/>
  <c r="L83" i="148" s="1"/>
  <c r="L159" i="153"/>
  <c r="J49" i="108"/>
  <c r="Q188" i="108"/>
  <c r="V188" i="108" s="1"/>
  <c r="Q173" i="108"/>
  <c r="V173" i="108" s="1"/>
  <c r="O78" i="81"/>
  <c r="E117" i="132"/>
  <c r="Q36" i="125"/>
  <c r="Q36" i="81"/>
  <c r="U36" i="81" s="1"/>
  <c r="Q31" i="81"/>
  <c r="U31" i="81" s="1"/>
  <c r="E65" i="18"/>
  <c r="H54" i="108"/>
  <c r="K34" i="123"/>
  <c r="L45" i="108"/>
  <c r="Q193" i="153"/>
  <c r="G161" i="119"/>
  <c r="G36" i="119" s="1"/>
  <c r="G109" i="119" s="1"/>
  <c r="G110" i="119" s="1"/>
  <c r="Q134" i="132"/>
  <c r="I69" i="81"/>
  <c r="N201" i="153"/>
  <c r="N86" i="135" s="1"/>
  <c r="N98" i="135" s="1"/>
  <c r="N211" i="153"/>
  <c r="N70" i="141" s="1"/>
  <c r="N158" i="141" s="1"/>
  <c r="N212" i="153"/>
  <c r="N209" i="153"/>
  <c r="N70" i="140" s="1"/>
  <c r="M213" i="153"/>
  <c r="M70" i="90" s="1"/>
  <c r="M158" i="90" s="1"/>
  <c r="M209" i="153"/>
  <c r="M70" i="140" s="1"/>
  <c r="R120" i="134"/>
  <c r="T120" i="134"/>
  <c r="M203" i="153"/>
  <c r="M71" i="148" s="1"/>
  <c r="M83" i="148" s="1"/>
  <c r="M201" i="153"/>
  <c r="M86" i="135" s="1"/>
  <c r="M98" i="135" s="1"/>
  <c r="M37" i="81" s="1"/>
  <c r="M45" i="81" s="1"/>
  <c r="M210" i="153"/>
  <c r="M70" i="143" s="1"/>
  <c r="M158" i="143" s="1"/>
  <c r="P203" i="153"/>
  <c r="P71" i="148" s="1"/>
  <c r="P83" i="148" s="1"/>
  <c r="M207" i="153"/>
  <c r="M71" i="147" s="1"/>
  <c r="M83" i="147" s="1"/>
  <c r="N208" i="153"/>
  <c r="N70" i="139" s="1"/>
  <c r="N158" i="139" s="1"/>
  <c r="N213" i="153"/>
  <c r="N70" i="90" s="1"/>
  <c r="N158" i="90" s="1"/>
  <c r="M206" i="153"/>
  <c r="M96" i="121" s="1"/>
  <c r="P212" i="153"/>
  <c r="P54" i="108"/>
  <c r="K54" i="108"/>
  <c r="Q114" i="150"/>
  <c r="N61" i="81"/>
  <c r="Q67" i="81"/>
  <c r="U67" i="81" s="1"/>
  <c r="K69" i="81"/>
  <c r="O86" i="149"/>
  <c r="Q86" i="149" s="1"/>
  <c r="T86" i="149" s="1"/>
  <c r="O85" i="149"/>
  <c r="N74" i="18"/>
  <c r="P206" i="153"/>
  <c r="P96" i="121" s="1"/>
  <c r="N207" i="153"/>
  <c r="N71" i="147" s="1"/>
  <c r="N83" i="147" s="1"/>
  <c r="H34" i="122"/>
  <c r="Q70" i="18"/>
  <c r="O57" i="108"/>
  <c r="M204" i="153"/>
  <c r="G193" i="108"/>
  <c r="J204" i="153"/>
  <c r="M159" i="153"/>
  <c r="Q127" i="132"/>
  <c r="H78" i="81"/>
  <c r="Q179" i="108"/>
  <c r="Q30" i="108"/>
  <c r="V30" i="108" s="1"/>
  <c r="Q32" i="125"/>
  <c r="Q68" i="81"/>
  <c r="U68" i="81" s="1"/>
  <c r="R42" i="150"/>
  <c r="Q36" i="126"/>
  <c r="U148" i="119"/>
  <c r="R148" i="119"/>
  <c r="T145" i="124"/>
  <c r="Q151" i="124"/>
  <c r="Q178" i="108"/>
  <c r="V178" i="108" s="1"/>
  <c r="N174" i="108"/>
  <c r="K109" i="152"/>
  <c r="K61" i="81"/>
  <c r="R32" i="126"/>
  <c r="T32" i="126"/>
  <c r="Q34" i="126"/>
  <c r="T34" i="126" s="1"/>
  <c r="M214" i="153"/>
  <c r="M70" i="93" s="1"/>
  <c r="P209" i="153"/>
  <c r="P70" i="140" s="1"/>
  <c r="N203" i="153"/>
  <c r="N71" i="148" s="1"/>
  <c r="N83" i="148" s="1"/>
  <c r="P211" i="153"/>
  <c r="P70" i="141" s="1"/>
  <c r="P158" i="141" s="1"/>
  <c r="P213" i="153"/>
  <c r="P70" i="90" s="1"/>
  <c r="P158" i="90" s="1"/>
  <c r="O67" i="18"/>
  <c r="Q38" i="81"/>
  <c r="U38" i="81" s="1"/>
  <c r="Q72" i="81"/>
  <c r="U72" i="81" s="1"/>
  <c r="L78" i="81"/>
  <c r="J200" i="153"/>
  <c r="P214" i="153"/>
  <c r="P70" i="93" s="1"/>
  <c r="J205" i="153"/>
  <c r="J95" i="122" s="1"/>
  <c r="J208" i="153"/>
  <c r="J70" i="139" s="1"/>
  <c r="M211" i="153"/>
  <c r="M70" i="141" s="1"/>
  <c r="M158" i="141" s="1"/>
  <c r="N206" i="153"/>
  <c r="N96" i="121" s="1"/>
  <c r="M205" i="153"/>
  <c r="M95" i="122" s="1"/>
  <c r="P208" i="153"/>
  <c r="P70" i="139" s="1"/>
  <c r="P207" i="153"/>
  <c r="P71" i="147" s="1"/>
  <c r="P83" i="147" s="1"/>
  <c r="J206" i="153"/>
  <c r="J96" i="121" s="1"/>
  <c r="O117" i="132"/>
  <c r="R15" i="132"/>
  <c r="R12" i="132"/>
  <c r="J209" i="153"/>
  <c r="J70" i="140" s="1"/>
  <c r="N214" i="153"/>
  <c r="N70" i="93" s="1"/>
  <c r="J207" i="153"/>
  <c r="J71" i="147" s="1"/>
  <c r="J83" i="147" s="1"/>
  <c r="J211" i="153"/>
  <c r="J70" i="141" s="1"/>
  <c r="J158" i="141" s="1"/>
  <c r="M208" i="153"/>
  <c r="M70" i="139" s="1"/>
  <c r="N200" i="153"/>
  <c r="N69" i="127" s="1"/>
  <c r="M200" i="153"/>
  <c r="M69" i="127" s="1"/>
  <c r="N210" i="153"/>
  <c r="M212" i="153"/>
  <c r="P205" i="153"/>
  <c r="P95" i="122" s="1"/>
  <c r="N205" i="153"/>
  <c r="N95" i="122" s="1"/>
  <c r="J203" i="153"/>
  <c r="J71" i="148" s="1"/>
  <c r="J83" i="148" s="1"/>
  <c r="R17" i="132"/>
  <c r="Q12" i="153"/>
  <c r="T12" i="153" s="1"/>
  <c r="L57" i="108"/>
  <c r="J57" i="108"/>
  <c r="R185" i="141"/>
  <c r="N136" i="132"/>
  <c r="K53" i="108"/>
  <c r="K57" i="108" s="1"/>
  <c r="J45" i="108"/>
  <c r="J50" i="108" s="1"/>
  <c r="J12" i="18" s="1"/>
  <c r="P57" i="108"/>
  <c r="Q56" i="81"/>
  <c r="U56" i="81" s="1"/>
  <c r="K27" i="108"/>
  <c r="K50" i="108" s="1"/>
  <c r="K12" i="18" s="1"/>
  <c r="N57" i="108"/>
  <c r="Q74" i="81"/>
  <c r="U74" i="81" s="1"/>
  <c r="Q55" i="108"/>
  <c r="V55" i="108" s="1"/>
  <c r="Q180" i="108"/>
  <c r="V180" i="108" s="1"/>
  <c r="Q75" i="81"/>
  <c r="U75" i="81" s="1"/>
  <c r="U147" i="119"/>
  <c r="R147" i="119"/>
  <c r="R61" i="81"/>
  <c r="U25" i="81"/>
  <c r="T161" i="123"/>
  <c r="R161" i="123"/>
  <c r="Q84" i="81"/>
  <c r="U84" i="81" s="1"/>
  <c r="J165" i="108"/>
  <c r="P50" i="108"/>
  <c r="P12" i="18" s="1"/>
  <c r="G34" i="122"/>
  <c r="K165" i="108"/>
  <c r="N50" i="108"/>
  <c r="N12" i="18" s="1"/>
  <c r="Q31" i="122"/>
  <c r="R31" i="122" s="1"/>
  <c r="L148" i="108"/>
  <c r="L165" i="108" s="1"/>
  <c r="T36" i="123"/>
  <c r="R161" i="125"/>
  <c r="T161" i="125"/>
  <c r="H198" i="153"/>
  <c r="H159" i="153"/>
  <c r="T36" i="124"/>
  <c r="Q15" i="108"/>
  <c r="V15" i="108" s="1"/>
  <c r="I27" i="108"/>
  <c r="I50" i="108" s="1"/>
  <c r="I12" i="18" s="1"/>
  <c r="F153" i="108"/>
  <c r="Q136" i="108"/>
  <c r="R139" i="119"/>
  <c r="U139" i="119"/>
  <c r="Q141" i="119"/>
  <c r="J34" i="119"/>
  <c r="J109" i="119" s="1"/>
  <c r="J110" i="119" s="1"/>
  <c r="Q32" i="119"/>
  <c r="R73" i="124"/>
  <c r="M109" i="152"/>
  <c r="M61" i="81"/>
  <c r="R32" i="125"/>
  <c r="T32" i="125"/>
  <c r="Q84" i="149"/>
  <c r="T12" i="149"/>
  <c r="Q192" i="154"/>
  <c r="U192" i="154" s="1"/>
  <c r="S55" i="108"/>
  <c r="V47" i="108"/>
  <c r="Q71" i="81"/>
  <c r="Q34" i="108"/>
  <c r="V34" i="108" s="1"/>
  <c r="Q137" i="108"/>
  <c r="L154" i="108"/>
  <c r="J28" i="124"/>
  <c r="Q32" i="123"/>
  <c r="R144" i="119"/>
  <c r="Q151" i="119"/>
  <c r="U144" i="119"/>
  <c r="F151" i="108"/>
  <c r="Q134" i="108"/>
  <c r="Q115" i="131"/>
  <c r="T115" i="131" s="1"/>
  <c r="T105" i="131"/>
  <c r="T36" i="125"/>
  <c r="E123" i="134"/>
  <c r="E49" i="81"/>
  <c r="G57" i="108"/>
  <c r="M57" i="108"/>
  <c r="R64" i="124"/>
  <c r="R62" i="124"/>
  <c r="R69" i="124"/>
  <c r="R76" i="124"/>
  <c r="R102" i="124"/>
  <c r="R47" i="124"/>
  <c r="R52" i="124"/>
  <c r="R149" i="124"/>
  <c r="R79" i="124"/>
  <c r="R155" i="124"/>
  <c r="R60" i="124"/>
  <c r="R101" i="124"/>
  <c r="R80" i="124"/>
  <c r="R66" i="124"/>
  <c r="R99" i="124"/>
  <c r="R84" i="124"/>
  <c r="R93" i="124"/>
  <c r="R44" i="124"/>
  <c r="R103" i="124"/>
  <c r="R154" i="124"/>
  <c r="T117" i="124"/>
  <c r="R68" i="124"/>
  <c r="R78" i="124"/>
  <c r="R98" i="124"/>
  <c r="R91" i="124"/>
  <c r="R57" i="124"/>
  <c r="R77" i="124"/>
  <c r="Q125" i="124"/>
  <c r="T125" i="124" s="1"/>
  <c r="R43" i="124"/>
  <c r="R41" i="124"/>
  <c r="R51" i="124"/>
  <c r="R81" i="124"/>
  <c r="R39" i="124"/>
  <c r="R49" i="124"/>
  <c r="R94" i="124"/>
  <c r="R65" i="124"/>
  <c r="R132" i="124"/>
  <c r="R131" i="124"/>
  <c r="R160" i="124"/>
  <c r="R58" i="124"/>
  <c r="R74" i="124"/>
  <c r="R92" i="124"/>
  <c r="R56" i="124"/>
  <c r="R59" i="124"/>
  <c r="Q127" i="124"/>
  <c r="T127" i="124" s="1"/>
  <c r="R50" i="124"/>
  <c r="R55" i="124"/>
  <c r="R82" i="124"/>
  <c r="R88" i="124"/>
  <c r="R48" i="124"/>
  <c r="R145" i="124"/>
  <c r="R138" i="124"/>
  <c r="R136" i="124"/>
  <c r="R150" i="124"/>
  <c r="R45" i="124"/>
  <c r="R85" i="124"/>
  <c r="R54" i="124"/>
  <c r="R100" i="124"/>
  <c r="R106" i="124"/>
  <c r="R95" i="124"/>
  <c r="R40" i="124"/>
  <c r="R53" i="124"/>
  <c r="R156" i="124"/>
  <c r="R61" i="124"/>
  <c r="R139" i="124"/>
  <c r="R143" i="124"/>
  <c r="R141" i="124"/>
  <c r="R151" i="124"/>
  <c r="R104" i="124"/>
  <c r="R70" i="124"/>
  <c r="R46" i="124"/>
  <c r="R89" i="124"/>
  <c r="R90" i="124"/>
  <c r="R96" i="124"/>
  <c r="R75" i="124"/>
  <c r="R87" i="124"/>
  <c r="R72" i="124"/>
  <c r="R159" i="124"/>
  <c r="R105" i="124"/>
  <c r="R42" i="124"/>
  <c r="R97" i="124"/>
  <c r="R67" i="124"/>
  <c r="R71" i="124"/>
  <c r="R153" i="124"/>
  <c r="R137" i="124"/>
  <c r="R148" i="124"/>
  <c r="R144" i="124"/>
  <c r="R133" i="124"/>
  <c r="R158" i="124"/>
  <c r="R146" i="124"/>
  <c r="R140" i="124"/>
  <c r="R157" i="124"/>
  <c r="I34" i="124"/>
  <c r="Q31" i="124"/>
  <c r="P151" i="108"/>
  <c r="P148" i="108"/>
  <c r="P165" i="108" s="1"/>
  <c r="M27" i="108"/>
  <c r="Q12" i="108"/>
  <c r="V12" i="108" s="1"/>
  <c r="P74" i="18"/>
  <c r="R20" i="151"/>
  <c r="T20" i="151"/>
  <c r="Q92" i="151"/>
  <c r="Q28" i="126"/>
  <c r="R36" i="126" s="1"/>
  <c r="T27" i="126"/>
  <c r="T100" i="138"/>
  <c r="R100" i="138"/>
  <c r="T102" i="136"/>
  <c r="I13" i="18"/>
  <c r="I27" i="81"/>
  <c r="Q20" i="81"/>
  <c r="Q154" i="134"/>
  <c r="R151" i="134"/>
  <c r="T151" i="134"/>
  <c r="K155" i="134"/>
  <c r="K49" i="134" s="1"/>
  <c r="K121" i="134" s="1"/>
  <c r="K76" i="81"/>
  <c r="K74" i="18" s="1"/>
  <c r="T106" i="123"/>
  <c r="R106" i="123"/>
  <c r="Q27" i="123"/>
  <c r="E49" i="108"/>
  <c r="E28" i="123"/>
  <c r="U146" i="119"/>
  <c r="R146" i="119"/>
  <c r="M181" i="108"/>
  <c r="M161" i="119"/>
  <c r="M36" i="119" s="1"/>
  <c r="O49" i="108"/>
  <c r="O28" i="119"/>
  <c r="Q101" i="138"/>
  <c r="R63" i="124"/>
  <c r="F109" i="152"/>
  <c r="F61" i="81"/>
  <c r="O116" i="132"/>
  <c r="O66" i="18"/>
  <c r="O68" i="18" s="1"/>
  <c r="F34" i="125"/>
  <c r="Q31" i="125"/>
  <c r="E161" i="119"/>
  <c r="E36" i="119" s="1"/>
  <c r="E181" i="108"/>
  <c r="M34" i="119"/>
  <c r="Q31" i="119"/>
  <c r="H161" i="119"/>
  <c r="H36" i="119" s="1"/>
  <c r="H109" i="119" s="1"/>
  <c r="H110" i="119" s="1"/>
  <c r="H181" i="108"/>
  <c r="T25" i="121"/>
  <c r="Q29" i="121"/>
  <c r="T29" i="121" s="1"/>
  <c r="R141" i="125"/>
  <c r="T141" i="125"/>
  <c r="L49" i="81"/>
  <c r="L123" i="134"/>
  <c r="H149" i="150"/>
  <c r="H54" i="81"/>
  <c r="Q54" i="81" s="1"/>
  <c r="U54" i="81" s="1"/>
  <c r="R151" i="126"/>
  <c r="T151" i="126"/>
  <c r="Q161" i="126"/>
  <c r="R161" i="126" s="1"/>
  <c r="P123" i="134"/>
  <c r="P49" i="81"/>
  <c r="Q94" i="81"/>
  <c r="T17" i="125"/>
  <c r="R86" i="124"/>
  <c r="Q14" i="108"/>
  <c r="V14" i="108" s="1"/>
  <c r="U145" i="119"/>
  <c r="R145" i="119"/>
  <c r="U140" i="119"/>
  <c r="R140" i="119"/>
  <c r="O27" i="108"/>
  <c r="T81" i="131"/>
  <c r="Q23" i="136"/>
  <c r="T23" i="136" s="1"/>
  <c r="Q35" i="152"/>
  <c r="H57" i="108"/>
  <c r="N204" i="153"/>
  <c r="T57" i="18"/>
  <c r="T54" i="18"/>
  <c r="T61" i="18"/>
  <c r="T62" i="18" s="1"/>
  <c r="U54" i="18"/>
  <c r="U57" i="18"/>
  <c r="U61" i="18"/>
  <c r="U62" i="18" s="1"/>
  <c r="H82" i="131"/>
  <c r="Q11" i="131"/>
  <c r="T11" i="131" s="1"/>
  <c r="R114" i="152"/>
  <c r="T114" i="152"/>
  <c r="Q141" i="152"/>
  <c r="T97" i="146"/>
  <c r="Q98" i="146"/>
  <c r="T98" i="146" s="1"/>
  <c r="T130" i="134"/>
  <c r="R130" i="134"/>
  <c r="Q135" i="134"/>
  <c r="E78" i="81"/>
  <c r="R134" i="124"/>
  <c r="R147" i="124"/>
  <c r="F103" i="138"/>
  <c r="F60" i="81"/>
  <c r="Q60" i="81" s="1"/>
  <c r="T108" i="136"/>
  <c r="Q109" i="136"/>
  <c r="T109" i="136" s="1"/>
  <c r="T133" i="134"/>
  <c r="R133" i="134"/>
  <c r="G76" i="81"/>
  <c r="G74" i="18" s="1"/>
  <c r="G155" i="134"/>
  <c r="G49" i="134" s="1"/>
  <c r="T92" i="149"/>
  <c r="Q121" i="149"/>
  <c r="T121" i="149" s="1"/>
  <c r="M148" i="108"/>
  <c r="M152" i="108"/>
  <c r="H49" i="108"/>
  <c r="Q27" i="125"/>
  <c r="T27" i="125" s="1"/>
  <c r="R32" i="124"/>
  <c r="T32" i="124"/>
  <c r="T17" i="124"/>
  <c r="Q28" i="124"/>
  <c r="T28" i="124" s="1"/>
  <c r="Q32" i="108"/>
  <c r="V32" i="108" s="1"/>
  <c r="Q31" i="123"/>
  <c r="E34" i="123"/>
  <c r="O181" i="108"/>
  <c r="O161" i="119"/>
  <c r="O36" i="119" s="1"/>
  <c r="F108" i="119"/>
  <c r="F109" i="119" s="1"/>
  <c r="F110" i="119" s="1"/>
  <c r="F77" i="108"/>
  <c r="Q54" i="119"/>
  <c r="L49" i="108"/>
  <c r="L50" i="108" s="1"/>
  <c r="L12" i="18" s="1"/>
  <c r="Q27" i="119"/>
  <c r="Q58" i="81"/>
  <c r="U58" i="81" s="1"/>
  <c r="Q149" i="150"/>
  <c r="R114" i="150"/>
  <c r="T114" i="150"/>
  <c r="Q171" i="108"/>
  <c r="J159" i="153"/>
  <c r="K159" i="153"/>
  <c r="K203" i="153"/>
  <c r="K71" i="148" s="1"/>
  <c r="K83" i="148" s="1"/>
  <c r="K211" i="153"/>
  <c r="K70" i="141" s="1"/>
  <c r="K158" i="141" s="1"/>
  <c r="K207" i="153"/>
  <c r="K71" i="147" s="1"/>
  <c r="K83" i="147" s="1"/>
  <c r="K84" i="147" s="1"/>
  <c r="K86" i="147" s="1"/>
  <c r="K133" i="147" s="1"/>
  <c r="K200" i="153"/>
  <c r="K69" i="127" s="1"/>
  <c r="K204" i="153"/>
  <c r="K206" i="153"/>
  <c r="K96" i="121" s="1"/>
  <c r="K208" i="153"/>
  <c r="K70" i="139" s="1"/>
  <c r="K158" i="139" s="1"/>
  <c r="K205" i="153"/>
  <c r="K95" i="122" s="1"/>
  <c r="K212" i="153"/>
  <c r="K201" i="153"/>
  <c r="K86" i="135" s="1"/>
  <c r="K98" i="135" s="1"/>
  <c r="K210" i="153"/>
  <c r="K70" i="143" s="1"/>
  <c r="K158" i="143" s="1"/>
  <c r="K213" i="153"/>
  <c r="K70" i="90" s="1"/>
  <c r="K158" i="90" s="1"/>
  <c r="K209" i="153"/>
  <c r="K70" i="140" s="1"/>
  <c r="K214" i="153"/>
  <c r="K70" i="93" s="1"/>
  <c r="F159" i="153"/>
  <c r="H211" i="153"/>
  <c r="H70" i="141" s="1"/>
  <c r="H158" i="141" s="1"/>
  <c r="I213" i="153"/>
  <c r="I70" i="90" s="1"/>
  <c r="I158" i="90" s="1"/>
  <c r="I159" i="90" s="1"/>
  <c r="I33" i="18" s="1"/>
  <c r="I209" i="153"/>
  <c r="I70" i="140" s="1"/>
  <c r="I201" i="153"/>
  <c r="I86" i="135" s="1"/>
  <c r="I98" i="135" s="1"/>
  <c r="I37" i="81" s="1"/>
  <c r="I45" i="81" s="1"/>
  <c r="I214" i="153"/>
  <c r="I70" i="93" s="1"/>
  <c r="I210" i="153"/>
  <c r="I70" i="143" s="1"/>
  <c r="I158" i="143" s="1"/>
  <c r="I159" i="143" s="1"/>
  <c r="I160" i="143" s="1"/>
  <c r="I207" i="153"/>
  <c r="I71" i="147" s="1"/>
  <c r="I83" i="147" s="1"/>
  <c r="I203" i="153"/>
  <c r="I71" i="148" s="1"/>
  <c r="I83" i="148" s="1"/>
  <c r="I84" i="148" s="1"/>
  <c r="I86" i="148" s="1"/>
  <c r="I107" i="124" s="1"/>
  <c r="I108" i="124" s="1"/>
  <c r="I109" i="124" s="1"/>
  <c r="I110" i="124" s="1"/>
  <c r="I205" i="153"/>
  <c r="I95" i="122" s="1"/>
  <c r="I200" i="153"/>
  <c r="I69" i="127" s="1"/>
  <c r="I206" i="153"/>
  <c r="I96" i="121" s="1"/>
  <c r="I204" i="153"/>
  <c r="I212" i="153"/>
  <c r="I208" i="153"/>
  <c r="I70" i="139" s="1"/>
  <c r="I158" i="139" s="1"/>
  <c r="I211" i="153"/>
  <c r="I70" i="141" s="1"/>
  <c r="I158" i="141" s="1"/>
  <c r="E158" i="153"/>
  <c r="E159" i="153" s="1"/>
  <c r="O198" i="153"/>
  <c r="O206" i="153" s="1"/>
  <c r="O96" i="121" s="1"/>
  <c r="G159" i="153"/>
  <c r="F205" i="153"/>
  <c r="F95" i="122" s="1"/>
  <c r="F210" i="153"/>
  <c r="F70" i="143" s="1"/>
  <c r="F158" i="143" s="1"/>
  <c r="F206" i="153"/>
  <c r="F96" i="121" s="1"/>
  <c r="F209" i="153"/>
  <c r="F70" i="140" s="1"/>
  <c r="F212" i="153"/>
  <c r="F204" i="153"/>
  <c r="F207" i="153"/>
  <c r="F71" i="147" s="1"/>
  <c r="F83" i="147" s="1"/>
  <c r="F203" i="153"/>
  <c r="F71" i="148" s="1"/>
  <c r="F83" i="148" s="1"/>
  <c r="F213" i="153"/>
  <c r="F70" i="90" s="1"/>
  <c r="F158" i="90" s="1"/>
  <c r="F208" i="153"/>
  <c r="F70" i="139" s="1"/>
  <c r="F158" i="139" s="1"/>
  <c r="F201" i="153"/>
  <c r="F86" i="135" s="1"/>
  <c r="F98" i="135" s="1"/>
  <c r="F200" i="153"/>
  <c r="F69" i="127" s="1"/>
  <c r="F211" i="153"/>
  <c r="F70" i="141" s="1"/>
  <c r="F158" i="141" s="1"/>
  <c r="G212" i="153"/>
  <c r="G213" i="153"/>
  <c r="G70" i="90" s="1"/>
  <c r="G158" i="90" s="1"/>
  <c r="G159" i="90" s="1"/>
  <c r="G33" i="18" s="1"/>
  <c r="G211" i="153"/>
  <c r="G70" i="141" s="1"/>
  <c r="G158" i="141" s="1"/>
  <c r="G201" i="153"/>
  <c r="G86" i="135" s="1"/>
  <c r="G98" i="135" s="1"/>
  <c r="G37" i="81" s="1"/>
  <c r="G45" i="81" s="1"/>
  <c r="G200" i="153"/>
  <c r="G69" i="127" s="1"/>
  <c r="G210" i="153"/>
  <c r="G70" i="143" s="1"/>
  <c r="G158" i="143" s="1"/>
  <c r="G204" i="153"/>
  <c r="G206" i="153"/>
  <c r="G96" i="121" s="1"/>
  <c r="G205" i="153"/>
  <c r="G95" i="122" s="1"/>
  <c r="G209" i="153"/>
  <c r="G70" i="140" s="1"/>
  <c r="G207" i="153"/>
  <c r="G71" i="147" s="1"/>
  <c r="G83" i="147" s="1"/>
  <c r="G208" i="153"/>
  <c r="G70" i="139" s="1"/>
  <c r="G203" i="153"/>
  <c r="G71" i="148" s="1"/>
  <c r="G83" i="148" s="1"/>
  <c r="N70" i="143"/>
  <c r="N158" i="143" s="1"/>
  <c r="T175" i="143"/>
  <c r="U82" i="81"/>
  <c r="V200" i="108"/>
  <c r="E45" i="108"/>
  <c r="Q44" i="108"/>
  <c r="V44" i="108" s="1"/>
  <c r="G84" i="108"/>
  <c r="G81" i="108"/>
  <c r="G87" i="108"/>
  <c r="G65" i="108"/>
  <c r="G130" i="147"/>
  <c r="G129" i="147" s="1"/>
  <c r="L85" i="108"/>
  <c r="L86" i="108"/>
  <c r="H45" i="108"/>
  <c r="H50" i="108" s="1"/>
  <c r="H12" i="18" s="1"/>
  <c r="Q31" i="108"/>
  <c r="P85" i="108"/>
  <c r="P65" i="108"/>
  <c r="P69" i="108"/>
  <c r="H86" i="108"/>
  <c r="H130" i="147"/>
  <c r="H129" i="147" s="1"/>
  <c r="H87" i="108"/>
  <c r="H85" i="108"/>
  <c r="H84" i="108"/>
  <c r="H83" i="108"/>
  <c r="H81" i="108"/>
  <c r="H100" i="108"/>
  <c r="H69" i="108"/>
  <c r="H65" i="108"/>
  <c r="K85" i="108"/>
  <c r="K83" i="108"/>
  <c r="K86" i="108"/>
  <c r="K100" i="108"/>
  <c r="K69" i="108"/>
  <c r="K65" i="108"/>
  <c r="K130" i="147"/>
  <c r="K129" i="147" s="1"/>
  <c r="K84" i="108"/>
  <c r="K87" i="108"/>
  <c r="K81" i="108"/>
  <c r="G152" i="108"/>
  <c r="G27" i="108"/>
  <c r="N65" i="18"/>
  <c r="N66" i="18" s="1"/>
  <c r="N116" i="132"/>
  <c r="F20" i="132"/>
  <c r="J83" i="108"/>
  <c r="J130" i="147"/>
  <c r="J129" i="147" s="1"/>
  <c r="J100" i="108"/>
  <c r="J69" i="108"/>
  <c r="J65" i="108"/>
  <c r="Q28" i="122"/>
  <c r="Q125" i="122"/>
  <c r="Q129" i="148"/>
  <c r="F128" i="148"/>
  <c r="Q128" i="148" s="1"/>
  <c r="F85" i="108"/>
  <c r="F86" i="108"/>
  <c r="F83" i="108"/>
  <c r="F84" i="108"/>
  <c r="F81" i="108"/>
  <c r="F69" i="108"/>
  <c r="F87" i="108"/>
  <c r="F130" i="147"/>
  <c r="F129" i="147" s="1"/>
  <c r="F65" i="108"/>
  <c r="F27" i="108"/>
  <c r="F152" i="108"/>
  <c r="Q13" i="108"/>
  <c r="U18" i="91"/>
  <c r="V34" i="18"/>
  <c r="Q166" i="83"/>
  <c r="U166" i="83" s="1"/>
  <c r="Q18" i="132"/>
  <c r="Q20" i="132" s="1"/>
  <c r="Q31" i="132" s="1"/>
  <c r="R32" i="121"/>
  <c r="T32" i="121"/>
  <c r="Q35" i="121"/>
  <c r="R42" i="81"/>
  <c r="U24" i="81"/>
  <c r="Q27" i="81"/>
  <c r="V147" i="108"/>
  <c r="Q164" i="108"/>
  <c r="V164" i="108" s="1"/>
  <c r="R154" i="121"/>
  <c r="T154" i="121"/>
  <c r="T64" i="121"/>
  <c r="R64" i="121"/>
  <c r="R78" i="121"/>
  <c r="T78" i="121"/>
  <c r="E69" i="108"/>
  <c r="Q46" i="122"/>
  <c r="R46" i="122" s="1"/>
  <c r="E54" i="108"/>
  <c r="Q54" i="108" s="1"/>
  <c r="Q32" i="122"/>
  <c r="R32" i="122" s="1"/>
  <c r="E83" i="108"/>
  <c r="Q61" i="122"/>
  <c r="R61" i="122" s="1"/>
  <c r="E84" i="108"/>
  <c r="E87" i="108"/>
  <c r="E129" i="147"/>
  <c r="E85" i="108"/>
  <c r="Q63" i="122"/>
  <c r="R63" i="122" s="1"/>
  <c r="E86" i="108"/>
  <c r="E81" i="108"/>
  <c r="Q42" i="122"/>
  <c r="R42" i="122" s="1"/>
  <c r="E65" i="108"/>
  <c r="Q53" i="108"/>
  <c r="T14" i="127"/>
  <c r="H117" i="132"/>
  <c r="H11" i="18"/>
  <c r="H118" i="132"/>
  <c r="P11" i="18"/>
  <c r="P118" i="132"/>
  <c r="P117" i="132"/>
  <c r="J11" i="18"/>
  <c r="J118" i="132"/>
  <c r="L11" i="18"/>
  <c r="L118" i="132"/>
  <c r="L117" i="132"/>
  <c r="N118" i="132"/>
  <c r="N117" i="132"/>
  <c r="N11" i="18"/>
  <c r="E11" i="18"/>
  <c r="E67" i="18" s="1"/>
  <c r="S90" i="132"/>
  <c r="S52" i="132"/>
  <c r="S45" i="132"/>
  <c r="S87" i="132"/>
  <c r="S75" i="132"/>
  <c r="S56" i="132"/>
  <c r="S72" i="132"/>
  <c r="S94" i="132"/>
  <c r="S79" i="132"/>
  <c r="S67" i="132"/>
  <c r="S42" i="132"/>
  <c r="S53" i="132"/>
  <c r="S100" i="132"/>
  <c r="S71" i="132"/>
  <c r="S59" i="132"/>
  <c r="S83" i="132"/>
  <c r="S64" i="132"/>
  <c r="S44" i="132"/>
  <c r="S74" i="132"/>
  <c r="S69" i="132"/>
  <c r="S38" i="132"/>
  <c r="S85" i="132"/>
  <c r="S82" i="132"/>
  <c r="S92" i="132"/>
  <c r="S54" i="132"/>
  <c r="S62" i="132"/>
  <c r="S40" i="132"/>
  <c r="S96" i="132"/>
  <c r="K67" i="18"/>
  <c r="K68" i="18" s="1"/>
  <c r="K16" i="18"/>
  <c r="K20" i="155" s="1"/>
  <c r="J116" i="132"/>
  <c r="J117" i="132"/>
  <c r="J65" i="18"/>
  <c r="F66" i="18"/>
  <c r="M65" i="18"/>
  <c r="M117" i="132"/>
  <c r="M116" i="132"/>
  <c r="Q111" i="132"/>
  <c r="I67" i="18"/>
  <c r="I66" i="18"/>
  <c r="G66" i="18"/>
  <c r="G67" i="18"/>
  <c r="P67" i="18"/>
  <c r="P66" i="18"/>
  <c r="Q64" i="154"/>
  <c r="J69" i="127"/>
  <c r="J158" i="139"/>
  <c r="G158" i="139"/>
  <c r="N37" i="81"/>
  <c r="N45" i="81" s="1"/>
  <c r="P158" i="139"/>
  <c r="V91" i="130" l="1"/>
  <c r="Q97" i="130"/>
  <c r="V97" i="130" s="1"/>
  <c r="Q177" i="108"/>
  <c r="V177" i="108" s="1"/>
  <c r="M159" i="143"/>
  <c r="M160" i="143" s="1"/>
  <c r="L211" i="154"/>
  <c r="L193" i="142" s="1"/>
  <c r="L194" i="142" s="1"/>
  <c r="L195" i="142" s="1"/>
  <c r="L12" i="142" s="1"/>
  <c r="L204" i="154"/>
  <c r="L161" i="122" s="1"/>
  <c r="L209" i="154"/>
  <c r="L193" i="143" s="1"/>
  <c r="L194" i="143" s="1"/>
  <c r="L195" i="143" s="1"/>
  <c r="L12" i="143" s="1"/>
  <c r="L207" i="154"/>
  <c r="L193" i="139" s="1"/>
  <c r="L194" i="139" s="1"/>
  <c r="L195" i="139" s="1"/>
  <c r="L12" i="139" s="1"/>
  <c r="L210" i="154"/>
  <c r="L194" i="141" s="1"/>
  <c r="L195" i="141" s="1"/>
  <c r="L196" i="141" s="1"/>
  <c r="L12" i="141" s="1"/>
  <c r="L205" i="154"/>
  <c r="L162" i="121" s="1"/>
  <c r="L163" i="121" s="1"/>
  <c r="L206" i="154"/>
  <c r="L120" i="147" s="1"/>
  <c r="L121" i="147" s="1"/>
  <c r="L122" i="147" s="1"/>
  <c r="L12" i="147" s="1"/>
  <c r="L200" i="154"/>
  <c r="L115" i="127" s="1"/>
  <c r="L154" i="132" s="1"/>
  <c r="L155" i="132" s="1"/>
  <c r="L201" i="154"/>
  <c r="L133" i="135" s="1"/>
  <c r="L203" i="154"/>
  <c r="L121" i="148" s="1"/>
  <c r="L122" i="148" s="1"/>
  <c r="L123" i="148" s="1"/>
  <c r="L12" i="148" s="1"/>
  <c r="G159" i="143"/>
  <c r="G160" i="143" s="1"/>
  <c r="T109" i="135"/>
  <c r="Q115" i="135"/>
  <c r="T115" i="135" s="1"/>
  <c r="Q112" i="148"/>
  <c r="U112" i="148" s="1"/>
  <c r="Q185" i="140"/>
  <c r="T185" i="140" s="1"/>
  <c r="I16" i="18"/>
  <c r="I20" i="155" s="1"/>
  <c r="F211" i="154"/>
  <c r="F193" i="142" s="1"/>
  <c r="F194" i="142" s="1"/>
  <c r="F195" i="142" s="1"/>
  <c r="F12" i="142" s="1"/>
  <c r="F205" i="154"/>
  <c r="F162" i="121" s="1"/>
  <c r="F163" i="121" s="1"/>
  <c r="F164" i="121" s="1"/>
  <c r="F37" i="121" s="1"/>
  <c r="F213" i="154"/>
  <c r="F192" i="93" s="1"/>
  <c r="F193" i="93" s="1"/>
  <c r="F194" i="93" s="1"/>
  <c r="F12" i="93" s="1"/>
  <c r="F207" i="154"/>
  <c r="F193" i="139" s="1"/>
  <c r="F202" i="154"/>
  <c r="F115" i="130" s="1"/>
  <c r="F116" i="130" s="1"/>
  <c r="F117" i="130" s="1"/>
  <c r="F11" i="130" s="1"/>
  <c r="F209" i="154"/>
  <c r="F193" i="143" s="1"/>
  <c r="F194" i="143" s="1"/>
  <c r="F195" i="143" s="1"/>
  <c r="F12" i="143" s="1"/>
  <c r="F159" i="143" s="1"/>
  <c r="F160" i="143" s="1"/>
  <c r="F203" i="154"/>
  <c r="F121" i="148" s="1"/>
  <c r="F122" i="148" s="1"/>
  <c r="F123" i="148" s="1"/>
  <c r="F12" i="148" s="1"/>
  <c r="F201" i="154"/>
  <c r="F133" i="135" s="1"/>
  <c r="F200" i="154"/>
  <c r="F210" i="154"/>
  <c r="F194" i="141" s="1"/>
  <c r="F195" i="141" s="1"/>
  <c r="F196" i="141" s="1"/>
  <c r="F12" i="141" s="1"/>
  <c r="F159" i="141" s="1"/>
  <c r="F160" i="141" s="1"/>
  <c r="F206" i="154"/>
  <c r="F120" i="147" s="1"/>
  <c r="F121" i="147" s="1"/>
  <c r="F122" i="147" s="1"/>
  <c r="F12" i="147" s="1"/>
  <c r="F84" i="147" s="1"/>
  <c r="F86" i="147" s="1"/>
  <c r="F133" i="147" s="1"/>
  <c r="T169" i="141"/>
  <c r="Q175" i="141"/>
  <c r="R169" i="141"/>
  <c r="U182" i="93"/>
  <c r="Q184" i="93"/>
  <c r="U184" i="93" s="1"/>
  <c r="U168" i="93"/>
  <c r="Q174" i="93"/>
  <c r="U174" i="93" s="1"/>
  <c r="F11" i="18"/>
  <c r="F67" i="18" s="1"/>
  <c r="F31" i="132"/>
  <c r="Q183" i="83"/>
  <c r="Q131" i="147"/>
  <c r="G84" i="148"/>
  <c r="G86" i="148" s="1"/>
  <c r="H204" i="153"/>
  <c r="H69" i="130"/>
  <c r="H81" i="130" s="1"/>
  <c r="L201" i="153"/>
  <c r="L86" i="135" s="1"/>
  <c r="L98" i="135" s="1"/>
  <c r="L37" i="81" s="1"/>
  <c r="L45" i="81" s="1"/>
  <c r="L69" i="130"/>
  <c r="L207" i="153"/>
  <c r="L71" i="147" s="1"/>
  <c r="L83" i="147" s="1"/>
  <c r="K159" i="143"/>
  <c r="K160" i="143" s="1"/>
  <c r="F84" i="148"/>
  <c r="F132" i="148" s="1"/>
  <c r="F134" i="148" s="1"/>
  <c r="I159" i="141"/>
  <c r="I160" i="141" s="1"/>
  <c r="K159" i="141"/>
  <c r="K160" i="141" s="1"/>
  <c r="G159" i="141"/>
  <c r="G160" i="141" s="1"/>
  <c r="L164" i="121"/>
  <c r="L37" i="121" s="1"/>
  <c r="M159" i="141"/>
  <c r="M160" i="141" s="1"/>
  <c r="O208" i="153"/>
  <c r="O70" i="139" s="1"/>
  <c r="O158" i="139" s="1"/>
  <c r="I14" i="155"/>
  <c r="I24" i="155"/>
  <c r="I51" i="18" s="1"/>
  <c r="I52" i="18" s="1"/>
  <c r="U95" i="147"/>
  <c r="S95" i="147"/>
  <c r="Q101" i="147"/>
  <c r="Q175" i="140"/>
  <c r="T175" i="140" s="1"/>
  <c r="T169" i="140"/>
  <c r="T183" i="139"/>
  <c r="Q185" i="139"/>
  <c r="T185" i="139" s="1"/>
  <c r="T138" i="121"/>
  <c r="R138" i="121"/>
  <c r="Q102" i="148"/>
  <c r="U102" i="148" s="1"/>
  <c r="U95" i="148"/>
  <c r="M84" i="148"/>
  <c r="M85" i="148" s="1"/>
  <c r="T169" i="139"/>
  <c r="Q175" i="139"/>
  <c r="T175" i="139" s="1"/>
  <c r="Q40" i="121"/>
  <c r="E62" i="108"/>
  <c r="Q62" i="108" s="1"/>
  <c r="V62" i="108" s="1"/>
  <c r="K14" i="155"/>
  <c r="K24" i="155"/>
  <c r="K51" i="18" s="1"/>
  <c r="K52" i="18" s="1"/>
  <c r="Q158" i="153"/>
  <c r="Q159" i="153" s="1"/>
  <c r="Q169" i="83"/>
  <c r="E175" i="83"/>
  <c r="P16" i="18"/>
  <c r="P20" i="155" s="1"/>
  <c r="P60" i="18" s="1"/>
  <c r="Q13" i="18"/>
  <c r="L206" i="153"/>
  <c r="L96" i="121" s="1"/>
  <c r="Q88" i="81"/>
  <c r="U88" i="81" s="1"/>
  <c r="G84" i="147"/>
  <c r="G86" i="147" s="1"/>
  <c r="G133" i="147" s="1"/>
  <c r="G135" i="147" s="1"/>
  <c r="I84" i="147"/>
  <c r="I86" i="147" s="1"/>
  <c r="I133" i="147" s="1"/>
  <c r="M84" i="147"/>
  <c r="M86" i="147" s="1"/>
  <c r="M133" i="147" s="1"/>
  <c r="M135" i="147" s="1"/>
  <c r="L84" i="148"/>
  <c r="L132" i="148" s="1"/>
  <c r="L134" i="148" s="1"/>
  <c r="Q191" i="108"/>
  <c r="R151" i="122"/>
  <c r="Q153" i="122"/>
  <c r="R153" i="122" s="1"/>
  <c r="Q144" i="132"/>
  <c r="Q146" i="132" s="1"/>
  <c r="E146" i="132"/>
  <c r="T91" i="127"/>
  <c r="Q97" i="127"/>
  <c r="T97" i="127" s="1"/>
  <c r="E136" i="132"/>
  <c r="Q130" i="132"/>
  <c r="Q136" i="132" s="1"/>
  <c r="R136" i="132" s="1"/>
  <c r="E198" i="153"/>
  <c r="Q198" i="153" s="1"/>
  <c r="T54" i="125"/>
  <c r="R54" i="125"/>
  <c r="S84" i="132"/>
  <c r="S80" i="132"/>
  <c r="S57" i="132"/>
  <c r="F118" i="132"/>
  <c r="Q155" i="108"/>
  <c r="V155" i="108" s="1"/>
  <c r="V138" i="108"/>
  <c r="K135" i="147"/>
  <c r="J203" i="154"/>
  <c r="J121" i="148" s="1"/>
  <c r="J122" i="148" s="1"/>
  <c r="J123" i="148" s="1"/>
  <c r="J12" i="148" s="1"/>
  <c r="J84" i="148" s="1"/>
  <c r="G115" i="127"/>
  <c r="G214" i="154"/>
  <c r="G215" i="154" s="1"/>
  <c r="M194" i="83"/>
  <c r="M195" i="83" s="1"/>
  <c r="M194" i="139"/>
  <c r="M195" i="139" s="1"/>
  <c r="M12" i="139" s="1"/>
  <c r="I115" i="127"/>
  <c r="I214" i="154"/>
  <c r="I215" i="154" s="1"/>
  <c r="I194" i="83"/>
  <c r="I195" i="83" s="1"/>
  <c r="I194" i="139"/>
  <c r="I195" i="139" s="1"/>
  <c r="I12" i="139" s="1"/>
  <c r="I159" i="139" s="1"/>
  <c r="I160" i="139" s="1"/>
  <c r="E194" i="140"/>
  <c r="E195" i="140" s="1"/>
  <c r="E12" i="140" s="1"/>
  <c r="E163" i="121"/>
  <c r="E121" i="147"/>
  <c r="E122" i="147" s="1"/>
  <c r="E12" i="147" s="1"/>
  <c r="E115" i="130"/>
  <c r="O214" i="154"/>
  <c r="O215" i="154" s="1"/>
  <c r="O193" i="90"/>
  <c r="O194" i="90" s="1"/>
  <c r="O195" i="90" s="1"/>
  <c r="O12" i="90" s="1"/>
  <c r="F159" i="90"/>
  <c r="F33" i="18" s="1"/>
  <c r="L96" i="81"/>
  <c r="L97" i="81" s="1"/>
  <c r="L98" i="81" s="1"/>
  <c r="L20" i="18" s="1"/>
  <c r="L25" i="18" s="1"/>
  <c r="L134" i="135"/>
  <c r="L135" i="135" s="1"/>
  <c r="L27" i="135" s="1"/>
  <c r="L99" i="135" s="1"/>
  <c r="L55" i="81" s="1"/>
  <c r="L63" i="81" s="1"/>
  <c r="L64" i="81" s="1"/>
  <c r="G134" i="135"/>
  <c r="G135" i="135" s="1"/>
  <c r="G27" i="135" s="1"/>
  <c r="G96" i="81"/>
  <c r="G97" i="81" s="1"/>
  <c r="F134" i="135"/>
  <c r="F135" i="135" s="1"/>
  <c r="F27" i="135" s="1"/>
  <c r="F99" i="135" s="1"/>
  <c r="F55" i="81" s="1"/>
  <c r="F63" i="81" s="1"/>
  <c r="F64" i="81" s="1"/>
  <c r="F96" i="81"/>
  <c r="M162" i="122"/>
  <c r="M201" i="108"/>
  <c r="M202" i="108" s="1"/>
  <c r="K134" i="135"/>
  <c r="K135" i="135" s="1"/>
  <c r="K27" i="135" s="1"/>
  <c r="K99" i="135" s="1"/>
  <c r="K55" i="81" s="1"/>
  <c r="K96" i="81"/>
  <c r="K97" i="81" s="1"/>
  <c r="O194" i="139"/>
  <c r="O195" i="139" s="1"/>
  <c r="O12" i="139" s="1"/>
  <c r="O194" i="83"/>
  <c r="O195" i="83" s="1"/>
  <c r="E194" i="90"/>
  <c r="E195" i="90" s="1"/>
  <c r="E12" i="90" s="1"/>
  <c r="E194" i="143"/>
  <c r="E195" i="143" s="1"/>
  <c r="E12" i="143" s="1"/>
  <c r="E195" i="141"/>
  <c r="E196" i="141" s="1"/>
  <c r="E12" i="141" s="1"/>
  <c r="S111" i="147"/>
  <c r="U111" i="147"/>
  <c r="L193" i="90"/>
  <c r="L194" i="90" s="1"/>
  <c r="L195" i="90" s="1"/>
  <c r="L12" i="90" s="1"/>
  <c r="F162" i="122"/>
  <c r="F201" i="108"/>
  <c r="F202" i="108" s="1"/>
  <c r="G194" i="139"/>
  <c r="G195" i="139" s="1"/>
  <c r="G12" i="139" s="1"/>
  <c r="G159" i="139" s="1"/>
  <c r="G160" i="139" s="1"/>
  <c r="G194" i="83"/>
  <c r="G195" i="83" s="1"/>
  <c r="F214" i="154"/>
  <c r="F215" i="154" s="1"/>
  <c r="M134" i="135"/>
  <c r="M135" i="135" s="1"/>
  <c r="M27" i="135" s="1"/>
  <c r="M99" i="135" s="1"/>
  <c r="M55" i="81" s="1"/>
  <c r="M63" i="81" s="1"/>
  <c r="M64" i="81" s="1"/>
  <c r="M96" i="81"/>
  <c r="M97" i="81" s="1"/>
  <c r="M98" i="81" s="1"/>
  <c r="M20" i="18" s="1"/>
  <c r="M25" i="18" s="1"/>
  <c r="K194" i="139"/>
  <c r="K195" i="139" s="1"/>
  <c r="K12" i="139" s="1"/>
  <c r="K159" i="139" s="1"/>
  <c r="K160" i="139" s="1"/>
  <c r="K194" i="83"/>
  <c r="K195" i="83" s="1"/>
  <c r="I162" i="122"/>
  <c r="I201" i="108"/>
  <c r="I202" i="108" s="1"/>
  <c r="O134" i="135"/>
  <c r="O135" i="135" s="1"/>
  <c r="O27" i="135" s="1"/>
  <c r="O96" i="81"/>
  <c r="O97" i="81" s="1"/>
  <c r="O98" i="81" s="1"/>
  <c r="E194" i="139"/>
  <c r="E195" i="139" s="1"/>
  <c r="E12" i="139" s="1"/>
  <c r="E194" i="83"/>
  <c r="E193" i="93"/>
  <c r="E194" i="93" s="1"/>
  <c r="E12" i="93" s="1"/>
  <c r="K203" i="154"/>
  <c r="K121" i="148" s="1"/>
  <c r="K122" i="148" s="1"/>
  <c r="K123" i="148" s="1"/>
  <c r="K12" i="148" s="1"/>
  <c r="K84" i="148" s="1"/>
  <c r="E115" i="127"/>
  <c r="E214" i="154"/>
  <c r="O159" i="139"/>
  <c r="O160" i="139" s="1"/>
  <c r="H199" i="154"/>
  <c r="L162" i="122"/>
  <c r="L201" i="108"/>
  <c r="L202" i="108" s="1"/>
  <c r="G162" i="122"/>
  <c r="G201" i="108"/>
  <c r="G202" i="108" s="1"/>
  <c r="F194" i="139"/>
  <c r="F195" i="139" s="1"/>
  <c r="F12" i="139" s="1"/>
  <c r="F159" i="139" s="1"/>
  <c r="F160" i="139" s="1"/>
  <c r="F194" i="83"/>
  <c r="F195" i="83" s="1"/>
  <c r="K162" i="122"/>
  <c r="I134" i="135"/>
  <c r="I135" i="135" s="1"/>
  <c r="I27" i="135" s="1"/>
  <c r="I99" i="135" s="1"/>
  <c r="I55" i="81" s="1"/>
  <c r="I63" i="81" s="1"/>
  <c r="I64" i="81" s="1"/>
  <c r="I96" i="81"/>
  <c r="I97" i="81" s="1"/>
  <c r="I98" i="81" s="1"/>
  <c r="I20" i="18" s="1"/>
  <c r="I25" i="18" s="1"/>
  <c r="O162" i="122"/>
  <c r="O201" i="108"/>
  <c r="O202" i="108" s="1"/>
  <c r="E162" i="122"/>
  <c r="E201" i="108"/>
  <c r="E134" i="135"/>
  <c r="E135" i="135" s="1"/>
  <c r="E27" i="135" s="1"/>
  <c r="E96" i="81"/>
  <c r="E97" i="81" s="1"/>
  <c r="E98" i="81" s="1"/>
  <c r="E194" i="142"/>
  <c r="E195" i="142" s="1"/>
  <c r="E12" i="142" s="1"/>
  <c r="E122" i="148"/>
  <c r="E123" i="148" s="1"/>
  <c r="E12" i="148" s="1"/>
  <c r="M214" i="154"/>
  <c r="M215" i="154" s="1"/>
  <c r="M193" i="90"/>
  <c r="M194" i="90" s="1"/>
  <c r="M195" i="90" s="1"/>
  <c r="M12" i="90" s="1"/>
  <c r="M159" i="90" s="1"/>
  <c r="M33" i="18" s="1"/>
  <c r="K116" i="127"/>
  <c r="K117" i="127" s="1"/>
  <c r="K11" i="127" s="1"/>
  <c r="K33" i="132" s="1"/>
  <c r="K154" i="132"/>
  <c r="K155" i="132" s="1"/>
  <c r="I116" i="127"/>
  <c r="I117" i="127" s="1"/>
  <c r="I11" i="127" s="1"/>
  <c r="I33" i="132" s="1"/>
  <c r="I154" i="132"/>
  <c r="I155" i="132" s="1"/>
  <c r="G154" i="132"/>
  <c r="G155" i="132" s="1"/>
  <c r="G116" i="127"/>
  <c r="G117" i="127" s="1"/>
  <c r="G11" i="127" s="1"/>
  <c r="G33" i="132" s="1"/>
  <c r="F115" i="127"/>
  <c r="L116" i="127"/>
  <c r="L117" i="127" s="1"/>
  <c r="L11" i="127" s="1"/>
  <c r="L33" i="132" s="1"/>
  <c r="M116" i="127"/>
  <c r="M117" i="127" s="1"/>
  <c r="M11" i="127" s="1"/>
  <c r="M33" i="132" s="1"/>
  <c r="M154" i="132"/>
  <c r="M155" i="132" s="1"/>
  <c r="O154" i="132"/>
  <c r="O155" i="132" s="1"/>
  <c r="O116" i="127"/>
  <c r="O117" i="127" s="1"/>
  <c r="O11" i="127" s="1"/>
  <c r="O33" i="132" s="1"/>
  <c r="K143" i="122"/>
  <c r="K182" i="108"/>
  <c r="O143" i="122"/>
  <c r="O182" i="108"/>
  <c r="O75" i="18" s="1"/>
  <c r="L77" i="108"/>
  <c r="Q47" i="121"/>
  <c r="Q67" i="121"/>
  <c r="E89" i="108"/>
  <c r="Q89" i="108" s="1"/>
  <c r="V89" i="108" s="1"/>
  <c r="P81" i="108"/>
  <c r="P129" i="147"/>
  <c r="L84" i="108"/>
  <c r="L69" i="108"/>
  <c r="Q69" i="108" s="1"/>
  <c r="F143" i="122"/>
  <c r="F163" i="122" s="1"/>
  <c r="F36" i="122" s="1"/>
  <c r="F182" i="108"/>
  <c r="Q63" i="121"/>
  <c r="R63" i="121" s="1"/>
  <c r="Q143" i="121"/>
  <c r="E144" i="121"/>
  <c r="E164" i="121" s="1"/>
  <c r="E37" i="121" s="1"/>
  <c r="P77" i="108"/>
  <c r="H201" i="154"/>
  <c r="H133" i="135" s="1"/>
  <c r="I143" i="122"/>
  <c r="I182" i="108"/>
  <c r="L143" i="122"/>
  <c r="L182" i="108"/>
  <c r="L87" i="108"/>
  <c r="H143" i="122"/>
  <c r="H182" i="108"/>
  <c r="H75" i="18" s="1"/>
  <c r="E143" i="122"/>
  <c r="Q142" i="122"/>
  <c r="E182" i="108"/>
  <c r="E183" i="108" s="1"/>
  <c r="T125" i="135"/>
  <c r="Q59" i="121"/>
  <c r="Q61" i="121"/>
  <c r="Q62" i="121"/>
  <c r="R62" i="121" s="1"/>
  <c r="P84" i="108"/>
  <c r="P83" i="108"/>
  <c r="J143" i="122"/>
  <c r="J182" i="108"/>
  <c r="Q95" i="136"/>
  <c r="T95" i="136" s="1"/>
  <c r="J207" i="154"/>
  <c r="J211" i="154"/>
  <c r="J193" i="142" s="1"/>
  <c r="J194" i="142" s="1"/>
  <c r="J195" i="142" s="1"/>
  <c r="J12" i="142" s="1"/>
  <c r="J159" i="142" s="1"/>
  <c r="J160" i="142" s="1"/>
  <c r="J204" i="154"/>
  <c r="J161" i="122" s="1"/>
  <c r="J202" i="154"/>
  <c r="J115" i="130" s="1"/>
  <c r="J116" i="130" s="1"/>
  <c r="J117" i="130" s="1"/>
  <c r="J11" i="130" s="1"/>
  <c r="J206" i="154"/>
  <c r="J120" i="147" s="1"/>
  <c r="J121" i="147" s="1"/>
  <c r="J122" i="147" s="1"/>
  <c r="J12" i="147" s="1"/>
  <c r="J84" i="147" s="1"/>
  <c r="J86" i="147" s="1"/>
  <c r="J133" i="147" s="1"/>
  <c r="J210" i="154"/>
  <c r="J194" i="141" s="1"/>
  <c r="J195" i="141" s="1"/>
  <c r="J196" i="141" s="1"/>
  <c r="J12" i="141" s="1"/>
  <c r="J159" i="141" s="1"/>
  <c r="J160" i="141" s="1"/>
  <c r="J201" i="154"/>
  <c r="J133" i="135" s="1"/>
  <c r="J205" i="154"/>
  <c r="J162" i="121" s="1"/>
  <c r="J163" i="121" s="1"/>
  <c r="J164" i="121" s="1"/>
  <c r="J37" i="121" s="1"/>
  <c r="J209" i="154"/>
  <c r="J193" i="143" s="1"/>
  <c r="J194" i="143" s="1"/>
  <c r="J195" i="143" s="1"/>
  <c r="J12" i="143" s="1"/>
  <c r="J159" i="143" s="1"/>
  <c r="J160" i="143" s="1"/>
  <c r="J213" i="154"/>
  <c r="J200" i="154"/>
  <c r="J115" i="127" s="1"/>
  <c r="J208" i="154"/>
  <c r="J193" i="140" s="1"/>
  <c r="J194" i="140" s="1"/>
  <c r="J195" i="140" s="1"/>
  <c r="J12" i="140" s="1"/>
  <c r="M143" i="122"/>
  <c r="M163" i="122" s="1"/>
  <c r="M36" i="122" s="1"/>
  <c r="M182" i="108"/>
  <c r="M75" i="18" s="1"/>
  <c r="G143" i="122"/>
  <c r="G163" i="122" s="1"/>
  <c r="G36" i="122" s="1"/>
  <c r="G182" i="108"/>
  <c r="N183" i="108"/>
  <c r="L83" i="108"/>
  <c r="L81" i="108"/>
  <c r="Q81" i="108" s="1"/>
  <c r="L129" i="147"/>
  <c r="Q54" i="122"/>
  <c r="R54" i="122" s="1"/>
  <c r="E77" i="108"/>
  <c r="Q77" i="108" s="1"/>
  <c r="Q65" i="121"/>
  <c r="Q55" i="121"/>
  <c r="R55" i="121" s="1"/>
  <c r="P143" i="122"/>
  <c r="P182" i="108"/>
  <c r="P87" i="108"/>
  <c r="L204" i="153"/>
  <c r="L212" i="153"/>
  <c r="L70" i="142" s="1"/>
  <c r="L205" i="153"/>
  <c r="L95" i="122" s="1"/>
  <c r="L210" i="153"/>
  <c r="L70" i="143" s="1"/>
  <c r="L158" i="143" s="1"/>
  <c r="L213" i="153"/>
  <c r="L70" i="90" s="1"/>
  <c r="L158" i="90" s="1"/>
  <c r="L200" i="153"/>
  <c r="L69" i="127" s="1"/>
  <c r="L81" i="127" s="1"/>
  <c r="L211" i="153"/>
  <c r="L70" i="141" s="1"/>
  <c r="L158" i="141" s="1"/>
  <c r="L159" i="141" s="1"/>
  <c r="L160" i="141" s="1"/>
  <c r="L209" i="153"/>
  <c r="L70" i="140" s="1"/>
  <c r="L214" i="153"/>
  <c r="L70" i="93" s="1"/>
  <c r="L208" i="153"/>
  <c r="L70" i="139" s="1"/>
  <c r="L158" i="139" s="1"/>
  <c r="H210" i="153"/>
  <c r="H70" i="143" s="1"/>
  <c r="H158" i="143" s="1"/>
  <c r="K37" i="81"/>
  <c r="K45" i="81" s="1"/>
  <c r="F37" i="81"/>
  <c r="F45" i="81" s="1"/>
  <c r="I132" i="148"/>
  <c r="I134" i="148" s="1"/>
  <c r="K118" i="108"/>
  <c r="K130" i="108" s="1"/>
  <c r="P118" i="108"/>
  <c r="G132" i="148"/>
  <c r="G133" i="148" s="1"/>
  <c r="P215" i="153"/>
  <c r="P216" i="153" s="1"/>
  <c r="N118" i="108"/>
  <c r="N130" i="108" s="1"/>
  <c r="G118" i="108"/>
  <c r="G130" i="108" s="1"/>
  <c r="M215" i="153"/>
  <c r="M216" i="153" s="1"/>
  <c r="G99" i="135"/>
  <c r="G55" i="81" s="1"/>
  <c r="F118" i="108"/>
  <c r="I118" i="108"/>
  <c r="I130" i="108" s="1"/>
  <c r="M118" i="108"/>
  <c r="M130" i="108" s="1"/>
  <c r="S36" i="132"/>
  <c r="S81" i="132"/>
  <c r="S49" i="132"/>
  <c r="S60" i="132"/>
  <c r="S43" i="132"/>
  <c r="S78" i="132"/>
  <c r="S77" i="132"/>
  <c r="S58" i="132"/>
  <c r="S102" i="132"/>
  <c r="S63" i="132"/>
  <c r="S97" i="132"/>
  <c r="S89" i="132"/>
  <c r="R11" i="131"/>
  <c r="S88" i="132"/>
  <c r="S86" i="132"/>
  <c r="J16" i="18"/>
  <c r="J20" i="155" s="1"/>
  <c r="J60" i="18" s="1"/>
  <c r="G69" i="130"/>
  <c r="G81" i="130" s="1"/>
  <c r="G82" i="130" s="1"/>
  <c r="K69" i="130"/>
  <c r="K81" i="130" s="1"/>
  <c r="K82" i="130" s="1"/>
  <c r="Q148" i="108"/>
  <c r="S187" i="108" s="1"/>
  <c r="N69" i="130"/>
  <c r="N81" i="130" s="1"/>
  <c r="J70" i="83"/>
  <c r="J118" i="108"/>
  <c r="J130" i="108" s="1"/>
  <c r="G215" i="153"/>
  <c r="G216" i="153" s="1"/>
  <c r="F215" i="153"/>
  <c r="F216" i="153" s="1"/>
  <c r="K215" i="153"/>
  <c r="K216" i="153" s="1"/>
  <c r="J69" i="130"/>
  <c r="J81" i="130" s="1"/>
  <c r="F69" i="130"/>
  <c r="F81" i="130" s="1"/>
  <c r="I69" i="130"/>
  <c r="I81" i="130" s="1"/>
  <c r="I82" i="130" s="1"/>
  <c r="K134" i="147"/>
  <c r="S95" i="132"/>
  <c r="S61" i="132"/>
  <c r="S76" i="132"/>
  <c r="S68" i="132"/>
  <c r="S73" i="132"/>
  <c r="S46" i="132"/>
  <c r="S39" i="132"/>
  <c r="S47" i="132"/>
  <c r="S37" i="132"/>
  <c r="S98" i="132"/>
  <c r="S70" i="132"/>
  <c r="S50" i="132"/>
  <c r="S99" i="132"/>
  <c r="S93" i="132"/>
  <c r="S101" i="132"/>
  <c r="M109" i="119"/>
  <c r="M110" i="119" s="1"/>
  <c r="M69" i="130"/>
  <c r="M81" i="130" s="1"/>
  <c r="M82" i="130" s="1"/>
  <c r="I70" i="142"/>
  <c r="I70" i="83" s="1"/>
  <c r="P70" i="142"/>
  <c r="P70" i="83" s="1"/>
  <c r="N215" i="153"/>
  <c r="N216" i="153" s="1"/>
  <c r="Q65" i="18"/>
  <c r="Q85" i="108"/>
  <c r="V85" i="108" s="1"/>
  <c r="O201" i="153"/>
  <c r="O86" i="135" s="1"/>
  <c r="O98" i="135" s="1"/>
  <c r="F70" i="142"/>
  <c r="F70" i="83" s="1"/>
  <c r="H208" i="153"/>
  <c r="H70" i="139" s="1"/>
  <c r="H200" i="153"/>
  <c r="H203" i="153"/>
  <c r="H71" i="148" s="1"/>
  <c r="H83" i="148" s="1"/>
  <c r="H207" i="153"/>
  <c r="H71" i="147" s="1"/>
  <c r="H83" i="147" s="1"/>
  <c r="K78" i="81"/>
  <c r="K98" i="81" s="1"/>
  <c r="Q61" i="81"/>
  <c r="U61" i="81" s="1"/>
  <c r="N70" i="142"/>
  <c r="N70" i="83" s="1"/>
  <c r="M70" i="142"/>
  <c r="M70" i="83" s="1"/>
  <c r="M158" i="139"/>
  <c r="F117" i="132"/>
  <c r="O210" i="153"/>
  <c r="O70" i="143" s="1"/>
  <c r="O158" i="143" s="1"/>
  <c r="O159" i="143" s="1"/>
  <c r="O160" i="143" s="1"/>
  <c r="G70" i="142"/>
  <c r="G158" i="142" s="1"/>
  <c r="G159" i="142" s="1"/>
  <c r="G160" i="142" s="1"/>
  <c r="H205" i="153"/>
  <c r="H95" i="122" s="1"/>
  <c r="H214" i="153"/>
  <c r="H70" i="93" s="1"/>
  <c r="H213" i="153"/>
  <c r="H70" i="90" s="1"/>
  <c r="H158" i="90" s="1"/>
  <c r="H206" i="153"/>
  <c r="H96" i="121" s="1"/>
  <c r="K70" i="142"/>
  <c r="K70" i="83" s="1"/>
  <c r="Q69" i="81"/>
  <c r="U69" i="81" s="1"/>
  <c r="T151" i="124"/>
  <c r="Q161" i="124"/>
  <c r="I215" i="153"/>
  <c r="I216" i="153" s="1"/>
  <c r="J215" i="153"/>
  <c r="J216" i="153" s="1"/>
  <c r="I87" i="140"/>
  <c r="I87" i="83" s="1"/>
  <c r="H212" i="153"/>
  <c r="H201" i="153"/>
  <c r="H86" i="135" s="1"/>
  <c r="H98" i="135" s="1"/>
  <c r="H209" i="153"/>
  <c r="H70" i="140" s="1"/>
  <c r="O50" i="108"/>
  <c r="O12" i="18" s="1"/>
  <c r="O16" i="18" s="1"/>
  <c r="O20" i="155" s="1"/>
  <c r="O165" i="108"/>
  <c r="I27" i="91"/>
  <c r="I150" i="93"/>
  <c r="I32" i="18" s="1"/>
  <c r="I165" i="108"/>
  <c r="I196" i="154"/>
  <c r="E50" i="108"/>
  <c r="E12" i="18" s="1"/>
  <c r="E16" i="18" s="1"/>
  <c r="I60" i="18"/>
  <c r="Q130" i="147"/>
  <c r="U60" i="81"/>
  <c r="R60" i="81"/>
  <c r="U27" i="119"/>
  <c r="Q28" i="119"/>
  <c r="Q34" i="123"/>
  <c r="R31" i="123"/>
  <c r="T31" i="123"/>
  <c r="R141" i="152"/>
  <c r="T141" i="152"/>
  <c r="T35" i="152"/>
  <c r="R35" i="152"/>
  <c r="Q107" i="152"/>
  <c r="Q28" i="125"/>
  <c r="U94" i="81"/>
  <c r="U31" i="119"/>
  <c r="R31" i="119"/>
  <c r="Q34" i="119"/>
  <c r="R31" i="125"/>
  <c r="T31" i="125"/>
  <c r="Q34" i="125"/>
  <c r="M165" i="108"/>
  <c r="M50" i="108"/>
  <c r="M12" i="18" s="1"/>
  <c r="M16" i="18" s="1"/>
  <c r="R32" i="123"/>
  <c r="T32" i="123"/>
  <c r="R36" i="124"/>
  <c r="Q86" i="108"/>
  <c r="V86" i="108" s="1"/>
  <c r="Q76" i="81"/>
  <c r="U76" i="81" s="1"/>
  <c r="U71" i="81"/>
  <c r="U32" i="119"/>
  <c r="R32" i="119"/>
  <c r="R54" i="119"/>
  <c r="U54" i="119"/>
  <c r="Q108" i="119"/>
  <c r="O74" i="18"/>
  <c r="G121" i="134"/>
  <c r="Q49" i="134"/>
  <c r="H74" i="18"/>
  <c r="H183" i="108"/>
  <c r="E74" i="18"/>
  <c r="Q181" i="108"/>
  <c r="Q103" i="138"/>
  <c r="T103" i="138" s="1"/>
  <c r="R101" i="138"/>
  <c r="M74" i="18"/>
  <c r="Q49" i="108"/>
  <c r="V49" i="108" s="1"/>
  <c r="R154" i="134"/>
  <c r="T154" i="134"/>
  <c r="T92" i="151"/>
  <c r="R92" i="151"/>
  <c r="Q94" i="151"/>
  <c r="T94" i="151" s="1"/>
  <c r="R151" i="119"/>
  <c r="U151" i="119"/>
  <c r="G78" i="81"/>
  <c r="G98" i="81" s="1"/>
  <c r="G20" i="18" s="1"/>
  <c r="G25" i="18" s="1"/>
  <c r="Q153" i="108"/>
  <c r="V153" i="108" s="1"/>
  <c r="V136" i="108"/>
  <c r="V171" i="108"/>
  <c r="Q174" i="108"/>
  <c r="V174" i="108" s="1"/>
  <c r="R135" i="134"/>
  <c r="Q155" i="134"/>
  <c r="T135" i="134"/>
  <c r="Q82" i="131"/>
  <c r="T82" i="131" s="1"/>
  <c r="Q36" i="119"/>
  <c r="E109" i="119"/>
  <c r="E110" i="119" s="1"/>
  <c r="O109" i="119"/>
  <c r="O110" i="119" s="1"/>
  <c r="T27" i="123"/>
  <c r="Q28" i="123"/>
  <c r="K49" i="81"/>
  <c r="K123" i="134"/>
  <c r="U20" i="81"/>
  <c r="R38" i="81"/>
  <c r="R56" i="81"/>
  <c r="Q129" i="136"/>
  <c r="T129" i="136" s="1"/>
  <c r="Q109" i="126"/>
  <c r="T28" i="126"/>
  <c r="R34" i="126"/>
  <c r="Q34" i="124"/>
  <c r="T31" i="124"/>
  <c r="R31" i="124"/>
  <c r="V134" i="108"/>
  <c r="Q151" i="108"/>
  <c r="V151" i="108" s="1"/>
  <c r="Q154" i="108"/>
  <c r="V154" i="108" s="1"/>
  <c r="V137" i="108"/>
  <c r="T84" i="149"/>
  <c r="Q85" i="149"/>
  <c r="T85" i="149" s="1"/>
  <c r="U141" i="119"/>
  <c r="R141" i="119"/>
  <c r="Q161" i="119"/>
  <c r="O204" i="153"/>
  <c r="O205" i="153"/>
  <c r="O95" i="122" s="1"/>
  <c r="O209" i="153"/>
  <c r="O70" i="140" s="1"/>
  <c r="O214" i="153"/>
  <c r="O70" i="93" s="1"/>
  <c r="O211" i="153"/>
  <c r="O70" i="141" s="1"/>
  <c r="O158" i="141" s="1"/>
  <c r="O159" i="141" s="1"/>
  <c r="O160" i="141" s="1"/>
  <c r="O200" i="153"/>
  <c r="O212" i="153"/>
  <c r="O203" i="153"/>
  <c r="O71" i="148" s="1"/>
  <c r="O83" i="148" s="1"/>
  <c r="O84" i="148" s="1"/>
  <c r="O207" i="153"/>
  <c r="O71" i="147" s="1"/>
  <c r="O83" i="147" s="1"/>
  <c r="O84" i="147" s="1"/>
  <c r="O86" i="147" s="1"/>
  <c r="O133" i="147" s="1"/>
  <c r="O134" i="147" s="1"/>
  <c r="O213" i="153"/>
  <c r="O70" i="90" s="1"/>
  <c r="O158" i="90" s="1"/>
  <c r="Q129" i="147"/>
  <c r="E165" i="108"/>
  <c r="Q58" i="122"/>
  <c r="R58" i="122" s="1"/>
  <c r="Q65" i="108"/>
  <c r="V31" i="108"/>
  <c r="Q45" i="108"/>
  <c r="V45" i="108" s="1"/>
  <c r="Q62" i="122"/>
  <c r="R62" i="122" s="1"/>
  <c r="G165" i="108"/>
  <c r="G50" i="108"/>
  <c r="G12" i="18" s="1"/>
  <c r="G16" i="18" s="1"/>
  <c r="G20" i="155" s="1"/>
  <c r="F68" i="18"/>
  <c r="S65" i="132"/>
  <c r="S51" i="132"/>
  <c r="S55" i="132"/>
  <c r="S66" i="132"/>
  <c r="S41" i="132"/>
  <c r="S48" i="132"/>
  <c r="Q64" i="122"/>
  <c r="R64" i="122" s="1"/>
  <c r="Q60" i="122"/>
  <c r="R60" i="122" s="1"/>
  <c r="F50" i="108"/>
  <c r="F12" i="18" s="1"/>
  <c r="F165" i="108"/>
  <c r="F100" i="108"/>
  <c r="Q100" i="108" s="1"/>
  <c r="Q77" i="122"/>
  <c r="R77" i="122" s="1"/>
  <c r="Q152" i="108"/>
  <c r="V152" i="108" s="1"/>
  <c r="Q27" i="108"/>
  <c r="Q165" i="108" s="1"/>
  <c r="V165" i="108" s="1"/>
  <c r="V13" i="108"/>
  <c r="T35" i="121"/>
  <c r="R35" i="121"/>
  <c r="I107" i="123"/>
  <c r="I108" i="123" s="1"/>
  <c r="I109" i="123" s="1"/>
  <c r="I110" i="123" s="1"/>
  <c r="E212" i="153"/>
  <c r="E70" i="142" s="1"/>
  <c r="E206" i="153"/>
  <c r="E201" i="153"/>
  <c r="R75" i="81"/>
  <c r="R67" i="81"/>
  <c r="R95" i="81"/>
  <c r="R76" i="81"/>
  <c r="R80" i="81"/>
  <c r="R82" i="81"/>
  <c r="R83" i="81"/>
  <c r="R84" i="81"/>
  <c r="R68" i="81"/>
  <c r="U27" i="81"/>
  <c r="R73" i="81"/>
  <c r="R87" i="81"/>
  <c r="R94" i="81"/>
  <c r="R77" i="81"/>
  <c r="R74" i="81"/>
  <c r="R86" i="81"/>
  <c r="R81" i="81"/>
  <c r="R85" i="81"/>
  <c r="R71" i="81"/>
  <c r="R72" i="81"/>
  <c r="S179" i="108"/>
  <c r="S31" i="148"/>
  <c r="S32" i="148"/>
  <c r="S30" i="148"/>
  <c r="S17" i="148"/>
  <c r="S33" i="148"/>
  <c r="R84" i="149"/>
  <c r="R91" i="149"/>
  <c r="R98" i="149"/>
  <c r="R74" i="149"/>
  <c r="R40" i="149"/>
  <c r="S53" i="148"/>
  <c r="S41" i="148"/>
  <c r="S49" i="148"/>
  <c r="S80" i="148"/>
  <c r="S68" i="108"/>
  <c r="S119" i="108"/>
  <c r="S66" i="108"/>
  <c r="S107" i="148"/>
  <c r="S110" i="148"/>
  <c r="R73" i="149"/>
  <c r="R43" i="149"/>
  <c r="R34" i="149"/>
  <c r="R116" i="149"/>
  <c r="S120" i="148"/>
  <c r="S51" i="148"/>
  <c r="S75" i="108"/>
  <c r="S127" i="108"/>
  <c r="S109" i="148"/>
  <c r="S79" i="148"/>
  <c r="R38" i="149"/>
  <c r="S90" i="148"/>
  <c r="S92" i="148"/>
  <c r="S180" i="108"/>
  <c r="S19" i="148"/>
  <c r="S35" i="148"/>
  <c r="S36" i="148"/>
  <c r="S38" i="148"/>
  <c r="S40" i="148"/>
  <c r="S21" i="148"/>
  <c r="S26" i="148"/>
  <c r="S102" i="148"/>
  <c r="R99" i="149"/>
  <c r="R118" i="149"/>
  <c r="R117" i="149"/>
  <c r="R59" i="149"/>
  <c r="R36" i="149"/>
  <c r="R55" i="149"/>
  <c r="S45" i="148"/>
  <c r="R44" i="149"/>
  <c r="V148" i="108"/>
  <c r="S64" i="148"/>
  <c r="S76" i="108"/>
  <c r="S104" i="108"/>
  <c r="S98" i="108"/>
  <c r="R48" i="149"/>
  <c r="S48" i="148"/>
  <c r="R82" i="149"/>
  <c r="R56" i="149"/>
  <c r="R53" i="149"/>
  <c r="S94" i="108"/>
  <c r="S50" i="148"/>
  <c r="R54" i="149"/>
  <c r="S91" i="108"/>
  <c r="S113" i="108"/>
  <c r="S44" i="148"/>
  <c r="R37" i="149"/>
  <c r="R75" i="149"/>
  <c r="S99" i="148"/>
  <c r="R52" i="149"/>
  <c r="R57" i="149"/>
  <c r="S70" i="148"/>
  <c r="S80" i="108"/>
  <c r="S109" i="108"/>
  <c r="S82" i="108"/>
  <c r="S118" i="148"/>
  <c r="S56" i="148"/>
  <c r="S47" i="148"/>
  <c r="R76" i="149"/>
  <c r="R42" i="149"/>
  <c r="R109" i="149"/>
  <c r="R65" i="149"/>
  <c r="R80" i="149"/>
  <c r="R30" i="149"/>
  <c r="S67" i="148"/>
  <c r="S94" i="148"/>
  <c r="R120" i="149"/>
  <c r="S186" i="108"/>
  <c r="S64" i="108"/>
  <c r="S123" i="108"/>
  <c r="S96" i="148"/>
  <c r="S105" i="108"/>
  <c r="S117" i="108"/>
  <c r="S116" i="108"/>
  <c r="S78" i="148"/>
  <c r="S111" i="108"/>
  <c r="R63" i="149"/>
  <c r="R106" i="149"/>
  <c r="S73" i="108"/>
  <c r="S95" i="148"/>
  <c r="S200" i="108"/>
  <c r="S99" i="108"/>
  <c r="S192" i="108"/>
  <c r="S97" i="148"/>
  <c r="S23" i="148"/>
  <c r="S39" i="148"/>
  <c r="S37" i="148"/>
  <c r="S16" i="148"/>
  <c r="S22" i="148"/>
  <c r="S25" i="148"/>
  <c r="S112" i="148"/>
  <c r="R95" i="149"/>
  <c r="R103" i="149"/>
  <c r="R107" i="149"/>
  <c r="R32" i="149"/>
  <c r="R70" i="149"/>
  <c r="S119" i="148"/>
  <c r="R77" i="149"/>
  <c r="S76" i="148"/>
  <c r="R28" i="149"/>
  <c r="S61" i="148"/>
  <c r="S96" i="108"/>
  <c r="S62" i="108"/>
  <c r="S46" i="148"/>
  <c r="S65" i="148"/>
  <c r="S69" i="148"/>
  <c r="S55" i="148"/>
  <c r="R50" i="149"/>
  <c r="R68" i="149"/>
  <c r="R23" i="149"/>
  <c r="S100" i="148"/>
  <c r="S126" i="108"/>
  <c r="S106" i="108"/>
  <c r="S125" i="108"/>
  <c r="R46" i="149"/>
  <c r="R35" i="149"/>
  <c r="R90" i="149"/>
  <c r="R27" i="149"/>
  <c r="R102" i="149"/>
  <c r="R72" i="149"/>
  <c r="R49" i="149"/>
  <c r="S88" i="108"/>
  <c r="S79" i="108"/>
  <c r="S74" i="108"/>
  <c r="R67" i="149"/>
  <c r="S75" i="148"/>
  <c r="S66" i="148"/>
  <c r="R41" i="149"/>
  <c r="R61" i="149"/>
  <c r="S105" i="148"/>
  <c r="S42" i="148"/>
  <c r="R97" i="149"/>
  <c r="R64" i="149"/>
  <c r="R78" i="149"/>
  <c r="R83" i="149"/>
  <c r="S173" i="108"/>
  <c r="R100" i="149"/>
  <c r="S102" i="108"/>
  <c r="S71" i="108"/>
  <c r="S124" i="108"/>
  <c r="S176" i="108"/>
  <c r="S128" i="108"/>
  <c r="S63" i="108"/>
  <c r="R39" i="149"/>
  <c r="S112" i="108"/>
  <c r="R29" i="149"/>
  <c r="S108" i="148"/>
  <c r="S110" i="108"/>
  <c r="S122" i="108"/>
  <c r="S172" i="108"/>
  <c r="R121" i="149"/>
  <c r="S70" i="108"/>
  <c r="S98" i="148"/>
  <c r="S27" i="148"/>
  <c r="S24" i="148"/>
  <c r="S18" i="148"/>
  <c r="S20" i="148"/>
  <c r="S34" i="148"/>
  <c r="S29" i="148"/>
  <c r="S199" i="108"/>
  <c r="R96" i="149"/>
  <c r="R94" i="149"/>
  <c r="R81" i="149"/>
  <c r="R66" i="149"/>
  <c r="R51" i="149"/>
  <c r="S72" i="148"/>
  <c r="S68" i="148"/>
  <c r="S57" i="148"/>
  <c r="S101" i="148"/>
  <c r="S115" i="108"/>
  <c r="S103" i="108"/>
  <c r="S114" i="108"/>
  <c r="S73" i="148"/>
  <c r="S104" i="148"/>
  <c r="R58" i="149"/>
  <c r="S74" i="148"/>
  <c r="R71" i="149"/>
  <c r="R108" i="149"/>
  <c r="S52" i="148"/>
  <c r="S77" i="148"/>
  <c r="S178" i="108"/>
  <c r="S67" i="108"/>
  <c r="S54" i="148"/>
  <c r="S60" i="148"/>
  <c r="R31" i="149"/>
  <c r="S59" i="148"/>
  <c r="R45" i="149"/>
  <c r="R21" i="149"/>
  <c r="R105" i="149"/>
  <c r="S107" i="108"/>
  <c r="S92" i="108"/>
  <c r="S97" i="108"/>
  <c r="S111" i="148"/>
  <c r="S81" i="148"/>
  <c r="R33" i="149"/>
  <c r="S82" i="148"/>
  <c r="R119" i="149"/>
  <c r="R79" i="149"/>
  <c r="S63" i="148"/>
  <c r="S58" i="148"/>
  <c r="S91" i="148"/>
  <c r="S121" i="108"/>
  <c r="S43" i="148"/>
  <c r="S171" i="108"/>
  <c r="R110" i="149"/>
  <c r="S93" i="108"/>
  <c r="S108" i="108"/>
  <c r="S101" i="108"/>
  <c r="S120" i="108"/>
  <c r="S129" i="108"/>
  <c r="R92" i="149"/>
  <c r="R60" i="149"/>
  <c r="S72" i="108"/>
  <c r="S106" i="148"/>
  <c r="R26" i="149"/>
  <c r="R69" i="149"/>
  <c r="S78" i="108"/>
  <c r="S90" i="108"/>
  <c r="S95" i="108"/>
  <c r="S177" i="108"/>
  <c r="S189" i="108"/>
  <c r="S188" i="108"/>
  <c r="S185" i="108"/>
  <c r="S190" i="108"/>
  <c r="E57" i="108"/>
  <c r="Q34" i="122"/>
  <c r="R34" i="122" s="1"/>
  <c r="V54" i="108"/>
  <c r="Q57" i="108"/>
  <c r="V53" i="108"/>
  <c r="S86" i="108"/>
  <c r="S85" i="108"/>
  <c r="N16" i="18"/>
  <c r="N20" i="155" s="1"/>
  <c r="N67" i="18"/>
  <c r="N68" i="18" s="1"/>
  <c r="L67" i="18"/>
  <c r="L68" i="18" s="1"/>
  <c r="L16" i="18"/>
  <c r="L20" i="155" s="1"/>
  <c r="K150" i="93"/>
  <c r="K87" i="140"/>
  <c r="K27" i="91"/>
  <c r="K60" i="18"/>
  <c r="K196" i="154"/>
  <c r="H16" i="18"/>
  <c r="H20" i="155" s="1"/>
  <c r="H67" i="18"/>
  <c r="H68" i="18" s="1"/>
  <c r="I39" i="18"/>
  <c r="I25" i="155"/>
  <c r="Q11" i="18"/>
  <c r="P27" i="91"/>
  <c r="P87" i="140"/>
  <c r="P196" i="154"/>
  <c r="P150" i="93"/>
  <c r="J67" i="18"/>
  <c r="J66" i="18"/>
  <c r="M67" i="18"/>
  <c r="M66" i="18"/>
  <c r="P68" i="18"/>
  <c r="I68" i="18"/>
  <c r="G68" i="18"/>
  <c r="R133" i="132"/>
  <c r="R95" i="127"/>
  <c r="T113" i="130"/>
  <c r="T92" i="130"/>
  <c r="R87" i="131"/>
  <c r="R52" i="131"/>
  <c r="R16" i="131"/>
  <c r="R113" i="131"/>
  <c r="R90" i="131"/>
  <c r="R66" i="131"/>
  <c r="R50" i="131"/>
  <c r="R34" i="131"/>
  <c r="R18" i="131"/>
  <c r="T103" i="130"/>
  <c r="T72" i="130"/>
  <c r="T57" i="130"/>
  <c r="T38" i="130"/>
  <c r="T24" i="130"/>
  <c r="R111" i="127"/>
  <c r="R86" i="127"/>
  <c r="R67" i="127"/>
  <c r="R51" i="127"/>
  <c r="R35" i="127"/>
  <c r="R20" i="127"/>
  <c r="R32" i="131"/>
  <c r="T67" i="130"/>
  <c r="R92" i="131"/>
  <c r="R44" i="131"/>
  <c r="T105" i="130"/>
  <c r="T74" i="130"/>
  <c r="R61" i="127"/>
  <c r="T15" i="130"/>
  <c r="R110" i="127"/>
  <c r="R33" i="127"/>
  <c r="R18" i="127"/>
  <c r="R77" i="127"/>
  <c r="R83" i="132"/>
  <c r="R144" i="132"/>
  <c r="R44" i="127"/>
  <c r="R98" i="132"/>
  <c r="R68" i="132"/>
  <c r="R103" i="127"/>
  <c r="R33" i="131"/>
  <c r="R81" i="132"/>
  <c r="R77" i="131"/>
  <c r="R114" i="131"/>
  <c r="R75" i="131"/>
  <c r="T45" i="130"/>
  <c r="R63" i="132"/>
  <c r="R77" i="132"/>
  <c r="T71" i="130"/>
  <c r="R37" i="131"/>
  <c r="R106" i="127"/>
  <c r="R73" i="131"/>
  <c r="R108" i="131"/>
  <c r="T112" i="130"/>
  <c r="R15" i="131"/>
  <c r="R79" i="131"/>
  <c r="T87" i="130"/>
  <c r="R111" i="131"/>
  <c r="R75" i="132"/>
  <c r="R49" i="132"/>
  <c r="R92" i="127"/>
  <c r="R76" i="132"/>
  <c r="R60" i="132"/>
  <c r="T33" i="130"/>
  <c r="R64" i="127"/>
  <c r="R99" i="127"/>
  <c r="T104" i="130"/>
  <c r="T95" i="130"/>
  <c r="R92" i="132"/>
  <c r="R107" i="127"/>
  <c r="T111" i="130"/>
  <c r="R112" i="131"/>
  <c r="R80" i="131"/>
  <c r="R48" i="131"/>
  <c r="T59" i="130"/>
  <c r="R103" i="131"/>
  <c r="R78" i="131"/>
  <c r="R62" i="131"/>
  <c r="R46" i="131"/>
  <c r="R30" i="131"/>
  <c r="R14" i="131"/>
  <c r="T99" i="130"/>
  <c r="T68" i="130"/>
  <c r="T53" i="130"/>
  <c r="T35" i="130"/>
  <c r="T20" i="130"/>
  <c r="R109" i="127"/>
  <c r="R79" i="127"/>
  <c r="R63" i="127"/>
  <c r="R47" i="127"/>
  <c r="R31" i="127"/>
  <c r="R16" i="127"/>
  <c r="T90" i="130"/>
  <c r="T51" i="130"/>
  <c r="R76" i="131"/>
  <c r="R40" i="131"/>
  <c r="T101" i="130"/>
  <c r="T63" i="130"/>
  <c r="R45" i="127"/>
  <c r="R25" i="127"/>
  <c r="R73" i="127"/>
  <c r="R104" i="127"/>
  <c r="T30" i="130"/>
  <c r="R53" i="127"/>
  <c r="R95" i="132"/>
  <c r="R41" i="132"/>
  <c r="T16" i="130"/>
  <c r="R96" i="127"/>
  <c r="R96" i="132"/>
  <c r="T14" i="130"/>
  <c r="R65" i="131"/>
  <c r="R150" i="132"/>
  <c r="R36" i="127"/>
  <c r="T54" i="130"/>
  <c r="R27" i="131"/>
  <c r="T37" i="130"/>
  <c r="T66" i="130"/>
  <c r="R67" i="132"/>
  <c r="R19" i="127"/>
  <c r="T86" i="130"/>
  <c r="R84" i="132"/>
  <c r="T31" i="130"/>
  <c r="R88" i="131"/>
  <c r="R50" i="127"/>
  <c r="T58" i="130"/>
  <c r="R31" i="131"/>
  <c r="R100" i="131"/>
  <c r="T50" i="130"/>
  <c r="R87" i="132"/>
  <c r="R99" i="132"/>
  <c r="R72" i="127"/>
  <c r="T36" i="130"/>
  <c r="R46" i="127"/>
  <c r="R40" i="127"/>
  <c r="R49" i="131"/>
  <c r="R29" i="131"/>
  <c r="T41" i="130"/>
  <c r="R19" i="131"/>
  <c r="R86" i="131"/>
  <c r="R25" i="131"/>
  <c r="T107" i="130"/>
  <c r="T94" i="130"/>
  <c r="R72" i="132"/>
  <c r="R48" i="132"/>
  <c r="R21" i="131"/>
  <c r="T109" i="130"/>
  <c r="R104" i="131"/>
  <c r="R72" i="131"/>
  <c r="R36" i="131"/>
  <c r="T55" i="130"/>
  <c r="R99" i="131"/>
  <c r="R74" i="131"/>
  <c r="R58" i="131"/>
  <c r="R42" i="131"/>
  <c r="R26" i="131"/>
  <c r="T114" i="130"/>
  <c r="T80" i="130"/>
  <c r="T65" i="130"/>
  <c r="T49" i="130"/>
  <c r="T32" i="130"/>
  <c r="T17" i="130"/>
  <c r="R102" i="127"/>
  <c r="R75" i="127"/>
  <c r="R59" i="127"/>
  <c r="R43" i="127"/>
  <c r="R27" i="127"/>
  <c r="T78" i="130"/>
  <c r="T44" i="130"/>
  <c r="R64" i="131"/>
  <c r="R28" i="131"/>
  <c r="T96" i="130"/>
  <c r="T26" i="130"/>
  <c r="R29" i="127"/>
  <c r="T19" i="130"/>
  <c r="R65" i="127"/>
  <c r="R57" i="127"/>
  <c r="R112" i="127"/>
  <c r="R37" i="127"/>
  <c r="R55" i="132"/>
  <c r="R62" i="127"/>
  <c r="T42" i="130"/>
  <c r="T48" i="130"/>
  <c r="R38" i="127"/>
  <c r="T52" i="130"/>
  <c r="R110" i="131"/>
  <c r="R48" i="127"/>
  <c r="R66" i="127"/>
  <c r="T73" i="130"/>
  <c r="R43" i="131"/>
  <c r="R57" i="131"/>
  <c r="R23" i="131"/>
  <c r="R135" i="132"/>
  <c r="R58" i="127"/>
  <c r="R109" i="131"/>
  <c r="R17" i="127"/>
  <c r="T60" i="130"/>
  <c r="R65" i="132"/>
  <c r="R76" i="127"/>
  <c r="T77" i="130"/>
  <c r="R47" i="131"/>
  <c r="R15" i="127"/>
  <c r="T110" i="130"/>
  <c r="R47" i="132"/>
  <c r="R140" i="132"/>
  <c r="R28" i="127"/>
  <c r="T79" i="130"/>
  <c r="R45" i="131"/>
  <c r="R78" i="127"/>
  <c r="R86" i="132"/>
  <c r="R34" i="127"/>
  <c r="T43" i="130"/>
  <c r="R35" i="131"/>
  <c r="R107" i="131"/>
  <c r="R93" i="132"/>
  <c r="R132" i="132"/>
  <c r="R17" i="131"/>
  <c r="R20" i="131"/>
  <c r="R54" i="131"/>
  <c r="T76" i="130"/>
  <c r="R113" i="127"/>
  <c r="R39" i="127"/>
  <c r="R97" i="131"/>
  <c r="R93" i="127"/>
  <c r="R41" i="127"/>
  <c r="R26" i="127"/>
  <c r="R81" i="131"/>
  <c r="T93" i="130"/>
  <c r="R149" i="132"/>
  <c r="R41" i="131"/>
  <c r="R63" i="131"/>
  <c r="R151" i="132"/>
  <c r="R101" i="127"/>
  <c r="R51" i="131"/>
  <c r="T27" i="130"/>
  <c r="R126" i="132"/>
  <c r="R153" i="132"/>
  <c r="R152" i="132"/>
  <c r="T23" i="130"/>
  <c r="R46" i="132"/>
  <c r="R39" i="131"/>
  <c r="R125" i="132"/>
  <c r="R58" i="132"/>
  <c r="R85" i="132"/>
  <c r="R62" i="132"/>
  <c r="R73" i="132"/>
  <c r="Q117" i="132"/>
  <c r="R44" i="132"/>
  <c r="R127" i="132"/>
  <c r="R82" i="131"/>
  <c r="T34" i="130"/>
  <c r="T39" i="130"/>
  <c r="T21" i="130"/>
  <c r="R61" i="132"/>
  <c r="T102" i="130"/>
  <c r="T40" i="130"/>
  <c r="R38" i="131"/>
  <c r="T61" i="130"/>
  <c r="R91" i="127"/>
  <c r="R23" i="127"/>
  <c r="R56" i="131"/>
  <c r="R22" i="127"/>
  <c r="R100" i="127"/>
  <c r="R98" i="131"/>
  <c r="R57" i="132"/>
  <c r="R59" i="131"/>
  <c r="T25" i="130"/>
  <c r="T64" i="130"/>
  <c r="R54" i="127"/>
  <c r="R87" i="127"/>
  <c r="R32" i="127"/>
  <c r="R67" i="131"/>
  <c r="R52" i="127"/>
  <c r="R39" i="132"/>
  <c r="R139" i="132"/>
  <c r="R21" i="127"/>
  <c r="R70" i="127"/>
  <c r="R70" i="132"/>
  <c r="R50" i="132"/>
  <c r="R42" i="127"/>
  <c r="R101" i="132"/>
  <c r="R134" i="132"/>
  <c r="R123" i="132"/>
  <c r="R45" i="132"/>
  <c r="R64" i="132"/>
  <c r="R54" i="132"/>
  <c r="R102" i="132"/>
  <c r="R66" i="132"/>
  <c r="R42" i="132"/>
  <c r="R94" i="127"/>
  <c r="R88" i="127"/>
  <c r="R101" i="131"/>
  <c r="R94" i="131"/>
  <c r="R22" i="131"/>
  <c r="T46" i="130"/>
  <c r="R71" i="127"/>
  <c r="R60" i="131"/>
  <c r="R24" i="131"/>
  <c r="R69" i="131"/>
  <c r="T56" i="130"/>
  <c r="R74" i="127"/>
  <c r="R30" i="127"/>
  <c r="T75" i="130"/>
  <c r="R55" i="131"/>
  <c r="R68" i="127"/>
  <c r="R78" i="132"/>
  <c r="R71" i="131"/>
  <c r="R79" i="132"/>
  <c r="R93" i="131"/>
  <c r="R60" i="127"/>
  <c r="R114" i="127"/>
  <c r="R61" i="131"/>
  <c r="R88" i="132"/>
  <c r="R148" i="132"/>
  <c r="R95" i="131"/>
  <c r="R146" i="132"/>
  <c r="T88" i="130"/>
  <c r="T22" i="130"/>
  <c r="R115" i="131"/>
  <c r="R100" i="132"/>
  <c r="R80" i="132"/>
  <c r="R130" i="132"/>
  <c r="R51" i="132"/>
  <c r="T29" i="130"/>
  <c r="T28" i="130"/>
  <c r="R49" i="127"/>
  <c r="T47" i="130"/>
  <c r="R124" i="132"/>
  <c r="R59" i="132"/>
  <c r="R53" i="131"/>
  <c r="R94" i="132"/>
  <c r="T18" i="130"/>
  <c r="R90" i="132"/>
  <c r="R143" i="132"/>
  <c r="R38" i="132"/>
  <c r="R43" i="132"/>
  <c r="R36" i="132"/>
  <c r="R145" i="132"/>
  <c r="R37" i="132"/>
  <c r="R74" i="132"/>
  <c r="R68" i="131"/>
  <c r="R55" i="127"/>
  <c r="R91" i="131"/>
  <c r="R105" i="131"/>
  <c r="R142" i="132"/>
  <c r="R102" i="131"/>
  <c r="R97" i="132"/>
  <c r="R82" i="132"/>
  <c r="R70" i="131"/>
  <c r="T70" i="130"/>
  <c r="R131" i="132"/>
  <c r="R56" i="127"/>
  <c r="T62" i="130"/>
  <c r="R141" i="132"/>
  <c r="R53" i="132"/>
  <c r="R89" i="132"/>
  <c r="R129" i="132"/>
  <c r="R14" i="127"/>
  <c r="T106" i="130"/>
  <c r="T91" i="130"/>
  <c r="R80" i="127"/>
  <c r="T100" i="130"/>
  <c r="R24" i="127"/>
  <c r="R105" i="127"/>
  <c r="R69" i="132"/>
  <c r="R138" i="132"/>
  <c r="R52" i="132"/>
  <c r="R90" i="127"/>
  <c r="R40" i="132"/>
  <c r="R56" i="132"/>
  <c r="T97" i="130"/>
  <c r="R71" i="132"/>
  <c r="U64" i="154"/>
  <c r="Q157" i="154"/>
  <c r="G107" i="123"/>
  <c r="G108" i="123" s="1"/>
  <c r="G109" i="123" s="1"/>
  <c r="G110" i="123" s="1"/>
  <c r="N81" i="127"/>
  <c r="G81" i="127"/>
  <c r="P91" i="132"/>
  <c r="P103" i="132" s="1"/>
  <c r="P81" i="127"/>
  <c r="F91" i="132"/>
  <c r="F103" i="132" s="1"/>
  <c r="F81" i="127"/>
  <c r="K81" i="127"/>
  <c r="I91" i="132"/>
  <c r="I103" i="132" s="1"/>
  <c r="I81" i="127"/>
  <c r="J81" i="127"/>
  <c r="M81" i="127"/>
  <c r="G134" i="147"/>
  <c r="I134" i="147"/>
  <c r="I135" i="147"/>
  <c r="K82" i="127" l="1"/>
  <c r="M82" i="127"/>
  <c r="J150" i="93"/>
  <c r="J87" i="140"/>
  <c r="J196" i="154"/>
  <c r="J27" i="91"/>
  <c r="L159" i="139"/>
  <c r="L160" i="139" s="1"/>
  <c r="L159" i="90"/>
  <c r="L33" i="18" s="1"/>
  <c r="L214" i="154"/>
  <c r="L215" i="154" s="1"/>
  <c r="L133" i="148"/>
  <c r="L159" i="143"/>
  <c r="L160" i="143" s="1"/>
  <c r="L194" i="83"/>
  <c r="L195" i="83" s="1"/>
  <c r="L84" i="147"/>
  <c r="L86" i="147" s="1"/>
  <c r="L133" i="147" s="1"/>
  <c r="O163" i="122"/>
  <c r="O36" i="122" s="1"/>
  <c r="M91" i="132"/>
  <c r="M103" i="132" s="1"/>
  <c r="S65" i="108"/>
  <c r="R47" i="149"/>
  <c r="R104" i="149"/>
  <c r="S28" i="148"/>
  <c r="S15" i="148"/>
  <c r="F82" i="130"/>
  <c r="G82" i="127"/>
  <c r="S54" i="108"/>
  <c r="L134" i="147"/>
  <c r="Q12" i="18"/>
  <c r="O159" i="90"/>
  <c r="O33" i="18" s="1"/>
  <c r="I82" i="127"/>
  <c r="K201" i="108"/>
  <c r="K202" i="108" s="1"/>
  <c r="F134" i="147"/>
  <c r="F135" i="147"/>
  <c r="E163" i="122"/>
  <c r="E36" i="122" s="1"/>
  <c r="M24" i="155"/>
  <c r="M51" i="18" s="1"/>
  <c r="M52" i="18" s="1"/>
  <c r="M20" i="155"/>
  <c r="I158" i="140"/>
  <c r="I159" i="140" s="1"/>
  <c r="I160" i="140" s="1"/>
  <c r="E24" i="155"/>
  <c r="E51" i="18" s="1"/>
  <c r="E20" i="155"/>
  <c r="E14" i="155"/>
  <c r="K136" i="147"/>
  <c r="K137" i="147" s="1"/>
  <c r="R88" i="81"/>
  <c r="H210" i="154"/>
  <c r="H194" i="141" s="1"/>
  <c r="H195" i="141" s="1"/>
  <c r="H196" i="141" s="1"/>
  <c r="H12" i="141" s="1"/>
  <c r="H159" i="141" s="1"/>
  <c r="H160" i="141" s="1"/>
  <c r="L135" i="147"/>
  <c r="R175" i="141"/>
  <c r="T175" i="141"/>
  <c r="U183" i="83"/>
  <c r="Q185" i="83"/>
  <c r="U185" i="83" s="1"/>
  <c r="G107" i="125"/>
  <c r="G108" i="125" s="1"/>
  <c r="G109" i="125" s="1"/>
  <c r="G110" i="125" s="1"/>
  <c r="F86" i="148"/>
  <c r="F107" i="124" s="1"/>
  <c r="F108" i="124" s="1"/>
  <c r="F109" i="124" s="1"/>
  <c r="F110" i="124" s="1"/>
  <c r="M183" i="108"/>
  <c r="M203" i="108" s="1"/>
  <c r="M59" i="108" s="1"/>
  <c r="M167" i="108" s="1"/>
  <c r="O135" i="147"/>
  <c r="G134" i="148"/>
  <c r="G108" i="121" s="1"/>
  <c r="G109" i="121" s="1"/>
  <c r="G128" i="121" s="1"/>
  <c r="I163" i="122"/>
  <c r="I36" i="122" s="1"/>
  <c r="M132" i="148"/>
  <c r="M133" i="148" s="1"/>
  <c r="E208" i="153"/>
  <c r="E70" i="139" s="1"/>
  <c r="E210" i="153"/>
  <c r="F133" i="148"/>
  <c r="F135" i="148" s="1"/>
  <c r="F136" i="148" s="1"/>
  <c r="E213" i="153"/>
  <c r="E203" i="153"/>
  <c r="E209" i="153"/>
  <c r="E207" i="153"/>
  <c r="Q207" i="153" s="1"/>
  <c r="E205" i="153"/>
  <c r="E211" i="153"/>
  <c r="E70" i="141" s="1"/>
  <c r="E204" i="153"/>
  <c r="K163" i="122"/>
  <c r="K36" i="122" s="1"/>
  <c r="E200" i="153"/>
  <c r="E69" i="127" s="1"/>
  <c r="E81" i="127" s="1"/>
  <c r="L81" i="130"/>
  <c r="L82" i="130" s="1"/>
  <c r="L91" i="132"/>
  <c r="L103" i="132" s="1"/>
  <c r="L104" i="132" s="1"/>
  <c r="L105" i="132" s="1"/>
  <c r="M134" i="148"/>
  <c r="M108" i="121" s="1"/>
  <c r="M109" i="121" s="1"/>
  <c r="M110" i="121" s="1"/>
  <c r="M111" i="121" s="1"/>
  <c r="M86" i="148"/>
  <c r="M107" i="124" s="1"/>
  <c r="M108" i="124" s="1"/>
  <c r="M109" i="124" s="1"/>
  <c r="M110" i="124" s="1"/>
  <c r="L118" i="108"/>
  <c r="L130" i="108" s="1"/>
  <c r="R97" i="127"/>
  <c r="L82" i="127"/>
  <c r="U169" i="83"/>
  <c r="Q175" i="83"/>
  <c r="U175" i="83" s="1"/>
  <c r="Q67" i="18"/>
  <c r="H150" i="93"/>
  <c r="H24" i="155"/>
  <c r="H51" i="18" s="1"/>
  <c r="H52" i="18" s="1"/>
  <c r="S53" i="108"/>
  <c r="L163" i="122"/>
  <c r="L36" i="122" s="1"/>
  <c r="E69" i="130"/>
  <c r="E214" i="153"/>
  <c r="E70" i="93" s="1"/>
  <c r="Q70" i="93" s="1"/>
  <c r="T214" i="153" s="1"/>
  <c r="V13" i="18"/>
  <c r="T40" i="121"/>
  <c r="R40" i="121"/>
  <c r="N14" i="155"/>
  <c r="N24" i="155"/>
  <c r="N51" i="18" s="1"/>
  <c r="N52" i="18" s="1"/>
  <c r="S89" i="108"/>
  <c r="O183" i="108"/>
  <c r="O203" i="108" s="1"/>
  <c r="O59" i="108" s="1"/>
  <c r="O27" i="91"/>
  <c r="O24" i="155"/>
  <c r="O51" i="18" s="1"/>
  <c r="O52" i="18" s="1"/>
  <c r="M159" i="139"/>
  <c r="M160" i="139" s="1"/>
  <c r="S191" i="108"/>
  <c r="P14" i="155"/>
  <c r="P24" i="155"/>
  <c r="P51" i="18" s="1"/>
  <c r="P52" i="18" s="1"/>
  <c r="U101" i="147"/>
  <c r="S101" i="147"/>
  <c r="L14" i="155"/>
  <c r="L24" i="155"/>
  <c r="L51" i="18" s="1"/>
  <c r="L52" i="18" s="1"/>
  <c r="G14" i="155"/>
  <c r="G24" i="155"/>
  <c r="G51" i="18" s="1"/>
  <c r="G52" i="18" s="1"/>
  <c r="J14" i="155"/>
  <c r="J24" i="155"/>
  <c r="J51" i="18" s="1"/>
  <c r="J52" i="18" s="1"/>
  <c r="L86" i="148"/>
  <c r="L107" i="124" s="1"/>
  <c r="L108" i="124" s="1"/>
  <c r="L109" i="124" s="1"/>
  <c r="L110" i="124" s="1"/>
  <c r="M134" i="147"/>
  <c r="I107" i="125"/>
  <c r="I108" i="125" s="1"/>
  <c r="I109" i="125" s="1"/>
  <c r="I110" i="125" s="1"/>
  <c r="J91" i="132"/>
  <c r="J103" i="132" s="1"/>
  <c r="K91" i="132"/>
  <c r="K103" i="132" s="1"/>
  <c r="K104" i="132" s="1"/>
  <c r="K105" i="132" s="1"/>
  <c r="I133" i="148"/>
  <c r="I135" i="148" s="1"/>
  <c r="I136" i="148" s="1"/>
  <c r="V191" i="108"/>
  <c r="Q193" i="108"/>
  <c r="S174" i="108"/>
  <c r="K63" i="81"/>
  <c r="K64" i="81" s="1"/>
  <c r="L70" i="83"/>
  <c r="L215" i="153"/>
  <c r="L216" i="153" s="1"/>
  <c r="Q87" i="108"/>
  <c r="S87" i="108" s="1"/>
  <c r="S69" i="108"/>
  <c r="S81" i="108"/>
  <c r="Q83" i="108"/>
  <c r="S83" i="108" s="1"/>
  <c r="Q84" i="108"/>
  <c r="P130" i="108"/>
  <c r="J82" i="130"/>
  <c r="K132" i="148"/>
  <c r="K86" i="148"/>
  <c r="J134" i="147"/>
  <c r="J135" i="147"/>
  <c r="J193" i="139"/>
  <c r="H134" i="135"/>
  <c r="H135" i="135" s="1"/>
  <c r="H27" i="135" s="1"/>
  <c r="H99" i="135" s="1"/>
  <c r="H55" i="81" s="1"/>
  <c r="H63" i="81" s="1"/>
  <c r="H64" i="81" s="1"/>
  <c r="H96" i="81"/>
  <c r="H97" i="81" s="1"/>
  <c r="H98" i="81" s="1"/>
  <c r="E116" i="127"/>
  <c r="E117" i="127" s="1"/>
  <c r="E11" i="127" s="1"/>
  <c r="E154" i="132"/>
  <c r="E155" i="132" s="1"/>
  <c r="O196" i="83"/>
  <c r="O12" i="83" s="1"/>
  <c r="O199" i="83"/>
  <c r="H211" i="154"/>
  <c r="H193" i="142" s="1"/>
  <c r="H206" i="154"/>
  <c r="H120" i="147" s="1"/>
  <c r="H202" i="154"/>
  <c r="H200" i="154"/>
  <c r="H208" i="154"/>
  <c r="H193" i="140" s="1"/>
  <c r="H205" i="154"/>
  <c r="H207" i="154"/>
  <c r="H193" i="139" s="1"/>
  <c r="H203" i="154"/>
  <c r="H213" i="154"/>
  <c r="H192" i="93" s="1"/>
  <c r="H209" i="154"/>
  <c r="H193" i="143" s="1"/>
  <c r="H204" i="154"/>
  <c r="H161" i="122" s="1"/>
  <c r="H193" i="90"/>
  <c r="E195" i="83"/>
  <c r="K196" i="83"/>
  <c r="K12" i="83" s="1"/>
  <c r="K199" i="83"/>
  <c r="J214" i="154"/>
  <c r="J215" i="154" s="1"/>
  <c r="J193" i="90"/>
  <c r="J194" i="90" s="1"/>
  <c r="J195" i="90" s="1"/>
  <c r="J12" i="90" s="1"/>
  <c r="J159" i="90" s="1"/>
  <c r="J33" i="18" s="1"/>
  <c r="J134" i="135"/>
  <c r="J135" i="135" s="1"/>
  <c r="J27" i="135" s="1"/>
  <c r="J99" i="135" s="1"/>
  <c r="J55" i="81" s="1"/>
  <c r="J63" i="81" s="1"/>
  <c r="J64" i="81" s="1"/>
  <c r="J96" i="81"/>
  <c r="J97" i="81" s="1"/>
  <c r="J98" i="81" s="1"/>
  <c r="J20" i="18" s="1"/>
  <c r="J25" i="18" s="1"/>
  <c r="J162" i="122"/>
  <c r="J163" i="122" s="1"/>
  <c r="J36" i="122" s="1"/>
  <c r="J201" i="108"/>
  <c r="J202" i="108" s="1"/>
  <c r="E202" i="108"/>
  <c r="E203" i="108" s="1"/>
  <c r="E59" i="108" s="1"/>
  <c r="J132" i="148"/>
  <c r="J86" i="148"/>
  <c r="K214" i="154"/>
  <c r="K215" i="154" s="1"/>
  <c r="K193" i="90"/>
  <c r="K194" i="90" s="1"/>
  <c r="K195" i="90" s="1"/>
  <c r="K12" i="90" s="1"/>
  <c r="K159" i="90" s="1"/>
  <c r="K33" i="18" s="1"/>
  <c r="G196" i="83"/>
  <c r="G12" i="83" s="1"/>
  <c r="G199" i="83"/>
  <c r="E116" i="130"/>
  <c r="E117" i="130" s="1"/>
  <c r="E11" i="130" s="1"/>
  <c r="L199" i="83"/>
  <c r="L196" i="83"/>
  <c r="L12" i="83" s="1"/>
  <c r="J192" i="93"/>
  <c r="J193" i="93" s="1"/>
  <c r="J194" i="93" s="1"/>
  <c r="J12" i="93" s="1"/>
  <c r="F199" i="83"/>
  <c r="F196" i="83"/>
  <c r="F12" i="83" s="1"/>
  <c r="E215" i="154"/>
  <c r="F97" i="81"/>
  <c r="F98" i="81" s="1"/>
  <c r="F20" i="18" s="1"/>
  <c r="F25" i="18" s="1"/>
  <c r="I199" i="83"/>
  <c r="I196" i="83"/>
  <c r="I12" i="83" s="1"/>
  <c r="M199" i="83"/>
  <c r="M196" i="83"/>
  <c r="M12" i="83" s="1"/>
  <c r="I157" i="132"/>
  <c r="I156" i="132"/>
  <c r="I18" i="18" s="1"/>
  <c r="M156" i="132"/>
  <c r="M157" i="132"/>
  <c r="L157" i="132"/>
  <c r="L156" i="132"/>
  <c r="F154" i="132"/>
  <c r="F116" i="127"/>
  <c r="F117" i="127" s="1"/>
  <c r="F11" i="127" s="1"/>
  <c r="J154" i="132"/>
  <c r="J155" i="132" s="1"/>
  <c r="J116" i="127"/>
  <c r="J117" i="127" s="1"/>
  <c r="J11" i="127" s="1"/>
  <c r="J33" i="132" s="1"/>
  <c r="O157" i="132"/>
  <c r="O156" i="132"/>
  <c r="K156" i="132"/>
  <c r="K157" i="132"/>
  <c r="G156" i="132"/>
  <c r="G157" i="132"/>
  <c r="V77" i="108"/>
  <c r="S77" i="108"/>
  <c r="T65" i="121"/>
  <c r="R65" i="121"/>
  <c r="T59" i="121"/>
  <c r="R59" i="121"/>
  <c r="Q143" i="122"/>
  <c r="R142" i="122"/>
  <c r="T143" i="121"/>
  <c r="Q144" i="121"/>
  <c r="R143" i="121"/>
  <c r="I158" i="83"/>
  <c r="P75" i="18"/>
  <c r="P183" i="108"/>
  <c r="J75" i="18"/>
  <c r="J183" i="108"/>
  <c r="J203" i="108" s="1"/>
  <c r="L75" i="18"/>
  <c r="L183" i="108"/>
  <c r="L203" i="108" s="1"/>
  <c r="K183" i="108"/>
  <c r="K203" i="108" s="1"/>
  <c r="K59" i="108" s="1"/>
  <c r="K75" i="18"/>
  <c r="E150" i="93"/>
  <c r="F75" i="18"/>
  <c r="F183" i="108"/>
  <c r="F203" i="108" s="1"/>
  <c r="R67" i="121"/>
  <c r="T67" i="121"/>
  <c r="G75" i="18"/>
  <c r="G183" i="108"/>
  <c r="G203" i="108" s="1"/>
  <c r="G59" i="108" s="1"/>
  <c r="G19" i="18" s="1"/>
  <c r="G24" i="18" s="1"/>
  <c r="R61" i="121"/>
  <c r="T61" i="121"/>
  <c r="E75" i="18"/>
  <c r="Q182" i="108"/>
  <c r="Q183" i="108" s="1"/>
  <c r="I75" i="18"/>
  <c r="I183" i="108"/>
  <c r="I203" i="108" s="1"/>
  <c r="R47" i="121"/>
  <c r="T47" i="121"/>
  <c r="G91" i="132"/>
  <c r="G103" i="132" s="1"/>
  <c r="G104" i="132" s="1"/>
  <c r="G105" i="132" s="1"/>
  <c r="R69" i="81"/>
  <c r="K20" i="18"/>
  <c r="K25" i="18" s="1"/>
  <c r="L107" i="125"/>
  <c r="L108" i="125" s="1"/>
  <c r="L109" i="125" s="1"/>
  <c r="L110" i="125" s="1"/>
  <c r="N91" i="132"/>
  <c r="N103" i="132" s="1"/>
  <c r="L107" i="123"/>
  <c r="L108" i="123" s="1"/>
  <c r="L109" i="123" s="1"/>
  <c r="L110" i="123" s="1"/>
  <c r="L158" i="142"/>
  <c r="L159" i="142" s="1"/>
  <c r="L160" i="142" s="1"/>
  <c r="V87" i="108"/>
  <c r="V81" i="108"/>
  <c r="K158" i="142"/>
  <c r="K159" i="142" s="1"/>
  <c r="K160" i="142" s="1"/>
  <c r="H118" i="108"/>
  <c r="H130" i="108" s="1"/>
  <c r="I158" i="142"/>
  <c r="I159" i="142" s="1"/>
  <c r="I160" i="142" s="1"/>
  <c r="O69" i="130"/>
  <c r="O81" i="130" s="1"/>
  <c r="O82" i="130" s="1"/>
  <c r="M158" i="142"/>
  <c r="M159" i="142" s="1"/>
  <c r="M160" i="142" s="1"/>
  <c r="H70" i="142"/>
  <c r="H158" i="142" s="1"/>
  <c r="H69" i="127"/>
  <c r="H215" i="153"/>
  <c r="H216" i="153" s="1"/>
  <c r="O37" i="81"/>
  <c r="O45" i="81" s="1"/>
  <c r="O20" i="18" s="1"/>
  <c r="O25" i="18" s="1"/>
  <c r="O99" i="135"/>
  <c r="O55" i="81" s="1"/>
  <c r="O63" i="81" s="1"/>
  <c r="O64" i="81" s="1"/>
  <c r="I157" i="93"/>
  <c r="I158" i="93" s="1"/>
  <c r="I31" i="18" s="1"/>
  <c r="V65" i="108"/>
  <c r="N158" i="142"/>
  <c r="H158" i="139"/>
  <c r="G70" i="83"/>
  <c r="V69" i="108"/>
  <c r="O196" i="154"/>
  <c r="T161" i="124"/>
  <c r="R161" i="124"/>
  <c r="P158" i="142"/>
  <c r="O70" i="142"/>
  <c r="O158" i="142" s="1"/>
  <c r="O159" i="142" s="1"/>
  <c r="O160" i="142" s="1"/>
  <c r="H37" i="81"/>
  <c r="H45" i="81" s="1"/>
  <c r="F158" i="142"/>
  <c r="F159" i="142" s="1"/>
  <c r="F160" i="142" s="1"/>
  <c r="O14" i="155"/>
  <c r="O60" i="18"/>
  <c r="O87" i="140"/>
  <c r="O150" i="93"/>
  <c r="R161" i="119"/>
  <c r="U161" i="119"/>
  <c r="T155" i="134"/>
  <c r="R155" i="134"/>
  <c r="S181" i="108"/>
  <c r="R34" i="125"/>
  <c r="T34" i="125"/>
  <c r="T28" i="125"/>
  <c r="R36" i="125"/>
  <c r="T34" i="123"/>
  <c r="R34" i="123"/>
  <c r="T28" i="123"/>
  <c r="R36" i="123"/>
  <c r="U36" i="119"/>
  <c r="R36" i="119"/>
  <c r="Q74" i="18"/>
  <c r="R49" i="134"/>
  <c r="Q121" i="134"/>
  <c r="T49" i="134"/>
  <c r="U108" i="119"/>
  <c r="R108" i="119"/>
  <c r="T107" i="152"/>
  <c r="R107" i="152"/>
  <c r="Q109" i="152"/>
  <c r="T109" i="152" s="1"/>
  <c r="U28" i="119"/>
  <c r="Q109" i="119"/>
  <c r="Q110" i="126"/>
  <c r="T110" i="126" s="1"/>
  <c r="T109" i="126"/>
  <c r="G49" i="81"/>
  <c r="G123" i="134"/>
  <c r="Q78" i="81"/>
  <c r="M87" i="140"/>
  <c r="M27" i="91"/>
  <c r="M150" i="93"/>
  <c r="M196" i="154"/>
  <c r="M14" i="155"/>
  <c r="M60" i="18"/>
  <c r="Q204" i="153"/>
  <c r="T34" i="124"/>
  <c r="R34" i="124"/>
  <c r="R34" i="119"/>
  <c r="U34" i="119"/>
  <c r="H14" i="155"/>
  <c r="E87" i="140"/>
  <c r="O86" i="148"/>
  <c r="O132" i="148"/>
  <c r="O85" i="148"/>
  <c r="O69" i="127"/>
  <c r="O215" i="153"/>
  <c r="O216" i="153" s="1"/>
  <c r="O118" i="108"/>
  <c r="O130" i="108" s="1"/>
  <c r="Q202" i="153"/>
  <c r="Q214" i="153"/>
  <c r="Q213" i="153"/>
  <c r="E70" i="90"/>
  <c r="Q210" i="153"/>
  <c r="E70" i="143"/>
  <c r="Q212" i="153"/>
  <c r="Q211" i="153"/>
  <c r="Q209" i="153"/>
  <c r="E70" i="140"/>
  <c r="Q70" i="140" s="1"/>
  <c r="T209" i="153" s="1"/>
  <c r="Q208" i="153"/>
  <c r="Q201" i="153"/>
  <c r="E86" i="135"/>
  <c r="Q203" i="153"/>
  <c r="E71" i="148"/>
  <c r="Q205" i="153"/>
  <c r="E95" i="122"/>
  <c r="Q206" i="153"/>
  <c r="E96" i="121"/>
  <c r="Q96" i="121" s="1"/>
  <c r="I108" i="121"/>
  <c r="I109" i="121" s="1"/>
  <c r="I110" i="121" s="1"/>
  <c r="I111" i="121" s="1"/>
  <c r="G150" i="93"/>
  <c r="G87" i="140"/>
  <c r="G196" i="154"/>
  <c r="G60" i="18"/>
  <c r="G27" i="91"/>
  <c r="G107" i="124"/>
  <c r="G108" i="124" s="1"/>
  <c r="G109" i="124" s="1"/>
  <c r="G110" i="124" s="1"/>
  <c r="S100" i="108"/>
  <c r="V100" i="108"/>
  <c r="V27" i="108"/>
  <c r="Q50" i="108"/>
  <c r="S57" i="108" s="1"/>
  <c r="F16" i="18"/>
  <c r="F20" i="155" s="1"/>
  <c r="F130" i="108"/>
  <c r="F108" i="121"/>
  <c r="F109" i="121" s="1"/>
  <c r="F110" i="121" s="1"/>
  <c r="F111" i="121" s="1"/>
  <c r="Q200" i="153"/>
  <c r="V57" i="108"/>
  <c r="J39" i="18"/>
  <c r="P87" i="83"/>
  <c r="P158" i="83" s="1"/>
  <c r="P158" i="140"/>
  <c r="E27" i="91"/>
  <c r="E196" i="154"/>
  <c r="H60" i="18"/>
  <c r="H87" i="140"/>
  <c r="H27" i="91"/>
  <c r="H196" i="154"/>
  <c r="L150" i="93"/>
  <c r="L27" i="91"/>
  <c r="L196" i="154"/>
  <c r="L60" i="18"/>
  <c r="L87" i="140"/>
  <c r="N60" i="18"/>
  <c r="N87" i="140"/>
  <c r="N27" i="91"/>
  <c r="N196" i="154"/>
  <c r="N150" i="93"/>
  <c r="J87" i="83"/>
  <c r="J158" i="83" s="1"/>
  <c r="J158" i="140"/>
  <c r="J159" i="140" s="1"/>
  <c r="J160" i="140" s="1"/>
  <c r="P39" i="18"/>
  <c r="P25" i="155"/>
  <c r="K87" i="83"/>
  <c r="K158" i="83" s="1"/>
  <c r="K158" i="140"/>
  <c r="K159" i="140" s="1"/>
  <c r="K160" i="140" s="1"/>
  <c r="P32" i="18"/>
  <c r="P157" i="93"/>
  <c r="K39" i="18"/>
  <c r="K25" i="155"/>
  <c r="K32" i="18"/>
  <c r="K157" i="93"/>
  <c r="K158" i="93" s="1"/>
  <c r="K31" i="18" s="1"/>
  <c r="J32" i="18"/>
  <c r="J157" i="93"/>
  <c r="V11" i="18"/>
  <c r="Q16" i="18"/>
  <c r="M68" i="18"/>
  <c r="J68" i="18"/>
  <c r="U157" i="154"/>
  <c r="L108" i="121"/>
  <c r="M104" i="132"/>
  <c r="M105" i="132" s="1"/>
  <c r="L135" i="148"/>
  <c r="L136" i="148" s="1"/>
  <c r="I104" i="132"/>
  <c r="I105" i="132" s="1"/>
  <c r="G135" i="148"/>
  <c r="G136" i="148" s="1"/>
  <c r="L136" i="147"/>
  <c r="L137" i="147" s="1"/>
  <c r="L107" i="122"/>
  <c r="L108" i="122" s="1"/>
  <c r="F136" i="147"/>
  <c r="F137" i="147" s="1"/>
  <c r="O136" i="147"/>
  <c r="O137" i="147" s="1"/>
  <c r="I136" i="147"/>
  <c r="I137" i="147" s="1"/>
  <c r="G107" i="122"/>
  <c r="G108" i="122" s="1"/>
  <c r="G136" i="147"/>
  <c r="G137" i="147" s="1"/>
  <c r="F107" i="125" l="1"/>
  <c r="F108" i="125" s="1"/>
  <c r="F109" i="125" s="1"/>
  <c r="F110" i="125" s="1"/>
  <c r="F107" i="123"/>
  <c r="F108" i="123" s="1"/>
  <c r="F109" i="123" s="1"/>
  <c r="F110" i="123" s="1"/>
  <c r="F107" i="122"/>
  <c r="F108" i="122" s="1"/>
  <c r="J25" i="155"/>
  <c r="M135" i="148"/>
  <c r="M136" i="148" s="1"/>
  <c r="M107" i="122"/>
  <c r="M108" i="122" s="1"/>
  <c r="M109" i="122" s="1"/>
  <c r="M110" i="122" s="1"/>
  <c r="R170" i="154"/>
  <c r="E71" i="147"/>
  <c r="M136" i="147"/>
  <c r="M137" i="147" s="1"/>
  <c r="I107" i="122"/>
  <c r="I108" i="122" s="1"/>
  <c r="K159" i="83"/>
  <c r="K160" i="83" s="1"/>
  <c r="K119" i="132"/>
  <c r="M69" i="18"/>
  <c r="M76" i="18" s="1"/>
  <c r="L119" i="132"/>
  <c r="J104" i="132"/>
  <c r="J105" i="132" s="1"/>
  <c r="M107" i="123"/>
  <c r="M108" i="123" s="1"/>
  <c r="M109" i="123" s="1"/>
  <c r="M110" i="123" s="1"/>
  <c r="M107" i="125"/>
  <c r="M108" i="125" s="1"/>
  <c r="M109" i="125" s="1"/>
  <c r="M110" i="125" s="1"/>
  <c r="K18" i="18"/>
  <c r="K23" i="18" s="1"/>
  <c r="E215" i="153"/>
  <c r="E216" i="153" s="1"/>
  <c r="J158" i="93"/>
  <c r="J31" i="18" s="1"/>
  <c r="F14" i="155"/>
  <c r="Q14" i="155" s="1"/>
  <c r="F24" i="155"/>
  <c r="H20" i="18"/>
  <c r="H25" i="18" s="1"/>
  <c r="E52" i="18"/>
  <c r="V12" i="18"/>
  <c r="S43" i="90"/>
  <c r="J136" i="147"/>
  <c r="J137" i="147" s="1"/>
  <c r="L18" i="18"/>
  <c r="L23" i="18" s="1"/>
  <c r="O69" i="18"/>
  <c r="O76" i="18" s="1"/>
  <c r="V193" i="108"/>
  <c r="S193" i="108"/>
  <c r="G69" i="18"/>
  <c r="G76" i="18" s="1"/>
  <c r="I159" i="83"/>
  <c r="I30" i="18" s="1"/>
  <c r="I35" i="18" s="1"/>
  <c r="V83" i="108"/>
  <c r="Q69" i="127"/>
  <c r="S84" i="108"/>
  <c r="V84" i="108"/>
  <c r="M18" i="18"/>
  <c r="M23" i="18" s="1"/>
  <c r="I119" i="132"/>
  <c r="M119" i="132"/>
  <c r="G18" i="18"/>
  <c r="G21" i="18" s="1"/>
  <c r="G119" i="132"/>
  <c r="H194" i="90"/>
  <c r="H195" i="90" s="1"/>
  <c r="H12" i="90" s="1"/>
  <c r="H121" i="148"/>
  <c r="H115" i="127"/>
  <c r="H214" i="154"/>
  <c r="J194" i="139"/>
  <c r="J195" i="139" s="1"/>
  <c r="J12" i="139" s="1"/>
  <c r="J159" i="139" s="1"/>
  <c r="J160" i="139" s="1"/>
  <c r="J194" i="83"/>
  <c r="J195" i="83" s="1"/>
  <c r="J107" i="124"/>
  <c r="J108" i="124" s="1"/>
  <c r="J109" i="124" s="1"/>
  <c r="J110" i="124" s="1"/>
  <c r="J107" i="125"/>
  <c r="J108" i="125" s="1"/>
  <c r="J109" i="125" s="1"/>
  <c r="J110" i="125" s="1"/>
  <c r="J107" i="123"/>
  <c r="J108" i="123" s="1"/>
  <c r="J109" i="123" s="1"/>
  <c r="J110" i="123" s="1"/>
  <c r="H162" i="122"/>
  <c r="H163" i="122" s="1"/>
  <c r="H36" i="122" s="1"/>
  <c r="H194" i="139"/>
  <c r="H195" i="139" s="1"/>
  <c r="H12" i="139" s="1"/>
  <c r="H194" i="83"/>
  <c r="H115" i="130"/>
  <c r="E157" i="132"/>
  <c r="E156" i="132"/>
  <c r="E118" i="130"/>
  <c r="J133" i="148"/>
  <c r="J134" i="148"/>
  <c r="J108" i="121" s="1"/>
  <c r="J109" i="121" s="1"/>
  <c r="J110" i="121" s="1"/>
  <c r="J111" i="121" s="1"/>
  <c r="E199" i="83"/>
  <c r="E196" i="83"/>
  <c r="E12" i="83" s="1"/>
  <c r="H194" i="143"/>
  <c r="H195" i="143" s="1"/>
  <c r="H12" i="143" s="1"/>
  <c r="H162" i="121"/>
  <c r="H201" i="108" s="1"/>
  <c r="H121" i="147"/>
  <c r="H122" i="147" s="1"/>
  <c r="H12" i="147" s="1"/>
  <c r="E33" i="132"/>
  <c r="K107" i="124"/>
  <c r="K108" i="124" s="1"/>
  <c r="K109" i="124" s="1"/>
  <c r="K110" i="124" s="1"/>
  <c r="K107" i="125"/>
  <c r="K108" i="125" s="1"/>
  <c r="K109" i="125" s="1"/>
  <c r="K110" i="125" s="1"/>
  <c r="K107" i="123"/>
  <c r="Q75" i="18"/>
  <c r="H193" i="93"/>
  <c r="H194" i="93" s="1"/>
  <c r="H12" i="93" s="1"/>
  <c r="H194" i="140"/>
  <c r="H195" i="140" s="1"/>
  <c r="H12" i="140" s="1"/>
  <c r="H194" i="142"/>
  <c r="H195" i="142" s="1"/>
  <c r="H12" i="142" s="1"/>
  <c r="E82" i="127"/>
  <c r="K134" i="148"/>
  <c r="K108" i="121" s="1"/>
  <c r="K109" i="121" s="1"/>
  <c r="K110" i="121" s="1"/>
  <c r="K111" i="121" s="1"/>
  <c r="K133" i="148"/>
  <c r="F155" i="132"/>
  <c r="J156" i="132"/>
  <c r="J157" i="132"/>
  <c r="J82" i="127"/>
  <c r="F33" i="132"/>
  <c r="F82" i="127"/>
  <c r="G131" i="108"/>
  <c r="G132" i="108" s="1"/>
  <c r="G167" i="108"/>
  <c r="I59" i="108"/>
  <c r="I69" i="18"/>
  <c r="I76" i="18" s="1"/>
  <c r="L59" i="108"/>
  <c r="L69" i="18"/>
  <c r="L76" i="18" s="1"/>
  <c r="K69" i="18"/>
  <c r="K76" i="18" s="1"/>
  <c r="V182" i="108"/>
  <c r="S182" i="108"/>
  <c r="J59" i="108"/>
  <c r="R143" i="122"/>
  <c r="F59" i="108"/>
  <c r="F167" i="108" s="1"/>
  <c r="K19" i="18"/>
  <c r="K24" i="18" s="1"/>
  <c r="K167" i="108"/>
  <c r="K131" i="108"/>
  <c r="K132" i="108" s="1"/>
  <c r="R144" i="121"/>
  <c r="T144" i="121"/>
  <c r="H70" i="83"/>
  <c r="F128" i="121"/>
  <c r="T70" i="140"/>
  <c r="O70" i="83"/>
  <c r="O167" i="108"/>
  <c r="G110" i="121"/>
  <c r="G111" i="121" s="1"/>
  <c r="Q215" i="153"/>
  <c r="Q216" i="153" s="1"/>
  <c r="G87" i="149"/>
  <c r="H81" i="127"/>
  <c r="H91" i="132"/>
  <c r="H103" i="132" s="1"/>
  <c r="O87" i="83"/>
  <c r="O158" i="140"/>
  <c r="O159" i="140" s="1"/>
  <c r="O160" i="140" s="1"/>
  <c r="O39" i="18"/>
  <c r="O25" i="155"/>
  <c r="O32" i="18"/>
  <c r="O157" i="93"/>
  <c r="O158" i="93" s="1"/>
  <c r="M128" i="121"/>
  <c r="U78" i="81"/>
  <c r="R78" i="81"/>
  <c r="M32" i="18"/>
  <c r="M157" i="93"/>
  <c r="M158" i="93" s="1"/>
  <c r="G63" i="81"/>
  <c r="G64" i="81" s="1"/>
  <c r="Q49" i="81"/>
  <c r="U49" i="81" s="1"/>
  <c r="U109" i="119"/>
  <c r="Q110" i="119"/>
  <c r="U110" i="119" s="1"/>
  <c r="R121" i="134"/>
  <c r="Q123" i="134"/>
  <c r="T123" i="134" s="1"/>
  <c r="T121" i="134"/>
  <c r="M131" i="108"/>
  <c r="M132" i="108" s="1"/>
  <c r="M19" i="18"/>
  <c r="M24" i="18" s="1"/>
  <c r="V183" i="108"/>
  <c r="Q71" i="18"/>
  <c r="S183" i="108"/>
  <c r="M39" i="18"/>
  <c r="M25" i="155"/>
  <c r="M87" i="83"/>
  <c r="M158" i="83" s="1"/>
  <c r="M159" i="83" s="1"/>
  <c r="M158" i="140"/>
  <c r="M159" i="140" s="1"/>
  <c r="M160" i="140" s="1"/>
  <c r="O91" i="132"/>
  <c r="O103" i="132" s="1"/>
  <c r="O81" i="127"/>
  <c r="O82" i="127" s="1"/>
  <c r="O131" i="108"/>
  <c r="O132" i="108" s="1"/>
  <c r="O19" i="18"/>
  <c r="O24" i="18" s="1"/>
  <c r="O134" i="148"/>
  <c r="O108" i="121" s="1"/>
  <c r="O109" i="121" s="1"/>
  <c r="O110" i="121" s="1"/>
  <c r="O111" i="121" s="1"/>
  <c r="O133" i="148"/>
  <c r="O107" i="124"/>
  <c r="O108" i="124" s="1"/>
  <c r="O109" i="124" s="1"/>
  <c r="O110" i="124" s="1"/>
  <c r="O107" i="123"/>
  <c r="O107" i="125"/>
  <c r="O108" i="125" s="1"/>
  <c r="O109" i="125" s="1"/>
  <c r="O110" i="125" s="1"/>
  <c r="Q69" i="130"/>
  <c r="Q81" i="130" s="1"/>
  <c r="E81" i="130"/>
  <c r="E82" i="130" s="1"/>
  <c r="E91" i="132"/>
  <c r="E158" i="90"/>
  <c r="E159" i="90" s="1"/>
  <c r="E33" i="18" s="1"/>
  <c r="Q70" i="90"/>
  <c r="S70" i="90" s="1"/>
  <c r="Q70" i="143"/>
  <c r="R70" i="143" s="1"/>
  <c r="E158" i="143"/>
  <c r="E159" i="143" s="1"/>
  <c r="E160" i="143" s="1"/>
  <c r="E158" i="142"/>
  <c r="E159" i="142" s="1"/>
  <c r="E160" i="142" s="1"/>
  <c r="Q70" i="142"/>
  <c r="S70" i="142" s="1"/>
  <c r="Q70" i="141"/>
  <c r="E158" i="141"/>
  <c r="E159" i="141" s="1"/>
  <c r="E160" i="141" s="1"/>
  <c r="E70" i="83"/>
  <c r="E158" i="139"/>
  <c r="E159" i="139" s="1"/>
  <c r="E160" i="139" s="1"/>
  <c r="Q70" i="139"/>
  <c r="R70" i="139" s="1"/>
  <c r="E98" i="135"/>
  <c r="Q86" i="135"/>
  <c r="Q71" i="147"/>
  <c r="E83" i="147"/>
  <c r="E84" i="147" s="1"/>
  <c r="E86" i="147" s="1"/>
  <c r="E83" i="148"/>
  <c r="E84" i="148" s="1"/>
  <c r="Q71" i="148"/>
  <c r="R96" i="121"/>
  <c r="T206" i="153"/>
  <c r="T96" i="121"/>
  <c r="Q95" i="122"/>
  <c r="E118" i="108"/>
  <c r="I128" i="121"/>
  <c r="F87" i="149"/>
  <c r="I87" i="149"/>
  <c r="G87" i="83"/>
  <c r="G158" i="83" s="1"/>
  <c r="G159" i="83" s="1"/>
  <c r="G158" i="140"/>
  <c r="G159" i="140" s="1"/>
  <c r="G160" i="140" s="1"/>
  <c r="G39" i="18"/>
  <c r="G25" i="155"/>
  <c r="G32" i="18"/>
  <c r="G157" i="93"/>
  <c r="G158" i="93" s="1"/>
  <c r="G31" i="18" s="1"/>
  <c r="F150" i="93"/>
  <c r="F196" i="154"/>
  <c r="F60" i="18"/>
  <c r="F27" i="91"/>
  <c r="Q27" i="91" s="1"/>
  <c r="U27" i="91" s="1"/>
  <c r="F87" i="140"/>
  <c r="Q87" i="140" s="1"/>
  <c r="R12" i="149"/>
  <c r="S49" i="108"/>
  <c r="V50" i="108"/>
  <c r="R70" i="93"/>
  <c r="R70" i="140"/>
  <c r="R157" i="154"/>
  <c r="S11" i="18"/>
  <c r="H87" i="83"/>
  <c r="H158" i="140"/>
  <c r="N32" i="18"/>
  <c r="N157" i="93"/>
  <c r="L39" i="18"/>
  <c r="L25" i="155"/>
  <c r="N87" i="83"/>
  <c r="N158" i="83" s="1"/>
  <c r="N158" i="140"/>
  <c r="H39" i="18"/>
  <c r="H25" i="155"/>
  <c r="E87" i="83"/>
  <c r="E158" i="140"/>
  <c r="E159" i="140" s="1"/>
  <c r="E160" i="140" s="1"/>
  <c r="R139" i="93"/>
  <c r="R123" i="93"/>
  <c r="R115" i="93"/>
  <c r="R107" i="93"/>
  <c r="R99" i="93"/>
  <c r="R87" i="93"/>
  <c r="R75" i="93"/>
  <c r="R170" i="93"/>
  <c r="R131" i="93"/>
  <c r="R121" i="93"/>
  <c r="R113" i="93"/>
  <c r="R105" i="93"/>
  <c r="R95" i="93"/>
  <c r="R81" i="93"/>
  <c r="R129" i="93"/>
  <c r="R119" i="93"/>
  <c r="R111" i="93"/>
  <c r="R103" i="93"/>
  <c r="R93" i="93"/>
  <c r="R79" i="93"/>
  <c r="V16" i="18"/>
  <c r="S171" i="90"/>
  <c r="S172" i="142"/>
  <c r="R125" i="93"/>
  <c r="R117" i="93"/>
  <c r="R109" i="93"/>
  <c r="R101" i="93"/>
  <c r="R89" i="93"/>
  <c r="R77" i="93"/>
  <c r="S170" i="153"/>
  <c r="T170" i="153" s="1"/>
  <c r="S172" i="90"/>
  <c r="R171" i="140"/>
  <c r="R168" i="83"/>
  <c r="R167" i="93"/>
  <c r="S181" i="90"/>
  <c r="R21" i="83"/>
  <c r="R52" i="93"/>
  <c r="R140" i="83"/>
  <c r="R96" i="139"/>
  <c r="R187" i="83"/>
  <c r="R72" i="83"/>
  <c r="S95" i="142"/>
  <c r="R178" i="154"/>
  <c r="R175" i="143"/>
  <c r="S180" i="142"/>
  <c r="S55" i="90"/>
  <c r="R128" i="143"/>
  <c r="R151" i="93"/>
  <c r="R96" i="83"/>
  <c r="S68" i="90"/>
  <c r="R115" i="83"/>
  <c r="R26" i="139"/>
  <c r="R154" i="83"/>
  <c r="R124" i="140"/>
  <c r="R142" i="143"/>
  <c r="R179" i="154"/>
  <c r="R144" i="83"/>
  <c r="R46" i="83"/>
  <c r="R38" i="139"/>
  <c r="R44" i="93"/>
  <c r="S117" i="90"/>
  <c r="R191" i="139"/>
  <c r="R104" i="143"/>
  <c r="S76" i="142"/>
  <c r="R146" i="93"/>
  <c r="R79" i="140"/>
  <c r="R138" i="139"/>
  <c r="R102" i="139"/>
  <c r="R31" i="93"/>
  <c r="R143" i="140"/>
  <c r="R182" i="140"/>
  <c r="S85" i="142"/>
  <c r="S74" i="90"/>
  <c r="R37" i="154"/>
  <c r="S135" i="142"/>
  <c r="R90" i="83"/>
  <c r="R17" i="140"/>
  <c r="R183" i="139"/>
  <c r="R173" i="83"/>
  <c r="R172" i="140"/>
  <c r="R61" i="93"/>
  <c r="S71" i="142"/>
  <c r="R37" i="83"/>
  <c r="S36" i="90"/>
  <c r="R177" i="143"/>
  <c r="R114" i="93"/>
  <c r="R136" i="83"/>
  <c r="S127" i="90"/>
  <c r="S71" i="90"/>
  <c r="S74" i="142"/>
  <c r="R53" i="143"/>
  <c r="S46" i="142"/>
  <c r="R106" i="139"/>
  <c r="R72" i="139"/>
  <c r="R46" i="139"/>
  <c r="R86" i="140"/>
  <c r="S127" i="142"/>
  <c r="S154" i="142"/>
  <c r="R108" i="143"/>
  <c r="R97" i="143"/>
  <c r="S25" i="90"/>
  <c r="S34" i="18"/>
  <c r="S139" i="142"/>
  <c r="S38" i="90"/>
  <c r="R37" i="140"/>
  <c r="R93" i="140"/>
  <c r="R142" i="140"/>
  <c r="R66" i="83"/>
  <c r="S53" i="142"/>
  <c r="S164" i="142"/>
  <c r="S175" i="90"/>
  <c r="R119" i="83"/>
  <c r="R38" i="93"/>
  <c r="R18" i="91"/>
  <c r="R90" i="139"/>
  <c r="S168" i="142"/>
  <c r="R48" i="83"/>
  <c r="R137" i="83"/>
  <c r="R29" i="83"/>
  <c r="R144" i="154"/>
  <c r="R83" i="140"/>
  <c r="S108" i="142"/>
  <c r="R138" i="143"/>
  <c r="S177" i="142"/>
  <c r="S52" i="142"/>
  <c r="S155" i="142"/>
  <c r="R131" i="83"/>
  <c r="R64" i="83"/>
  <c r="S185" i="142"/>
  <c r="S166" i="142"/>
  <c r="R40" i="154"/>
  <c r="S12" i="18"/>
  <c r="R171" i="93"/>
  <c r="R171" i="143"/>
  <c r="R172" i="139"/>
  <c r="R45" i="154"/>
  <c r="R136" i="139"/>
  <c r="R189" i="143"/>
  <c r="S192" i="153"/>
  <c r="T192" i="153" s="1"/>
  <c r="R100" i="143"/>
  <c r="R26" i="143"/>
  <c r="R73" i="139"/>
  <c r="R120" i="143"/>
  <c r="R97" i="93"/>
  <c r="R130" i="143"/>
  <c r="R133" i="93"/>
  <c r="R126" i="139"/>
  <c r="R60" i="140"/>
  <c r="R91" i="139"/>
  <c r="R110" i="140"/>
  <c r="S133" i="142"/>
  <c r="R169" i="139"/>
  <c r="R47" i="140"/>
  <c r="R138" i="93"/>
  <c r="R32" i="143"/>
  <c r="R41" i="93"/>
  <c r="R181" i="83"/>
  <c r="R171" i="154"/>
  <c r="R80" i="83"/>
  <c r="R81" i="83"/>
  <c r="R25" i="83"/>
  <c r="S82" i="90"/>
  <c r="R137" i="93"/>
  <c r="S116" i="142"/>
  <c r="S185" i="90"/>
  <c r="R60" i="154"/>
  <c r="R49" i="83"/>
  <c r="R28" i="143"/>
  <c r="S88" i="90"/>
  <c r="R182" i="139"/>
  <c r="R23" i="140"/>
  <c r="R49" i="154"/>
  <c r="R108" i="83"/>
  <c r="R146" i="83"/>
  <c r="R33" i="83"/>
  <c r="R82" i="93"/>
  <c r="R96" i="93"/>
  <c r="R62" i="83"/>
  <c r="R146" i="143"/>
  <c r="R138" i="83"/>
  <c r="S92" i="90"/>
  <c r="S106" i="142"/>
  <c r="R166" i="140"/>
  <c r="R136" i="140"/>
  <c r="S130" i="90"/>
  <c r="R33" i="154"/>
  <c r="R154" i="154"/>
  <c r="S169" i="153"/>
  <c r="T169" i="153" s="1"/>
  <c r="S72" i="142"/>
  <c r="R173" i="93"/>
  <c r="R174" i="93"/>
  <c r="R105" i="83"/>
  <c r="R156" i="83"/>
  <c r="S156" i="142"/>
  <c r="R78" i="140"/>
  <c r="S95" i="90"/>
  <c r="R116" i="140"/>
  <c r="R168" i="93"/>
  <c r="R192" i="154"/>
  <c r="R91" i="83"/>
  <c r="S111" i="142"/>
  <c r="R127" i="93"/>
  <c r="R78" i="154"/>
  <c r="R169" i="140"/>
  <c r="R190" i="143"/>
  <c r="R16" i="83"/>
  <c r="R16" i="91"/>
  <c r="S162" i="153"/>
  <c r="T162" i="153" s="1"/>
  <c r="R85" i="93"/>
  <c r="R168" i="139"/>
  <c r="R191" i="83"/>
  <c r="R12" i="154"/>
  <c r="S166" i="153"/>
  <c r="T166" i="153" s="1"/>
  <c r="S171" i="153"/>
  <c r="T171" i="153" s="1"/>
  <c r="R45" i="93"/>
  <c r="R14" i="91"/>
  <c r="R173" i="139"/>
  <c r="S170" i="90"/>
  <c r="R141" i="154"/>
  <c r="R164" i="154"/>
  <c r="S13" i="18"/>
  <c r="R129" i="83"/>
  <c r="S168" i="90"/>
  <c r="S51" i="90"/>
  <c r="R156" i="154"/>
  <c r="R59" i="140"/>
  <c r="R20" i="83"/>
  <c r="R32" i="154"/>
  <c r="R163" i="93"/>
  <c r="R73" i="83"/>
  <c r="S148" i="142"/>
  <c r="S174" i="142"/>
  <c r="R145" i="83"/>
  <c r="R97" i="154"/>
  <c r="S192" i="142"/>
  <c r="R182" i="93"/>
  <c r="R99" i="83"/>
  <c r="R81" i="154"/>
  <c r="R145" i="143"/>
  <c r="R184" i="139"/>
  <c r="S115" i="90"/>
  <c r="R110" i="143"/>
  <c r="S165" i="142"/>
  <c r="S177" i="90"/>
  <c r="R80" i="140"/>
  <c r="R109" i="154"/>
  <c r="R145" i="154"/>
  <c r="S41" i="90"/>
  <c r="R156" i="139"/>
  <c r="R25" i="140"/>
  <c r="R42" i="139"/>
  <c r="R176" i="154"/>
  <c r="R63" i="154"/>
  <c r="S130" i="142"/>
  <c r="S54" i="142"/>
  <c r="S147" i="90"/>
  <c r="S102" i="90"/>
  <c r="S103" i="90"/>
  <c r="S174" i="90"/>
  <c r="R101" i="154"/>
  <c r="R148" i="83"/>
  <c r="S100" i="90"/>
  <c r="R115" i="140"/>
  <c r="R140" i="139"/>
  <c r="S149" i="90"/>
  <c r="R139" i="139"/>
  <c r="R45" i="83"/>
  <c r="R188" i="140"/>
  <c r="R141" i="139"/>
  <c r="R43" i="139"/>
  <c r="R75" i="154"/>
  <c r="R149" i="139"/>
  <c r="R82" i="143"/>
  <c r="R59" i="93"/>
  <c r="R130" i="140"/>
  <c r="R64" i="139"/>
  <c r="S85" i="90"/>
  <c r="R153" i="143"/>
  <c r="S15" i="142"/>
  <c r="R149" i="143"/>
  <c r="R39" i="93"/>
  <c r="R129" i="139"/>
  <c r="R57" i="143"/>
  <c r="S180" i="90"/>
  <c r="S28" i="142"/>
  <c r="R143" i="83"/>
  <c r="S181" i="153"/>
  <c r="T181" i="153" s="1"/>
  <c r="R94" i="140"/>
  <c r="R69" i="93"/>
  <c r="R103" i="143"/>
  <c r="R35" i="139"/>
  <c r="R58" i="139"/>
  <c r="R32" i="83"/>
  <c r="R124" i="83"/>
  <c r="R153" i="93"/>
  <c r="R40" i="140"/>
  <c r="S151" i="142"/>
  <c r="R16" i="143"/>
  <c r="R121" i="143"/>
  <c r="R60" i="93"/>
  <c r="R165" i="83"/>
  <c r="R182" i="83"/>
  <c r="R172" i="143"/>
  <c r="R177" i="93"/>
  <c r="R61" i="154"/>
  <c r="R123" i="83"/>
  <c r="R106" i="83"/>
  <c r="R142" i="139"/>
  <c r="R163" i="154"/>
  <c r="R146" i="139"/>
  <c r="S193" i="153"/>
  <c r="T193" i="153" s="1"/>
  <c r="S84" i="90"/>
  <c r="R82" i="139"/>
  <c r="S175" i="153"/>
  <c r="T175" i="153" s="1"/>
  <c r="R23" i="83"/>
  <c r="R112" i="140"/>
  <c r="R76" i="83"/>
  <c r="S76" i="90"/>
  <c r="R130" i="139"/>
  <c r="R63" i="140"/>
  <c r="R179" i="139"/>
  <c r="R151" i="143"/>
  <c r="S114" i="90"/>
  <c r="S98" i="90"/>
  <c r="S192" i="90"/>
  <c r="R97" i="83"/>
  <c r="R71" i="83"/>
  <c r="R181" i="139"/>
  <c r="S131" i="90"/>
  <c r="S45" i="18"/>
  <c r="R147" i="83"/>
  <c r="R166" i="154"/>
  <c r="R25" i="93"/>
  <c r="R66" i="93"/>
  <c r="R104" i="83"/>
  <c r="R84" i="139"/>
  <c r="S31" i="142"/>
  <c r="R38" i="83"/>
  <c r="R176" i="93"/>
  <c r="R110" i="83"/>
  <c r="R42" i="83"/>
  <c r="S40" i="90"/>
  <c r="S37" i="90"/>
  <c r="R29" i="93"/>
  <c r="R89" i="83"/>
  <c r="R126" i="143"/>
  <c r="R37" i="143"/>
  <c r="R29" i="143"/>
  <c r="R21" i="143"/>
  <c r="R72" i="140"/>
  <c r="R100" i="140"/>
  <c r="R18" i="83"/>
  <c r="R107" i="140"/>
  <c r="S42" i="142"/>
  <c r="R20" i="143"/>
  <c r="R140" i="93"/>
  <c r="R75" i="140"/>
  <c r="R184" i="143"/>
  <c r="S176" i="153"/>
  <c r="T176" i="153" s="1"/>
  <c r="S67" i="142"/>
  <c r="R65" i="93"/>
  <c r="R89" i="154"/>
  <c r="R32" i="140"/>
  <c r="R84" i="143"/>
  <c r="R21" i="93"/>
  <c r="R55" i="83"/>
  <c r="R141" i="143"/>
  <c r="S114" i="142"/>
  <c r="R16" i="140"/>
  <c r="S181" i="142"/>
  <c r="R148" i="139"/>
  <c r="R148" i="93"/>
  <c r="R133" i="83"/>
  <c r="R49" i="93"/>
  <c r="S45" i="90"/>
  <c r="R108" i="154"/>
  <c r="R31" i="143"/>
  <c r="S47" i="90"/>
  <c r="R104" i="93"/>
  <c r="R106" i="140"/>
  <c r="S123" i="90"/>
  <c r="R82" i="154"/>
  <c r="R119" i="140"/>
  <c r="R28" i="139"/>
  <c r="R48" i="154"/>
  <c r="R135" i="140"/>
  <c r="S78" i="90"/>
  <c r="R133" i="154"/>
  <c r="S73" i="142"/>
  <c r="R185" i="140"/>
  <c r="R88" i="93"/>
  <c r="S48" i="90"/>
  <c r="R90" i="143"/>
  <c r="R119" i="139"/>
  <c r="R116" i="154"/>
  <c r="R95" i="140"/>
  <c r="S36" i="142"/>
  <c r="R30" i="83"/>
  <c r="S101" i="142"/>
  <c r="R121" i="140"/>
  <c r="S29" i="142"/>
  <c r="R76" i="143"/>
  <c r="R52" i="143"/>
  <c r="R69" i="140"/>
  <c r="R156" i="93"/>
  <c r="S171" i="142"/>
  <c r="R13" i="155"/>
  <c r="S51" i="142"/>
  <c r="R62" i="143"/>
  <c r="R43" i="140"/>
  <c r="R126" i="83"/>
  <c r="S178" i="90"/>
  <c r="R134" i="83"/>
  <c r="R69" i="143"/>
  <c r="S27" i="142"/>
  <c r="R122" i="93"/>
  <c r="R169" i="143"/>
  <c r="R13" i="91"/>
  <c r="R132" i="154"/>
  <c r="R166" i="143"/>
  <c r="S24" i="90"/>
  <c r="S135" i="90"/>
  <c r="R118" i="139"/>
  <c r="R113" i="143"/>
  <c r="R76" i="139"/>
  <c r="R178" i="139"/>
  <c r="R54" i="139"/>
  <c r="R29" i="154"/>
  <c r="R19" i="155"/>
  <c r="R148" i="154"/>
  <c r="S90" i="90"/>
  <c r="S190" i="142"/>
  <c r="R177" i="154"/>
  <c r="R121" i="139"/>
  <c r="S169" i="90"/>
  <c r="R168" i="140"/>
  <c r="R58" i="83"/>
  <c r="R42" i="93"/>
  <c r="S39" i="90"/>
  <c r="R68" i="143"/>
  <c r="R170" i="143"/>
  <c r="R84" i="140"/>
  <c r="S62" i="142"/>
  <c r="S47" i="18"/>
  <c r="S168" i="153"/>
  <c r="T168" i="153" s="1"/>
  <c r="R45" i="143"/>
  <c r="S107" i="90"/>
  <c r="S75" i="90"/>
  <c r="S96" i="90"/>
  <c r="S38" i="142"/>
  <c r="R178" i="93"/>
  <c r="R103" i="139"/>
  <c r="S19" i="142"/>
  <c r="S123" i="142"/>
  <c r="S115" i="142"/>
  <c r="S91" i="142"/>
  <c r="S61" i="90"/>
  <c r="S189" i="142"/>
  <c r="R120" i="154"/>
  <c r="S47" i="142"/>
  <c r="R61" i="143"/>
  <c r="R36" i="154"/>
  <c r="R78" i="143"/>
  <c r="R93" i="83"/>
  <c r="R94" i="83"/>
  <c r="S110" i="142"/>
  <c r="S152" i="90"/>
  <c r="R62" i="93"/>
  <c r="R139" i="140"/>
  <c r="R129" i="140"/>
  <c r="S184" i="142"/>
  <c r="R104" i="140"/>
  <c r="S142" i="142"/>
  <c r="S173" i="153"/>
  <c r="T173" i="153" s="1"/>
  <c r="R128" i="140"/>
  <c r="R94" i="139"/>
  <c r="R52" i="83"/>
  <c r="R71" i="140"/>
  <c r="R192" i="140"/>
  <c r="R147" i="139"/>
  <c r="R28" i="83"/>
  <c r="R171" i="139"/>
  <c r="R112" i="154"/>
  <c r="R65" i="83"/>
  <c r="R182" i="154"/>
  <c r="R167" i="154"/>
  <c r="R24" i="143"/>
  <c r="R135" i="83"/>
  <c r="R85" i="143"/>
  <c r="R129" i="143"/>
  <c r="R117" i="139"/>
  <c r="R125" i="143"/>
  <c r="S15" i="18"/>
  <c r="R50" i="83"/>
  <c r="S126" i="142"/>
  <c r="R77" i="143"/>
  <c r="R19" i="140"/>
  <c r="S189" i="153"/>
  <c r="T189" i="153" s="1"/>
  <c r="S175" i="142"/>
  <c r="S82" i="142"/>
  <c r="R106" i="143"/>
  <c r="R147" i="143"/>
  <c r="R155" i="83"/>
  <c r="R128" i="139"/>
  <c r="R88" i="83"/>
  <c r="R185" i="143"/>
  <c r="S167" i="153"/>
  <c r="T167" i="153" s="1"/>
  <c r="R21" i="155"/>
  <c r="S72" i="90"/>
  <c r="R140" i="143"/>
  <c r="R142" i="83"/>
  <c r="R50" i="93"/>
  <c r="S87" i="142"/>
  <c r="S139" i="90"/>
  <c r="R106" i="93"/>
  <c r="R44" i="154"/>
  <c r="R52" i="154"/>
  <c r="S43" i="18"/>
  <c r="S142" i="90"/>
  <c r="R174" i="154"/>
  <c r="R175" i="139"/>
  <c r="S183" i="153"/>
  <c r="T183" i="153" s="1"/>
  <c r="S140" i="142"/>
  <c r="R122" i="83"/>
  <c r="R184" i="83"/>
  <c r="R189" i="154"/>
  <c r="R27" i="83"/>
  <c r="R66" i="154"/>
  <c r="R101" i="143"/>
  <c r="S50" i="90"/>
  <c r="R124" i="93"/>
  <c r="R65" i="140"/>
  <c r="S113" i="90"/>
  <c r="R118" i="83"/>
  <c r="S73" i="90"/>
  <c r="R61" i="83"/>
  <c r="S88" i="142"/>
  <c r="R44" i="143"/>
  <c r="R139" i="154"/>
  <c r="S151" i="90"/>
  <c r="R24" i="83"/>
  <c r="R190" i="83"/>
  <c r="R153" i="154"/>
  <c r="R136" i="154"/>
  <c r="S178" i="153"/>
  <c r="T178" i="153" s="1"/>
  <c r="R75" i="143"/>
  <c r="R91" i="143"/>
  <c r="R92" i="139"/>
  <c r="R71" i="154"/>
  <c r="S179" i="142"/>
  <c r="S146" i="142"/>
  <c r="S54" i="90"/>
  <c r="R188" i="143"/>
  <c r="R74" i="143"/>
  <c r="R146" i="154"/>
  <c r="S143" i="142"/>
  <c r="R30" i="93"/>
  <c r="R73" i="140"/>
  <c r="S80" i="90"/>
  <c r="S129" i="90"/>
  <c r="S94" i="142"/>
  <c r="R108" i="93"/>
  <c r="R26" i="140"/>
  <c r="R51" i="83"/>
  <c r="R119" i="154"/>
  <c r="R51" i="143"/>
  <c r="R120" i="139"/>
  <c r="S132" i="90"/>
  <c r="R131" i="143"/>
  <c r="S122" i="142"/>
  <c r="R140" i="140"/>
  <c r="S49" i="142"/>
  <c r="S89" i="142"/>
  <c r="R78" i="139"/>
  <c r="R107" i="154"/>
  <c r="R103" i="140"/>
  <c r="R137" i="139"/>
  <c r="S16" i="18"/>
  <c r="R35" i="154"/>
  <c r="S75" i="142"/>
  <c r="R56" i="83"/>
  <c r="S110" i="90"/>
  <c r="R82" i="83"/>
  <c r="R41" i="83"/>
  <c r="R31" i="140"/>
  <c r="R65" i="154"/>
  <c r="R168" i="154"/>
  <c r="R27" i="143"/>
  <c r="S164" i="153"/>
  <c r="T164" i="153" s="1"/>
  <c r="S120" i="142"/>
  <c r="R190" i="93"/>
  <c r="R154" i="143"/>
  <c r="R155" i="139"/>
  <c r="S18" i="142"/>
  <c r="R134" i="154"/>
  <c r="R111" i="139"/>
  <c r="R30" i="154"/>
  <c r="R128" i="83"/>
  <c r="R75" i="139"/>
  <c r="R39" i="83"/>
  <c r="R154" i="140"/>
  <c r="S184" i="90"/>
  <c r="R54" i="83"/>
  <c r="R111" i="83"/>
  <c r="R178" i="140"/>
  <c r="R28" i="140"/>
  <c r="R97" i="140"/>
  <c r="R66" i="143"/>
  <c r="R116" i="139"/>
  <c r="S145" i="142"/>
  <c r="S149" i="142"/>
  <c r="R24" i="139"/>
  <c r="R137" i="154"/>
  <c r="R83" i="93"/>
  <c r="R174" i="83"/>
  <c r="S190" i="153"/>
  <c r="T190" i="153" s="1"/>
  <c r="R52" i="140"/>
  <c r="R84" i="83"/>
  <c r="S68" i="142"/>
  <c r="R77" i="154"/>
  <c r="R23" i="93"/>
  <c r="R98" i="140"/>
  <c r="R141" i="93"/>
  <c r="R182" i="143"/>
  <c r="R85" i="139"/>
  <c r="S14" i="18"/>
  <c r="S182" i="90"/>
  <c r="R68" i="140"/>
  <c r="R145" i="93"/>
  <c r="S150" i="90"/>
  <c r="R124" i="139"/>
  <c r="R79" i="154"/>
  <c r="S112" i="142"/>
  <c r="R68" i="83"/>
  <c r="R90" i="154"/>
  <c r="R114" i="143"/>
  <c r="R151" i="154"/>
  <c r="R94" i="154"/>
  <c r="R20" i="140"/>
  <c r="R47" i="83"/>
  <c r="R118" i="93"/>
  <c r="R111" i="140"/>
  <c r="R22" i="140"/>
  <c r="S94" i="90"/>
  <c r="R125" i="154"/>
  <c r="R38" i="140"/>
  <c r="S90" i="142"/>
  <c r="R28" i="93"/>
  <c r="S24" i="142"/>
  <c r="S66" i="90"/>
  <c r="R124" i="143"/>
  <c r="R142" i="154"/>
  <c r="R23" i="143"/>
  <c r="R29" i="139"/>
  <c r="R136" i="143"/>
  <c r="S61" i="142"/>
  <c r="R86" i="139"/>
  <c r="S179" i="153"/>
  <c r="T179" i="153" s="1"/>
  <c r="R102" i="140"/>
  <c r="R47" i="143"/>
  <c r="R113" i="83"/>
  <c r="R122" i="154"/>
  <c r="R174" i="139"/>
  <c r="R28" i="154"/>
  <c r="S64" i="90"/>
  <c r="S44" i="90"/>
  <c r="R98" i="139"/>
  <c r="S79" i="90"/>
  <c r="R96" i="143"/>
  <c r="R68" i="154"/>
  <c r="S155" i="90"/>
  <c r="R109" i="140"/>
  <c r="R164" i="139"/>
  <c r="S34" i="142"/>
  <c r="R190" i="139"/>
  <c r="R108" i="139"/>
  <c r="R69" i="83"/>
  <c r="S148" i="90"/>
  <c r="R67" i="140"/>
  <c r="S97" i="142"/>
  <c r="S79" i="142"/>
  <c r="R35" i="83"/>
  <c r="R145" i="140"/>
  <c r="R86" i="154"/>
  <c r="R92" i="143"/>
  <c r="R165" i="143"/>
  <c r="R147" i="140"/>
  <c r="R44" i="140"/>
  <c r="R83" i="83"/>
  <c r="R105" i="143"/>
  <c r="R64" i="93"/>
  <c r="S77" i="90"/>
  <c r="R15" i="139"/>
  <c r="R39" i="154"/>
  <c r="R32" i="139"/>
  <c r="R125" i="140"/>
  <c r="S118" i="142"/>
  <c r="S59" i="90"/>
  <c r="R152" i="154"/>
  <c r="R69" i="154"/>
  <c r="R183" i="140"/>
  <c r="R104" i="139"/>
  <c r="R123" i="154"/>
  <c r="R18" i="140"/>
  <c r="R74" i="140"/>
  <c r="R112" i="93"/>
  <c r="S25" i="142"/>
  <c r="R55" i="139"/>
  <c r="R88" i="154"/>
  <c r="R113" i="140"/>
  <c r="R100" i="139"/>
  <c r="S117" i="142"/>
  <c r="R181" i="93"/>
  <c r="R113" i="154"/>
  <c r="S165" i="90"/>
  <c r="R107" i="139"/>
  <c r="S147" i="142"/>
  <c r="R126" i="93"/>
  <c r="R27" i="140"/>
  <c r="S103" i="142"/>
  <c r="R134" i="93"/>
  <c r="S170" i="142"/>
  <c r="R79" i="139"/>
  <c r="S63" i="142"/>
  <c r="S183" i="142"/>
  <c r="R57" i="139"/>
  <c r="R37" i="93"/>
  <c r="S98" i="142"/>
  <c r="R92" i="83"/>
  <c r="R135" i="154"/>
  <c r="R102" i="83"/>
  <c r="R78" i="83"/>
  <c r="S131" i="142"/>
  <c r="R153" i="83"/>
  <c r="S43" i="142"/>
  <c r="R94" i="143"/>
  <c r="R128" i="154"/>
  <c r="R148" i="140"/>
  <c r="R55" i="140"/>
  <c r="S187" i="142"/>
  <c r="R81" i="139"/>
  <c r="R187" i="140"/>
  <c r="R149" i="154"/>
  <c r="S93" i="90"/>
  <c r="S26" i="142"/>
  <c r="R148" i="143"/>
  <c r="R65" i="139"/>
  <c r="R191" i="154"/>
  <c r="R79" i="143"/>
  <c r="R102" i="93"/>
  <c r="R49" i="143"/>
  <c r="R71" i="143"/>
  <c r="S128" i="90"/>
  <c r="R35" i="140"/>
  <c r="R105" i="154"/>
  <c r="R130" i="154"/>
  <c r="R63" i="83"/>
  <c r="R135" i="93"/>
  <c r="R22" i="143"/>
  <c r="R37" i="139"/>
  <c r="R41" i="139"/>
  <c r="R156" i="140"/>
  <c r="S46" i="90"/>
  <c r="R30" i="140"/>
  <c r="R90" i="93"/>
  <c r="S109" i="90"/>
  <c r="R133" i="143"/>
  <c r="R59" i="83"/>
  <c r="R21" i="139"/>
  <c r="R17" i="155"/>
  <c r="R34" i="154"/>
  <c r="S81" i="90"/>
  <c r="R50" i="139"/>
  <c r="S173" i="90"/>
  <c r="R89" i="139"/>
  <c r="R170" i="83"/>
  <c r="S124" i="90"/>
  <c r="S44" i="142"/>
  <c r="S107" i="142"/>
  <c r="S33" i="142"/>
  <c r="R17" i="143"/>
  <c r="S191" i="153"/>
  <c r="T191" i="153" s="1"/>
  <c r="R152" i="139"/>
  <c r="R69" i="139"/>
  <c r="R146" i="140"/>
  <c r="R68" i="139"/>
  <c r="S112" i="90"/>
  <c r="R133" i="139"/>
  <c r="R152" i="93"/>
  <c r="R169" i="154"/>
  <c r="R67" i="93"/>
  <c r="S97" i="90"/>
  <c r="R57" i="154"/>
  <c r="R127" i="154"/>
  <c r="S30" i="90"/>
  <c r="R114" i="139"/>
  <c r="R42" i="154"/>
  <c r="R44" i="139"/>
  <c r="R53" i="154"/>
  <c r="R172" i="154"/>
  <c r="S67" i="90"/>
  <c r="R168" i="143"/>
  <c r="S137" i="142"/>
  <c r="R152" i="83"/>
  <c r="R23" i="154"/>
  <c r="R38" i="143"/>
  <c r="R93" i="143"/>
  <c r="R40" i="143"/>
  <c r="R27" i="139"/>
  <c r="R84" i="154"/>
  <c r="R174" i="140"/>
  <c r="S153" i="90"/>
  <c r="R157" i="139"/>
  <c r="R22" i="139"/>
  <c r="R180" i="143"/>
  <c r="R99" i="143"/>
  <c r="R36" i="143"/>
  <c r="S180" i="153"/>
  <c r="T180" i="153" s="1"/>
  <c r="R74" i="93"/>
  <c r="R21" i="140"/>
  <c r="R130" i="83"/>
  <c r="R164" i="93"/>
  <c r="S132" i="142"/>
  <c r="R40" i="93"/>
  <c r="R189" i="139"/>
  <c r="R56" i="154"/>
  <c r="S27" i="90"/>
  <c r="R16" i="139"/>
  <c r="R132" i="139"/>
  <c r="R191" i="143"/>
  <c r="R143" i="143"/>
  <c r="S57" i="90"/>
  <c r="R114" i="154"/>
  <c r="R95" i="139"/>
  <c r="R144" i="139"/>
  <c r="R128" i="93"/>
  <c r="S141" i="90"/>
  <c r="R162" i="154"/>
  <c r="R147" i="93"/>
  <c r="R154" i="139"/>
  <c r="R79" i="83"/>
  <c r="S48" i="142"/>
  <c r="S63" i="90"/>
  <c r="R169" i="93"/>
  <c r="S89" i="90"/>
  <c r="R151" i="83"/>
  <c r="R111" i="154"/>
  <c r="S21" i="142"/>
  <c r="S136" i="142"/>
  <c r="R192" i="139"/>
  <c r="S109" i="142"/>
  <c r="R144" i="93"/>
  <c r="R70" i="154"/>
  <c r="R164" i="140"/>
  <c r="S44" i="18"/>
  <c r="R187" i="139"/>
  <c r="R108" i="140"/>
  <c r="S81" i="142"/>
  <c r="R41" i="140"/>
  <c r="R45" i="140"/>
  <c r="R150" i="154"/>
  <c r="R35" i="93"/>
  <c r="S69" i="142"/>
  <c r="R92" i="140"/>
  <c r="R122" i="139"/>
  <c r="S157" i="142"/>
  <c r="S29" i="90"/>
  <c r="R26" i="93"/>
  <c r="S125" i="90"/>
  <c r="R15" i="83"/>
  <c r="S104" i="90"/>
  <c r="R95" i="154"/>
  <c r="S65" i="90"/>
  <c r="R123" i="139"/>
  <c r="S28" i="90"/>
  <c r="R39" i="143"/>
  <c r="S35" i="90"/>
  <c r="S56" i="142"/>
  <c r="R150" i="143"/>
  <c r="R120" i="93"/>
  <c r="R18" i="143"/>
  <c r="R126" i="140"/>
  <c r="R174" i="143"/>
  <c r="R191" i="93"/>
  <c r="R155" i="154"/>
  <c r="R147" i="154"/>
  <c r="R94" i="93"/>
  <c r="R65" i="143"/>
  <c r="R110" i="154"/>
  <c r="R111" i="143"/>
  <c r="R63" i="93"/>
  <c r="R145" i="139"/>
  <c r="S34" i="90"/>
  <c r="R87" i="139"/>
  <c r="R133" i="140"/>
  <c r="R100" i="154"/>
  <c r="R134" i="140"/>
  <c r="R172" i="93"/>
  <c r="R76" i="140"/>
  <c r="R59" i="139"/>
  <c r="S23" i="90"/>
  <c r="S84" i="142"/>
  <c r="R42" i="143"/>
  <c r="S191" i="90"/>
  <c r="R183" i="93"/>
  <c r="R115" i="143"/>
  <c r="S92" i="142"/>
  <c r="R89" i="140"/>
  <c r="R85" i="154"/>
  <c r="R116" i="143"/>
  <c r="R34" i="93"/>
  <c r="S133" i="90"/>
  <c r="R71" i="139"/>
  <c r="R72" i="154"/>
  <c r="R43" i="93"/>
  <c r="R18" i="139"/>
  <c r="R67" i="154"/>
  <c r="S137" i="90"/>
  <c r="R153" i="140"/>
  <c r="R34" i="139"/>
  <c r="R27" i="93"/>
  <c r="R153" i="139"/>
  <c r="R179" i="143"/>
  <c r="S62" i="90"/>
  <c r="S20" i="142"/>
  <c r="R104" i="154"/>
  <c r="S56" i="90"/>
  <c r="R181" i="140"/>
  <c r="R125" i="139"/>
  <c r="R53" i="93"/>
  <c r="R47" i="93"/>
  <c r="R33" i="140"/>
  <c r="R126" i="154"/>
  <c r="S120" i="90"/>
  <c r="R56" i="140"/>
  <c r="R33" i="143"/>
  <c r="R15" i="91"/>
  <c r="R19" i="139"/>
  <c r="R129" i="154"/>
  <c r="R119" i="143"/>
  <c r="S134" i="142"/>
  <c r="R107" i="83"/>
  <c r="R52" i="139"/>
  <c r="R74" i="154"/>
  <c r="S169" i="142"/>
  <c r="R144" i="140"/>
  <c r="R151" i="140"/>
  <c r="R120" i="83"/>
  <c r="R27" i="154"/>
  <c r="R51" i="93"/>
  <c r="R114" i="140"/>
  <c r="R73" i="143"/>
  <c r="R72" i="93"/>
  <c r="R36" i="140"/>
  <c r="S58" i="142"/>
  <c r="S58" i="90"/>
  <c r="R53" i="83"/>
  <c r="S26" i="90"/>
  <c r="R74" i="83"/>
  <c r="R170" i="139"/>
  <c r="R178" i="143"/>
  <c r="R101" i="140"/>
  <c r="R24" i="154"/>
  <c r="S31" i="90"/>
  <c r="R105" i="140"/>
  <c r="R80" i="154"/>
  <c r="S105" i="142"/>
  <c r="R97" i="139"/>
  <c r="S32" i="90"/>
  <c r="S96" i="142"/>
  <c r="S99" i="142"/>
  <c r="S37" i="142"/>
  <c r="R100" i="83"/>
  <c r="R80" i="143"/>
  <c r="R98" i="83"/>
  <c r="R117" i="83"/>
  <c r="S108" i="90"/>
  <c r="R149" i="140"/>
  <c r="R192" i="143"/>
  <c r="S105" i="90"/>
  <c r="R51" i="139"/>
  <c r="R89" i="143"/>
  <c r="R68" i="93"/>
  <c r="R127" i="140"/>
  <c r="S124" i="142"/>
  <c r="R24" i="93"/>
  <c r="R46" i="140"/>
  <c r="R127" i="139"/>
  <c r="S86" i="142"/>
  <c r="S77" i="142"/>
  <c r="R181" i="154"/>
  <c r="S50" i="142"/>
  <c r="S118" i="90"/>
  <c r="R149" i="83"/>
  <c r="R110" i="93"/>
  <c r="S164" i="90"/>
  <c r="R156" i="143"/>
  <c r="R31" i="139"/>
  <c r="S154" i="90"/>
  <c r="R60" i="143"/>
  <c r="S45" i="142"/>
  <c r="R58" i="143"/>
  <c r="S179" i="90"/>
  <c r="R93" i="154"/>
  <c r="R155" i="93"/>
  <c r="S141" i="142"/>
  <c r="R80" i="93"/>
  <c r="S52" i="90"/>
  <c r="R122" i="143"/>
  <c r="S182" i="153"/>
  <c r="T182" i="153" s="1"/>
  <c r="R115" i="139"/>
  <c r="S87" i="90"/>
  <c r="S121" i="142"/>
  <c r="R82" i="140"/>
  <c r="R85" i="83"/>
  <c r="R102" i="154"/>
  <c r="S125" i="142"/>
  <c r="R26" i="83"/>
  <c r="R103" i="83"/>
  <c r="R132" i="140"/>
  <c r="R22" i="155"/>
  <c r="R137" i="140"/>
  <c r="R25" i="154"/>
  <c r="S173" i="142"/>
  <c r="R154" i="93"/>
  <c r="R34" i="140"/>
  <c r="R109" i="139"/>
  <c r="R60" i="83"/>
  <c r="R180" i="154"/>
  <c r="R46" i="93"/>
  <c r="S104" i="142"/>
  <c r="R141" i="83"/>
  <c r="R179" i="83"/>
  <c r="R164" i="83"/>
  <c r="R165" i="139"/>
  <c r="R165" i="93"/>
  <c r="S144" i="142"/>
  <c r="R166" i="139"/>
  <c r="R180" i="83"/>
  <c r="S122" i="90"/>
  <c r="S60" i="90"/>
  <c r="R58" i="93"/>
  <c r="R101" i="83"/>
  <c r="R110" i="139"/>
  <c r="R63" i="139"/>
  <c r="R77" i="140"/>
  <c r="R76" i="93"/>
  <c r="R72" i="143"/>
  <c r="R175" i="154"/>
  <c r="R75" i="83"/>
  <c r="R157" i="140"/>
  <c r="R22" i="93"/>
  <c r="R62" i="139"/>
  <c r="S157" i="90"/>
  <c r="R83" i="143"/>
  <c r="R48" i="93"/>
  <c r="S119" i="142"/>
  <c r="R30" i="139"/>
  <c r="S32" i="142"/>
  <c r="R61" i="140"/>
  <c r="R83" i="139"/>
  <c r="R112" i="143"/>
  <c r="R40" i="83"/>
  <c r="R48" i="139"/>
  <c r="R183" i="143"/>
  <c r="R100" i="93"/>
  <c r="R123" i="140"/>
  <c r="R109" i="143"/>
  <c r="R187" i="143"/>
  <c r="R20" i="139"/>
  <c r="S106" i="90"/>
  <c r="R71" i="93"/>
  <c r="R117" i="140"/>
  <c r="R98" i="143"/>
  <c r="R92" i="154"/>
  <c r="R165" i="140"/>
  <c r="R114" i="83"/>
  <c r="R124" i="154"/>
  <c r="R62" i="140"/>
  <c r="R51" i="140"/>
  <c r="R34" i="83"/>
  <c r="R57" i="83"/>
  <c r="R92" i="93"/>
  <c r="R90" i="140"/>
  <c r="R23" i="139"/>
  <c r="R131" i="154"/>
  <c r="S17" i="142"/>
  <c r="R109" i="83"/>
  <c r="R115" i="154"/>
  <c r="R173" i="140"/>
  <c r="S182" i="142"/>
  <c r="R31" i="83"/>
  <c r="R64" i="140"/>
  <c r="S59" i="142"/>
  <c r="R56" i="143"/>
  <c r="R25" i="139"/>
  <c r="R88" i="143"/>
  <c r="R44" i="83"/>
  <c r="R152" i="140"/>
  <c r="S138" i="142"/>
  <c r="R164" i="143"/>
  <c r="R143" i="93"/>
  <c r="R181" i="143"/>
  <c r="R86" i="83"/>
  <c r="R31" i="154"/>
  <c r="R189" i="140"/>
  <c r="R49" i="139"/>
  <c r="S134" i="90"/>
  <c r="R122" i="140"/>
  <c r="R157" i="83"/>
  <c r="R83" i="154"/>
  <c r="R54" i="93"/>
  <c r="R121" i="83"/>
  <c r="R46" i="143"/>
  <c r="R120" i="140"/>
  <c r="R106" i="154"/>
  <c r="R184" i="140"/>
  <c r="R135" i="139"/>
  <c r="R76" i="154"/>
  <c r="S16" i="142"/>
  <c r="R41" i="143"/>
  <c r="R42" i="140"/>
  <c r="R134" i="139"/>
  <c r="S113" i="142"/>
  <c r="R66" i="139"/>
  <c r="S136" i="90"/>
  <c r="S23" i="142"/>
  <c r="R43" i="83"/>
  <c r="R88" i="140"/>
  <c r="R150" i="139"/>
  <c r="R103" i="154"/>
  <c r="R150" i="140"/>
  <c r="S138" i="90"/>
  <c r="R55" i="93"/>
  <c r="R127" i="143"/>
  <c r="R45" i="139"/>
  <c r="R190" i="154"/>
  <c r="S22" i="142"/>
  <c r="R53" i="139"/>
  <c r="S55" i="142"/>
  <c r="S188" i="142"/>
  <c r="R24" i="140"/>
  <c r="R132" i="143"/>
  <c r="R46" i="154"/>
  <c r="R144" i="143"/>
  <c r="R54" i="140"/>
  <c r="R143" i="139"/>
  <c r="R137" i="143"/>
  <c r="R59" i="143"/>
  <c r="R18" i="155"/>
  <c r="R118" i="154"/>
  <c r="R33" i="139"/>
  <c r="R142" i="93"/>
  <c r="S78" i="142"/>
  <c r="R36" i="93"/>
  <c r="R53" i="140"/>
  <c r="R67" i="83"/>
  <c r="R33" i="93"/>
  <c r="R116" i="93"/>
  <c r="R170" i="140"/>
  <c r="R151" i="139"/>
  <c r="R188" i="139"/>
  <c r="R59" i="154"/>
  <c r="R66" i="140"/>
  <c r="R34" i="143"/>
  <c r="R131" i="139"/>
  <c r="Q196" i="154"/>
  <c r="U196" i="154" s="1"/>
  <c r="S39" i="142"/>
  <c r="S83" i="142"/>
  <c r="R55" i="154"/>
  <c r="R22" i="83"/>
  <c r="R132" i="83"/>
  <c r="R86" i="143"/>
  <c r="R139" i="83"/>
  <c r="R93" i="139"/>
  <c r="R61" i="139"/>
  <c r="R80" i="139"/>
  <c r="R117" i="143"/>
  <c r="R101" i="139"/>
  <c r="R63" i="143"/>
  <c r="R85" i="140"/>
  <c r="R99" i="154"/>
  <c r="S60" i="142"/>
  <c r="R179" i="140"/>
  <c r="R88" i="139"/>
  <c r="R127" i="83"/>
  <c r="R17" i="91"/>
  <c r="R138" i="140"/>
  <c r="R67" i="143"/>
  <c r="S178" i="142"/>
  <c r="S126" i="90"/>
  <c r="R135" i="143"/>
  <c r="R32" i="93"/>
  <c r="R118" i="143"/>
  <c r="S102" i="142"/>
  <c r="S53" i="90"/>
  <c r="S12" i="153"/>
  <c r="R62" i="154"/>
  <c r="R138" i="154"/>
  <c r="R57" i="140"/>
  <c r="R54" i="143"/>
  <c r="S146" i="90"/>
  <c r="R54" i="154"/>
  <c r="R180" i="139"/>
  <c r="R73" i="93"/>
  <c r="R149" i="93"/>
  <c r="R173" i="143"/>
  <c r="R77" i="139"/>
  <c r="S33" i="90"/>
  <c r="R35" i="143"/>
  <c r="R74" i="139"/>
  <c r="R143" i="154"/>
  <c r="S42" i="90"/>
  <c r="R67" i="139"/>
  <c r="R121" i="154"/>
  <c r="R190" i="140"/>
  <c r="S86" i="90"/>
  <c r="R73" i="154"/>
  <c r="S30" i="142"/>
  <c r="R40" i="139"/>
  <c r="S35" i="142"/>
  <c r="R19" i="143"/>
  <c r="R188" i="83"/>
  <c r="S166" i="90"/>
  <c r="S111" i="90"/>
  <c r="R15" i="140"/>
  <c r="R86" i="93"/>
  <c r="R95" i="143"/>
  <c r="R150" i="83"/>
  <c r="S116" i="90"/>
  <c r="R49" i="140"/>
  <c r="R136" i="93"/>
  <c r="R38" i="154"/>
  <c r="S80" i="142"/>
  <c r="R96" i="140"/>
  <c r="R177" i="140"/>
  <c r="R95" i="83"/>
  <c r="R26" i="154"/>
  <c r="R157" i="143"/>
  <c r="R189" i="83"/>
  <c r="R99" i="140"/>
  <c r="R39" i="140"/>
  <c r="S177" i="153"/>
  <c r="T177" i="153" s="1"/>
  <c r="R118" i="140"/>
  <c r="R140" i="154"/>
  <c r="S65" i="142"/>
  <c r="S145" i="90"/>
  <c r="S91" i="90"/>
  <c r="R98" i="154"/>
  <c r="R123" i="143"/>
  <c r="R91" i="140"/>
  <c r="R191" i="140"/>
  <c r="R36" i="139"/>
  <c r="R188" i="154"/>
  <c r="R19" i="83"/>
  <c r="R81" i="143"/>
  <c r="S129" i="142"/>
  <c r="R152" i="143"/>
  <c r="S83" i="90"/>
  <c r="R50" i="154"/>
  <c r="R131" i="140"/>
  <c r="S163" i="153"/>
  <c r="T163" i="153" s="1"/>
  <c r="R43" i="143"/>
  <c r="S152" i="142"/>
  <c r="R17" i="83"/>
  <c r="R78" i="93"/>
  <c r="R25" i="143"/>
  <c r="S172" i="153"/>
  <c r="T172" i="153" s="1"/>
  <c r="R125" i="83"/>
  <c r="R23" i="155"/>
  <c r="R112" i="139"/>
  <c r="S101" i="90"/>
  <c r="R56" i="139"/>
  <c r="R172" i="83"/>
  <c r="S93" i="142"/>
  <c r="R39" i="139"/>
  <c r="R16" i="155"/>
  <c r="S121" i="90"/>
  <c r="R107" i="143"/>
  <c r="S150" i="142"/>
  <c r="R192" i="83"/>
  <c r="R139" i="143"/>
  <c r="R41" i="154"/>
  <c r="R47" i="154"/>
  <c r="R91" i="93"/>
  <c r="R81" i="140"/>
  <c r="R36" i="83"/>
  <c r="R55" i="143"/>
  <c r="S69" i="90"/>
  <c r="S40" i="142"/>
  <c r="R179" i="93"/>
  <c r="R102" i="143"/>
  <c r="R98" i="93"/>
  <c r="R51" i="154"/>
  <c r="S64" i="142"/>
  <c r="R77" i="83"/>
  <c r="R112" i="83"/>
  <c r="R130" i="93"/>
  <c r="R87" i="143"/>
  <c r="S128" i="142"/>
  <c r="R113" i="139"/>
  <c r="R116" i="83"/>
  <c r="R48" i="143"/>
  <c r="S49" i="90"/>
  <c r="R58" i="154"/>
  <c r="R56" i="93"/>
  <c r="S66" i="142"/>
  <c r="S183" i="90"/>
  <c r="R180" i="140"/>
  <c r="R171" i="83"/>
  <c r="R47" i="139"/>
  <c r="S143" i="90"/>
  <c r="R141" i="140"/>
  <c r="R155" i="143"/>
  <c r="S41" i="142"/>
  <c r="R30" i="143"/>
  <c r="R60" i="139"/>
  <c r="R134" i="143"/>
  <c r="R15" i="143"/>
  <c r="R29" i="140"/>
  <c r="S57" i="142"/>
  <c r="R99" i="139"/>
  <c r="R132" i="93"/>
  <c r="R64" i="143"/>
  <c r="S156" i="90"/>
  <c r="R105" i="139"/>
  <c r="R87" i="154"/>
  <c r="S144" i="90"/>
  <c r="R185" i="139"/>
  <c r="R178" i="83"/>
  <c r="R183" i="83"/>
  <c r="R177" i="139"/>
  <c r="R180" i="93"/>
  <c r="R185" i="83"/>
  <c r="R184" i="93"/>
  <c r="S153" i="142"/>
  <c r="R58" i="140"/>
  <c r="S191" i="142"/>
  <c r="R17" i="139"/>
  <c r="S140" i="90"/>
  <c r="R43" i="154"/>
  <c r="R96" i="154"/>
  <c r="R91" i="154"/>
  <c r="R117" i="154"/>
  <c r="S99" i="90"/>
  <c r="R50" i="143"/>
  <c r="R48" i="140"/>
  <c r="R84" i="93"/>
  <c r="R155" i="140"/>
  <c r="R177" i="83"/>
  <c r="S119" i="90"/>
  <c r="R15" i="155"/>
  <c r="R57" i="93"/>
  <c r="S100" i="142"/>
  <c r="R193" i="83"/>
  <c r="R166" i="83"/>
  <c r="R50" i="140"/>
  <c r="R175" i="140"/>
  <c r="S74" i="18"/>
  <c r="R169" i="83"/>
  <c r="R175" i="83"/>
  <c r="S75" i="18"/>
  <c r="R64" i="154"/>
  <c r="L87" i="83"/>
  <c r="L158" i="83" s="1"/>
  <c r="L159" i="83" s="1"/>
  <c r="L158" i="140"/>
  <c r="L159" i="140" s="1"/>
  <c r="L160" i="140" s="1"/>
  <c r="H32" i="18"/>
  <c r="H157" i="93"/>
  <c r="H158" i="93" s="1"/>
  <c r="H31" i="18" s="1"/>
  <c r="E60" i="18"/>
  <c r="Q20" i="155"/>
  <c r="E25" i="155"/>
  <c r="E39" i="18"/>
  <c r="N39" i="18"/>
  <c r="N25" i="155"/>
  <c r="L32" i="18"/>
  <c r="L157" i="93"/>
  <c r="L158" i="93" s="1"/>
  <c r="L31" i="18" s="1"/>
  <c r="Q150" i="93"/>
  <c r="E32" i="18"/>
  <c r="E157" i="93"/>
  <c r="E158" i="93" s="1"/>
  <c r="E31" i="18" s="1"/>
  <c r="L109" i="121"/>
  <c r="L87" i="149"/>
  <c r="I23" i="18"/>
  <c r="I109" i="122"/>
  <c r="I110" i="122" s="1"/>
  <c r="I127" i="122"/>
  <c r="G109" i="122"/>
  <c r="G110" i="122" s="1"/>
  <c r="G127" i="122"/>
  <c r="F127" i="122"/>
  <c r="F109" i="122"/>
  <c r="F110" i="122" s="1"/>
  <c r="L127" i="122"/>
  <c r="L109" i="122"/>
  <c r="L110" i="122" s="1"/>
  <c r="M127" i="122" l="1"/>
  <c r="K30" i="18"/>
  <c r="K35" i="18" s="1"/>
  <c r="Q60" i="18"/>
  <c r="S60" i="18" s="1"/>
  <c r="M87" i="149"/>
  <c r="K28" i="18"/>
  <c r="F51" i="18"/>
  <c r="Q24" i="155"/>
  <c r="R24" i="155" s="1"/>
  <c r="H158" i="83"/>
  <c r="H159" i="140"/>
  <c r="H160" i="140" s="1"/>
  <c r="G23" i="18"/>
  <c r="G28" i="18" s="1"/>
  <c r="I160" i="83"/>
  <c r="F19" i="18"/>
  <c r="F24" i="18" s="1"/>
  <c r="F131" i="108"/>
  <c r="F132" i="108" s="1"/>
  <c r="J128" i="121"/>
  <c r="O128" i="121"/>
  <c r="K128" i="121"/>
  <c r="K21" i="18"/>
  <c r="J87" i="149"/>
  <c r="K108" i="123"/>
  <c r="K109" i="123" s="1"/>
  <c r="K110" i="123" s="1"/>
  <c r="K87" i="149"/>
  <c r="H159" i="139"/>
  <c r="H160" i="139" s="1"/>
  <c r="H122" i="148"/>
  <c r="H123" i="148" s="1"/>
  <c r="H12" i="148" s="1"/>
  <c r="K107" i="122"/>
  <c r="K108" i="122" s="1"/>
  <c r="K135" i="148"/>
  <c r="K136" i="148" s="1"/>
  <c r="H84" i="147"/>
  <c r="H86" i="147" s="1"/>
  <c r="H133" i="147" s="1"/>
  <c r="H159" i="143"/>
  <c r="H160" i="143" s="1"/>
  <c r="J135" i="148"/>
  <c r="J136" i="148" s="1"/>
  <c r="J107" i="122"/>
  <c r="J108" i="122" s="1"/>
  <c r="E69" i="18"/>
  <c r="E76" i="18" s="1"/>
  <c r="H116" i="130"/>
  <c r="H117" i="130" s="1"/>
  <c r="H11" i="130" s="1"/>
  <c r="H215" i="154"/>
  <c r="H202" i="108"/>
  <c r="H203" i="108" s="1"/>
  <c r="H59" i="108" s="1"/>
  <c r="H116" i="127"/>
  <c r="H117" i="127" s="1"/>
  <c r="H11" i="127" s="1"/>
  <c r="H82" i="127" s="1"/>
  <c r="H154" i="132"/>
  <c r="H159" i="90"/>
  <c r="H33" i="18" s="1"/>
  <c r="H163" i="121"/>
  <c r="H164" i="121" s="1"/>
  <c r="H37" i="121" s="1"/>
  <c r="H195" i="83"/>
  <c r="H159" i="142"/>
  <c r="H160" i="142" s="1"/>
  <c r="J196" i="83"/>
  <c r="J199" i="83"/>
  <c r="F156" i="132"/>
  <c r="F157" i="132"/>
  <c r="J18" i="18"/>
  <c r="J23" i="18" s="1"/>
  <c r="J119" i="132"/>
  <c r="F104" i="132"/>
  <c r="F105" i="132" s="1"/>
  <c r="L167" i="108"/>
  <c r="L19" i="18"/>
  <c r="L131" i="108"/>
  <c r="L132" i="108" s="1"/>
  <c r="J131" i="108"/>
  <c r="J132" i="108" s="1"/>
  <c r="J19" i="18"/>
  <c r="J167" i="108"/>
  <c r="I167" i="108"/>
  <c r="I131" i="108"/>
  <c r="I132" i="108" s="1"/>
  <c r="I19" i="18"/>
  <c r="Q70" i="83"/>
  <c r="U70" i="83" s="1"/>
  <c r="O158" i="83"/>
  <c r="O159" i="83" s="1"/>
  <c r="O160" i="83" s="1"/>
  <c r="M21" i="18"/>
  <c r="M28" i="18"/>
  <c r="O31" i="18"/>
  <c r="O159" i="93"/>
  <c r="M30" i="18"/>
  <c r="M160" i="83"/>
  <c r="M159" i="93"/>
  <c r="M31" i="18"/>
  <c r="O135" i="148"/>
  <c r="O136" i="148" s="1"/>
  <c r="O107" i="122"/>
  <c r="O108" i="122" s="1"/>
  <c r="T69" i="127"/>
  <c r="T200" i="153"/>
  <c r="R69" i="127"/>
  <c r="Q81" i="127"/>
  <c r="O108" i="123"/>
  <c r="O109" i="123" s="1"/>
  <c r="O110" i="123" s="1"/>
  <c r="O87" i="149"/>
  <c r="O18" i="18"/>
  <c r="O104" i="132"/>
  <c r="O105" i="132" s="1"/>
  <c r="O119" i="132"/>
  <c r="Q91" i="132"/>
  <c r="Q103" i="132" s="1"/>
  <c r="E103" i="132"/>
  <c r="T69" i="130"/>
  <c r="V69" i="130"/>
  <c r="T202" i="153"/>
  <c r="Q158" i="90"/>
  <c r="T213" i="153"/>
  <c r="T210" i="153"/>
  <c r="T70" i="143"/>
  <c r="Q158" i="143"/>
  <c r="Q158" i="142"/>
  <c r="T212" i="153"/>
  <c r="U70" i="142"/>
  <c r="R70" i="141"/>
  <c r="Q158" i="141"/>
  <c r="T70" i="141"/>
  <c r="T211" i="153"/>
  <c r="T208" i="153"/>
  <c r="T70" i="139"/>
  <c r="Q158" i="139"/>
  <c r="Q98" i="135"/>
  <c r="T201" i="153"/>
  <c r="E37" i="81"/>
  <c r="E99" i="135"/>
  <c r="E55" i="81" s="1"/>
  <c r="E133" i="147"/>
  <c r="E134" i="147" s="1"/>
  <c r="Q83" i="147"/>
  <c r="U71" i="147"/>
  <c r="T207" i="153"/>
  <c r="S71" i="147"/>
  <c r="T203" i="153"/>
  <c r="U71" i="148"/>
  <c r="S71" i="148"/>
  <c r="Q83" i="148"/>
  <c r="E132" i="148"/>
  <c r="E86" i="148"/>
  <c r="T205" i="153"/>
  <c r="R95" i="122"/>
  <c r="Q118" i="108"/>
  <c r="E130" i="108"/>
  <c r="E167" i="108" s="1"/>
  <c r="G160" i="83"/>
  <c r="G30" i="18"/>
  <c r="G35" i="18" s="1"/>
  <c r="F157" i="93"/>
  <c r="F158" i="93" s="1"/>
  <c r="F31" i="18" s="1"/>
  <c r="F32" i="18"/>
  <c r="Q32" i="18" s="1"/>
  <c r="F39" i="18"/>
  <c r="K80" i="18" s="1"/>
  <c r="F25" i="155"/>
  <c r="F87" i="83"/>
  <c r="F158" i="83" s="1"/>
  <c r="F159" i="83" s="1"/>
  <c r="F158" i="140"/>
  <c r="F159" i="140" s="1"/>
  <c r="F160" i="140" s="1"/>
  <c r="R20" i="155"/>
  <c r="R14" i="155"/>
  <c r="L30" i="18"/>
  <c r="L35" i="18" s="1"/>
  <c r="L160" i="83"/>
  <c r="R87" i="140"/>
  <c r="T87" i="140"/>
  <c r="Q158" i="140"/>
  <c r="R150" i="93"/>
  <c r="Q157" i="93"/>
  <c r="E80" i="18"/>
  <c r="L80" i="18"/>
  <c r="H80" i="18"/>
  <c r="E158" i="83"/>
  <c r="E159" i="83" s="1"/>
  <c r="L110" i="121"/>
  <c r="L111" i="121" s="1"/>
  <c r="L128" i="121"/>
  <c r="Q25" i="155" l="1"/>
  <c r="K36" i="18"/>
  <c r="K37" i="18" s="1"/>
  <c r="R70" i="83"/>
  <c r="I80" i="18"/>
  <c r="M80" i="18"/>
  <c r="J80" i="18"/>
  <c r="F52" i="18"/>
  <c r="Q51" i="18"/>
  <c r="Q52" i="18" s="1"/>
  <c r="G36" i="18"/>
  <c r="G37" i="18" s="1"/>
  <c r="N80" i="18"/>
  <c r="G80" i="18"/>
  <c r="F80" i="18"/>
  <c r="Q39" i="18"/>
  <c r="S39" i="18" s="1"/>
  <c r="P80" i="18"/>
  <c r="H199" i="83"/>
  <c r="H196" i="83"/>
  <c r="H12" i="83" s="1"/>
  <c r="H131" i="108"/>
  <c r="H132" i="108" s="1"/>
  <c r="H167" i="108"/>
  <c r="H19" i="18"/>
  <c r="H24" i="18" s="1"/>
  <c r="J127" i="122"/>
  <c r="J109" i="122"/>
  <c r="J110" i="122" s="1"/>
  <c r="H134" i="147"/>
  <c r="H135" i="147"/>
  <c r="H155" i="132"/>
  <c r="K109" i="122"/>
  <c r="K110" i="122" s="1"/>
  <c r="K127" i="122"/>
  <c r="H33" i="132"/>
  <c r="H82" i="130"/>
  <c r="J12" i="83"/>
  <c r="J159" i="83" s="1"/>
  <c r="J69" i="18"/>
  <c r="J76" i="18" s="1"/>
  <c r="H84" i="148"/>
  <c r="F119" i="132"/>
  <c r="F18" i="18"/>
  <c r="F69" i="18"/>
  <c r="I24" i="18"/>
  <c r="I28" i="18" s="1"/>
  <c r="I36" i="18" s="1"/>
  <c r="I21" i="18"/>
  <c r="J24" i="18"/>
  <c r="J28" i="18" s="1"/>
  <c r="J21" i="18"/>
  <c r="L24" i="18"/>
  <c r="L28" i="18" s="1"/>
  <c r="L36" i="18" s="1"/>
  <c r="L37" i="18" s="1"/>
  <c r="L21" i="18"/>
  <c r="O30" i="18"/>
  <c r="O35" i="18" s="1"/>
  <c r="O80" i="18"/>
  <c r="M35" i="18"/>
  <c r="M36" i="18" s="1"/>
  <c r="M40" i="18" s="1"/>
  <c r="O109" i="122"/>
  <c r="O110" i="122" s="1"/>
  <c r="O127" i="122"/>
  <c r="Q87" i="83"/>
  <c r="U87" i="83" s="1"/>
  <c r="T81" i="127"/>
  <c r="R81" i="127"/>
  <c r="O23" i="18"/>
  <c r="O28" i="18" s="1"/>
  <c r="O21" i="18"/>
  <c r="T81" i="130"/>
  <c r="V81" i="130"/>
  <c r="E18" i="18"/>
  <c r="E104" i="132"/>
  <c r="E105" i="132" s="1"/>
  <c r="E119" i="132"/>
  <c r="S91" i="132"/>
  <c r="R91" i="132"/>
  <c r="S158" i="90"/>
  <c r="R158" i="143"/>
  <c r="T158" i="143"/>
  <c r="U158" i="142"/>
  <c r="S158" i="142"/>
  <c r="T158" i="141"/>
  <c r="R158" i="141"/>
  <c r="R158" i="139"/>
  <c r="T158" i="139"/>
  <c r="E63" i="81"/>
  <c r="E64" i="81" s="1"/>
  <c r="E45" i="81"/>
  <c r="E20" i="18" s="1"/>
  <c r="E25" i="18" s="1"/>
  <c r="Q37" i="81"/>
  <c r="U83" i="147"/>
  <c r="S83" i="147"/>
  <c r="T215" i="153"/>
  <c r="E135" i="147"/>
  <c r="U83" i="148"/>
  <c r="S83" i="148"/>
  <c r="E107" i="125"/>
  <c r="E107" i="124"/>
  <c r="E107" i="123"/>
  <c r="E134" i="148"/>
  <c r="E133" i="148"/>
  <c r="E19" i="18"/>
  <c r="E131" i="108"/>
  <c r="E132" i="108" s="1"/>
  <c r="S118" i="108"/>
  <c r="V118" i="108"/>
  <c r="Q130" i="108"/>
  <c r="F30" i="18"/>
  <c r="F35" i="18" s="1"/>
  <c r="F160" i="83"/>
  <c r="E160" i="83"/>
  <c r="E30" i="18"/>
  <c r="R157" i="93"/>
  <c r="R25" i="155"/>
  <c r="T158" i="140"/>
  <c r="R158" i="140"/>
  <c r="S32" i="18"/>
  <c r="V32" i="18"/>
  <c r="Q158" i="83" l="1"/>
  <c r="U158" i="83" s="1"/>
  <c r="G41" i="18"/>
  <c r="G53" i="18" s="1"/>
  <c r="G54" i="18" s="1"/>
  <c r="E108" i="121"/>
  <c r="E87" i="149" s="1"/>
  <c r="H86" i="148"/>
  <c r="H132" i="148"/>
  <c r="H157" i="132"/>
  <c r="H156" i="132"/>
  <c r="H159" i="83"/>
  <c r="J160" i="83"/>
  <c r="J30" i="18"/>
  <c r="J35" i="18" s="1"/>
  <c r="J36" i="18" s="1"/>
  <c r="H104" i="132"/>
  <c r="H105" i="132" s="1"/>
  <c r="H136" i="147"/>
  <c r="H137" i="147" s="1"/>
  <c r="F76" i="18"/>
  <c r="F23" i="18"/>
  <c r="F28" i="18" s="1"/>
  <c r="F36" i="18" s="1"/>
  <c r="F37" i="18" s="1"/>
  <c r="F21" i="18"/>
  <c r="I41" i="18"/>
  <c r="I53" i="18" s="1"/>
  <c r="I37" i="18"/>
  <c r="M41" i="18"/>
  <c r="M53" i="18" s="1"/>
  <c r="R87" i="83"/>
  <c r="E107" i="122"/>
  <c r="M37" i="18"/>
  <c r="O36" i="18"/>
  <c r="E23" i="18"/>
  <c r="S103" i="132"/>
  <c r="R103" i="132"/>
  <c r="Q45" i="81"/>
  <c r="U37" i="81"/>
  <c r="E136" i="147"/>
  <c r="E108" i="123"/>
  <c r="E109" i="123" s="1"/>
  <c r="E110" i="123" s="1"/>
  <c r="E108" i="124"/>
  <c r="E109" i="124" s="1"/>
  <c r="E110" i="124" s="1"/>
  <c r="E135" i="148"/>
  <c r="E108" i="125"/>
  <c r="E109" i="125" s="1"/>
  <c r="E110" i="125" s="1"/>
  <c r="S130" i="108"/>
  <c r="V130" i="108"/>
  <c r="T130" i="108"/>
  <c r="E21" i="18"/>
  <c r="E24" i="18"/>
  <c r="E35" i="18"/>
  <c r="O37" i="18" l="1"/>
  <c r="O40" i="18"/>
  <c r="R158" i="83"/>
  <c r="G61" i="18"/>
  <c r="G62" i="18" s="1"/>
  <c r="J37" i="18"/>
  <c r="J41" i="18"/>
  <c r="J53" i="18" s="1"/>
  <c r="H107" i="125"/>
  <c r="H107" i="123"/>
  <c r="H107" i="124"/>
  <c r="H69" i="18"/>
  <c r="H119" i="132"/>
  <c r="H18" i="18"/>
  <c r="H160" i="83"/>
  <c r="H30" i="18"/>
  <c r="H133" i="148"/>
  <c r="H134" i="148"/>
  <c r="I54" i="18"/>
  <c r="I61" i="18"/>
  <c r="I62" i="18" s="1"/>
  <c r="M61" i="18"/>
  <c r="M62" i="18" s="1"/>
  <c r="M54" i="18"/>
  <c r="E108" i="122"/>
  <c r="E109" i="121"/>
  <c r="U45" i="81"/>
  <c r="R45" i="81"/>
  <c r="E137" i="147"/>
  <c r="E136" i="148"/>
  <c r="E28" i="18"/>
  <c r="E36" i="18" s="1"/>
  <c r="F41" i="18"/>
  <c r="F53" i="18" s="1"/>
  <c r="F54" i="18" s="1"/>
  <c r="K41" i="18"/>
  <c r="K53" i="18" s="1"/>
  <c r="H107" i="122" l="1"/>
  <c r="H108" i="122" s="1"/>
  <c r="H135" i="148"/>
  <c r="H108" i="123"/>
  <c r="H109" i="123" s="1"/>
  <c r="H110" i="123" s="1"/>
  <c r="H35" i="18"/>
  <c r="H23" i="18"/>
  <c r="H21" i="18"/>
  <c r="H108" i="125"/>
  <c r="H109" i="125" s="1"/>
  <c r="H110" i="125" s="1"/>
  <c r="J54" i="18"/>
  <c r="J61" i="18"/>
  <c r="J62" i="18" s="1"/>
  <c r="H108" i="121"/>
  <c r="H87" i="149" s="1"/>
  <c r="H76" i="18"/>
  <c r="H108" i="124"/>
  <c r="H109" i="124" s="1"/>
  <c r="H110" i="124" s="1"/>
  <c r="E127" i="122"/>
  <c r="E109" i="122"/>
  <c r="E110" i="122" s="1"/>
  <c r="E128" i="121"/>
  <c r="E110" i="121"/>
  <c r="E111" i="121" s="1"/>
  <c r="E37" i="18"/>
  <c r="G78" i="18"/>
  <c r="G81" i="18" s="1"/>
  <c r="F78" i="18"/>
  <c r="F81" i="18" s="1"/>
  <c r="E78" i="18"/>
  <c r="E81" i="18" s="1"/>
  <c r="E41" i="18"/>
  <c r="E53" i="18" s="1"/>
  <c r="E54" i="18" s="1"/>
  <c r="F61" i="18"/>
  <c r="F62" i="18" s="1"/>
  <c r="K61" i="18"/>
  <c r="K62" i="18" s="1"/>
  <c r="K54" i="18"/>
  <c r="H28" i="18" l="1"/>
  <c r="H36" i="18" s="1"/>
  <c r="L40" i="18" s="1"/>
  <c r="L41" i="18" s="1"/>
  <c r="L53" i="18" s="1"/>
  <c r="L61" i="18" s="1"/>
  <c r="L62" i="18" s="1"/>
  <c r="H109" i="121"/>
  <c r="H136" i="148"/>
  <c r="E61" i="18"/>
  <c r="E62" i="18" s="1"/>
  <c r="H128" i="121" l="1"/>
  <c r="H110" i="121"/>
  <c r="H111" i="121" s="1"/>
  <c r="H127" i="122"/>
  <c r="H109" i="122"/>
  <c r="H110" i="122" s="1"/>
  <c r="H37" i="18"/>
  <c r="H41" i="18"/>
  <c r="H53" i="18" s="1"/>
  <c r="M78" i="18"/>
  <c r="M81" i="18" s="1"/>
  <c r="I78" i="18"/>
  <c r="I81" i="18" s="1"/>
  <c r="K78" i="18"/>
  <c r="K81" i="18" s="1"/>
  <c r="J78" i="18"/>
  <c r="J81" i="18" s="1"/>
  <c r="H78" i="18"/>
  <c r="H81" i="18" s="1"/>
  <c r="L78" i="18"/>
  <c r="L81" i="18" s="1"/>
  <c r="L54" i="18"/>
  <c r="H61" i="18" l="1"/>
  <c r="H62" i="18" s="1"/>
  <c r="H54" i="18"/>
  <c r="E116" i="132" l="1"/>
  <c r="E118" i="132"/>
  <c r="Q107" i="132"/>
  <c r="Q118" i="132" s="1"/>
  <c r="E108" i="132"/>
  <c r="Q108" i="132" s="1"/>
  <c r="E64" i="18"/>
  <c r="E66" i="18" s="1"/>
  <c r="E68" i="18" s="1"/>
  <c r="Q29" i="132" l="1"/>
  <c r="Q30" i="132" s="1"/>
  <c r="Q115" i="132"/>
  <c r="Q64" i="18"/>
  <c r="Q66" i="18" s="1"/>
  <c r="Q68" i="18" s="1"/>
  <c r="Q116" i="132"/>
  <c r="N157" i="154"/>
  <c r="N158" i="154" s="1"/>
  <c r="N199" i="154" s="1"/>
  <c r="P157" i="154"/>
  <c r="P158" i="154" s="1"/>
  <c r="P199" i="154" s="1"/>
  <c r="P208" i="154" l="1"/>
  <c r="P193" i="140" s="1"/>
  <c r="P212" i="154"/>
  <c r="N202" i="154"/>
  <c r="N115" i="130" s="1"/>
  <c r="N116" i="130" s="1"/>
  <c r="N117" i="130" s="1"/>
  <c r="N11" i="130" s="1"/>
  <c r="N82" i="130" s="1"/>
  <c r="N209" i="154"/>
  <c r="N193" i="143" s="1"/>
  <c r="N193" i="90"/>
  <c r="N194" i="90" s="1"/>
  <c r="N195" i="90" s="1"/>
  <c r="N12" i="90" s="1"/>
  <c r="N159" i="90" s="1"/>
  <c r="N33" i="18" s="1"/>
  <c r="N213" i="154"/>
  <c r="N192" i="93" s="1"/>
  <c r="N193" i="93" s="1"/>
  <c r="N194" i="93" s="1"/>
  <c r="N12" i="93" s="1"/>
  <c r="N158" i="93" s="1"/>
  <c r="N210" i="154"/>
  <c r="N194" i="141" s="1"/>
  <c r="N195" i="141" s="1"/>
  <c r="N196" i="141" s="1"/>
  <c r="N12" i="141" s="1"/>
  <c r="N159" i="141" s="1"/>
  <c r="N160" i="141" s="1"/>
  <c r="Q158" i="154"/>
  <c r="U158" i="154" s="1"/>
  <c r="P211" i="154"/>
  <c r="P193" i="142" s="1"/>
  <c r="P194" i="142" s="1"/>
  <c r="P195" i="142" s="1"/>
  <c r="P12" i="142" s="1"/>
  <c r="P159" i="142" s="1"/>
  <c r="P160" i="142" s="1"/>
  <c r="N207" i="154"/>
  <c r="N193" i="139" s="1"/>
  <c r="N194" i="139" s="1"/>
  <c r="N195" i="139" s="1"/>
  <c r="N12" i="139" s="1"/>
  <c r="N159" i="139" s="1"/>
  <c r="N160" i="139" s="1"/>
  <c r="Q199" i="154"/>
  <c r="N205" i="154"/>
  <c r="N162" i="121" s="1"/>
  <c r="N163" i="121" s="1"/>
  <c r="N164" i="121" s="1"/>
  <c r="N37" i="121" s="1"/>
  <c r="N206" i="154"/>
  <c r="N120" i="147" s="1"/>
  <c r="N121" i="147" s="1"/>
  <c r="N122" i="147" s="1"/>
  <c r="N12" i="147" s="1"/>
  <c r="N84" i="147" s="1"/>
  <c r="N86" i="147" s="1"/>
  <c r="N133" i="147" s="1"/>
  <c r="N135" i="147" s="1"/>
  <c r="N200" i="154"/>
  <c r="N115" i="127" s="1"/>
  <c r="N201" i="154"/>
  <c r="N133" i="135" s="1"/>
  <c r="N96" i="81" s="1"/>
  <c r="N204" i="154"/>
  <c r="N161" i="122" s="1"/>
  <c r="N162" i="122" s="1"/>
  <c r="N163" i="122" s="1"/>
  <c r="N36" i="122" s="1"/>
  <c r="N211" i="154"/>
  <c r="N208" i="154"/>
  <c r="N193" i="140" s="1"/>
  <c r="N194" i="140" s="1"/>
  <c r="N195" i="140" s="1"/>
  <c r="N12" i="140" s="1"/>
  <c r="N159" i="140" s="1"/>
  <c r="N160" i="140" s="1"/>
  <c r="N203" i="154"/>
  <c r="N121" i="148" s="1"/>
  <c r="N122" i="148" s="1"/>
  <c r="N123" i="148" s="1"/>
  <c r="N12" i="148" s="1"/>
  <c r="N84" i="148" s="1"/>
  <c r="P194" i="140"/>
  <c r="P195" i="140" s="1"/>
  <c r="P12" i="140" s="1"/>
  <c r="P159" i="140" s="1"/>
  <c r="P160" i="140" s="1"/>
  <c r="N194" i="143"/>
  <c r="N195" i="143" s="1"/>
  <c r="N12" i="143" s="1"/>
  <c r="P202" i="154"/>
  <c r="P205" i="154"/>
  <c r="P203" i="154"/>
  <c r="P121" i="148" s="1"/>
  <c r="P122" i="148" s="1"/>
  <c r="P123" i="148" s="1"/>
  <c r="P12" i="148" s="1"/>
  <c r="P84" i="148" s="1"/>
  <c r="P207" i="154"/>
  <c r="P210" i="154"/>
  <c r="P209" i="154"/>
  <c r="P200" i="154"/>
  <c r="P204" i="154"/>
  <c r="P206" i="154"/>
  <c r="P201" i="154"/>
  <c r="P213" i="154"/>
  <c r="N134" i="135" l="1"/>
  <c r="N135" i="135" s="1"/>
  <c r="N27" i="135" s="1"/>
  <c r="N99" i="135" s="1"/>
  <c r="N55" i="81" s="1"/>
  <c r="N201" i="108"/>
  <c r="N214" i="154"/>
  <c r="N215" i="154" s="1"/>
  <c r="Q200" i="154"/>
  <c r="Q208" i="154"/>
  <c r="N134" i="147"/>
  <c r="N136" i="147" s="1"/>
  <c r="Q193" i="140"/>
  <c r="R193" i="140" s="1"/>
  <c r="Q203" i="154"/>
  <c r="N193" i="142"/>
  <c r="Q211" i="154"/>
  <c r="Q201" i="154"/>
  <c r="P133" i="135"/>
  <c r="P193" i="143"/>
  <c r="Q209" i="154"/>
  <c r="Q206" i="154"/>
  <c r="P120" i="147"/>
  <c r="P194" i="141"/>
  <c r="Q210" i="154"/>
  <c r="P115" i="130"/>
  <c r="Q202" i="154"/>
  <c r="Q12" i="148"/>
  <c r="N202" i="108"/>
  <c r="N203" i="108" s="1"/>
  <c r="N59" i="108" s="1"/>
  <c r="P162" i="121"/>
  <c r="Q205" i="154"/>
  <c r="N97" i="81"/>
  <c r="N98" i="81" s="1"/>
  <c r="N20" i="18" s="1"/>
  <c r="P193" i="90"/>
  <c r="Q212" i="154"/>
  <c r="P161" i="122"/>
  <c r="Q204" i="154"/>
  <c r="P193" i="139"/>
  <c r="Q207" i="154"/>
  <c r="N159" i="143"/>
  <c r="N160" i="143" s="1"/>
  <c r="N154" i="132"/>
  <c r="N116" i="127"/>
  <c r="N117" i="127" s="1"/>
  <c r="N11" i="127" s="1"/>
  <c r="N31" i="18"/>
  <c r="N159" i="93"/>
  <c r="N132" i="148"/>
  <c r="N86" i="148"/>
  <c r="N85" i="148"/>
  <c r="Q213" i="154"/>
  <c r="P192" i="93"/>
  <c r="P214" i="154"/>
  <c r="P215" i="154" s="1"/>
  <c r="P115" i="127"/>
  <c r="Q115" i="127" s="1"/>
  <c r="P132" i="148"/>
  <c r="P86" i="148"/>
  <c r="P85" i="148"/>
  <c r="Q121" i="148"/>
  <c r="Q12" i="140"/>
  <c r="T193" i="140" l="1"/>
  <c r="Q194" i="140"/>
  <c r="T194" i="140" s="1"/>
  <c r="Q193" i="142"/>
  <c r="N194" i="142"/>
  <c r="N195" i="142" s="1"/>
  <c r="N12" i="142" s="1"/>
  <c r="N194" i="83"/>
  <c r="N195" i="83" s="1"/>
  <c r="T115" i="127"/>
  <c r="Q116" i="127"/>
  <c r="R115" i="127"/>
  <c r="N25" i="18"/>
  <c r="P121" i="147"/>
  <c r="P122" i="147" s="1"/>
  <c r="P12" i="147" s="1"/>
  <c r="Q120" i="147"/>
  <c r="P107" i="124"/>
  <c r="P108" i="124" s="1"/>
  <c r="P109" i="124" s="1"/>
  <c r="P110" i="124" s="1"/>
  <c r="P193" i="93"/>
  <c r="P194" i="93" s="1"/>
  <c r="P12" i="93" s="1"/>
  <c r="Q192" i="93"/>
  <c r="N134" i="148"/>
  <c r="N133" i="148"/>
  <c r="Q132" i="148"/>
  <c r="S12" i="148"/>
  <c r="U12" i="148"/>
  <c r="Q84" i="148"/>
  <c r="P116" i="130"/>
  <c r="P117" i="130" s="1"/>
  <c r="P11" i="130" s="1"/>
  <c r="Q115" i="130"/>
  <c r="P194" i="143"/>
  <c r="P195" i="143" s="1"/>
  <c r="P12" i="143" s="1"/>
  <c r="Q193" i="143"/>
  <c r="N107" i="124"/>
  <c r="Q86" i="148"/>
  <c r="U86" i="148" s="1"/>
  <c r="N107" i="125"/>
  <c r="N107" i="123"/>
  <c r="Q159" i="140"/>
  <c r="T12" i="140"/>
  <c r="R12" i="140"/>
  <c r="P133" i="148"/>
  <c r="P134" i="148"/>
  <c r="N196" i="83"/>
  <c r="N12" i="83" s="1"/>
  <c r="N199" i="83"/>
  <c r="N155" i="132"/>
  <c r="P194" i="139"/>
  <c r="P195" i="139" s="1"/>
  <c r="P12" i="139" s="1"/>
  <c r="P194" i="83"/>
  <c r="Q193" i="139"/>
  <c r="P194" i="90"/>
  <c r="P195" i="90" s="1"/>
  <c r="P12" i="90" s="1"/>
  <c r="Q193" i="90"/>
  <c r="P163" i="121"/>
  <c r="P164" i="121" s="1"/>
  <c r="P37" i="121" s="1"/>
  <c r="Q37" i="121" s="1"/>
  <c r="Q162" i="121"/>
  <c r="Q214" i="154"/>
  <c r="Q215" i="154" s="1"/>
  <c r="P96" i="81"/>
  <c r="Q133" i="135"/>
  <c r="P134" i="135"/>
  <c r="P135" i="135" s="1"/>
  <c r="P27" i="135" s="1"/>
  <c r="N82" i="127"/>
  <c r="N33" i="132"/>
  <c r="P201" i="108"/>
  <c r="P162" i="122"/>
  <c r="P163" i="122" s="1"/>
  <c r="P36" i="122" s="1"/>
  <c r="Q161" i="122"/>
  <c r="U121" i="148"/>
  <c r="S121" i="148"/>
  <c r="Q122" i="148"/>
  <c r="P154" i="132"/>
  <c r="P155" i="132" s="1"/>
  <c r="P116" i="127"/>
  <c r="P117" i="127" s="1"/>
  <c r="P11" i="127" s="1"/>
  <c r="N19" i="18"/>
  <c r="N131" i="108"/>
  <c r="N132" i="108" s="1"/>
  <c r="N167" i="108"/>
  <c r="P195" i="141"/>
  <c r="P196" i="141" s="1"/>
  <c r="P12" i="141" s="1"/>
  <c r="Q194" i="141"/>
  <c r="N63" i="81"/>
  <c r="N64" i="81" s="1"/>
  <c r="N137" i="147"/>
  <c r="R194" i="140" l="1"/>
  <c r="Q195" i="140"/>
  <c r="T195" i="140" s="1"/>
  <c r="N159" i="142"/>
  <c r="N160" i="142" s="1"/>
  <c r="Q12" i="142"/>
  <c r="Q194" i="142"/>
  <c r="U193" i="142"/>
  <c r="S193" i="142"/>
  <c r="P99" i="135"/>
  <c r="P55" i="81" s="1"/>
  <c r="Q27" i="135"/>
  <c r="N156" i="132"/>
  <c r="N157" i="132"/>
  <c r="P82" i="127"/>
  <c r="P33" i="132"/>
  <c r="P104" i="132" s="1"/>
  <c r="P105" i="132" s="1"/>
  <c r="N104" i="132"/>
  <c r="N105" i="132" s="1"/>
  <c r="Q134" i="135"/>
  <c r="T133" i="135"/>
  <c r="R37" i="121"/>
  <c r="T37" i="121"/>
  <c r="P195" i="83"/>
  <c r="Q194" i="83"/>
  <c r="N108" i="125"/>
  <c r="N109" i="125" s="1"/>
  <c r="N110" i="125" s="1"/>
  <c r="Q116" i="130"/>
  <c r="T115" i="130"/>
  <c r="V115" i="130"/>
  <c r="P158" i="93"/>
  <c r="Q12" i="93"/>
  <c r="Q121" i="147"/>
  <c r="S120" i="147"/>
  <c r="U120" i="147"/>
  <c r="P202" i="108"/>
  <c r="P203" i="108" s="1"/>
  <c r="P59" i="108" s="1"/>
  <c r="P19" i="18" s="1"/>
  <c r="P24" i="18" s="1"/>
  <c r="Q201" i="108"/>
  <c r="N108" i="123"/>
  <c r="N109" i="123" s="1"/>
  <c r="N110" i="123" s="1"/>
  <c r="Q195" i="141"/>
  <c r="T194" i="141"/>
  <c r="R194" i="141"/>
  <c r="N24" i="18"/>
  <c r="P156" i="132"/>
  <c r="P157" i="132"/>
  <c r="Q162" i="122"/>
  <c r="R161" i="122"/>
  <c r="P97" i="81"/>
  <c r="P98" i="81" s="1"/>
  <c r="P20" i="18" s="1"/>
  <c r="Q96" i="81"/>
  <c r="S193" i="90"/>
  <c r="Q194" i="90"/>
  <c r="P159" i="139"/>
  <c r="P160" i="139" s="1"/>
  <c r="Q12" i="139"/>
  <c r="N159" i="83"/>
  <c r="P82" i="130"/>
  <c r="Q11" i="130"/>
  <c r="P84" i="147"/>
  <c r="P86" i="147" s="1"/>
  <c r="Q12" i="147"/>
  <c r="Q117" i="127"/>
  <c r="R116" i="127"/>
  <c r="T116" i="127"/>
  <c r="T162" i="121"/>
  <c r="R162" i="121"/>
  <c r="Q163" i="121"/>
  <c r="Q194" i="139"/>
  <c r="R193" i="139"/>
  <c r="T193" i="139"/>
  <c r="P135" i="148"/>
  <c r="P136" i="148" s="1"/>
  <c r="P159" i="143"/>
  <c r="P160" i="143" s="1"/>
  <c r="Q12" i="143"/>
  <c r="N108" i="121"/>
  <c r="N87" i="149" s="1"/>
  <c r="Q134" i="148"/>
  <c r="Q193" i="93"/>
  <c r="U192" i="93"/>
  <c r="R192" i="93"/>
  <c r="P159" i="141"/>
  <c r="P160" i="141" s="1"/>
  <c r="Q12" i="141"/>
  <c r="U122" i="148"/>
  <c r="S122" i="148"/>
  <c r="Q123" i="148"/>
  <c r="Q36" i="122"/>
  <c r="Q11" i="127"/>
  <c r="Q12" i="90"/>
  <c r="P159" i="90"/>
  <c r="P33" i="18" s="1"/>
  <c r="Q33" i="18" s="1"/>
  <c r="Q154" i="132"/>
  <c r="R159" i="140"/>
  <c r="T159" i="140"/>
  <c r="Q160" i="140"/>
  <c r="T160" i="140" s="1"/>
  <c r="N108" i="124"/>
  <c r="N109" i="124" s="1"/>
  <c r="N110" i="124" s="1"/>
  <c r="Q107" i="124"/>
  <c r="R193" i="143"/>
  <c r="T193" i="143"/>
  <c r="Q194" i="143"/>
  <c r="Q85" i="148"/>
  <c r="U85" i="148" s="1"/>
  <c r="U84" i="148"/>
  <c r="S84" i="148"/>
  <c r="Q133" i="148"/>
  <c r="N107" i="122"/>
  <c r="N135" i="148"/>
  <c r="R195" i="140" l="1"/>
  <c r="Q195" i="142"/>
  <c r="S194" i="142"/>
  <c r="U194" i="142"/>
  <c r="U12" i="142"/>
  <c r="Q159" i="142"/>
  <c r="S12" i="142"/>
  <c r="Q33" i="132"/>
  <c r="S33" i="132" s="1"/>
  <c r="T194" i="139"/>
  <c r="R194" i="139"/>
  <c r="Q195" i="139"/>
  <c r="Q122" i="147"/>
  <c r="S121" i="147"/>
  <c r="U121" i="147"/>
  <c r="R154" i="132"/>
  <c r="Q155" i="132"/>
  <c r="Q159" i="154"/>
  <c r="R36" i="122"/>
  <c r="N109" i="121"/>
  <c r="Q164" i="121"/>
  <c r="T163" i="121"/>
  <c r="R163" i="121"/>
  <c r="Q82" i="130"/>
  <c r="T11" i="130"/>
  <c r="V11" i="130"/>
  <c r="Q159" i="139"/>
  <c r="T12" i="139"/>
  <c r="R12" i="139"/>
  <c r="R96" i="81"/>
  <c r="Q97" i="81"/>
  <c r="U96" i="81"/>
  <c r="P167" i="108"/>
  <c r="P131" i="108"/>
  <c r="P132" i="108" s="1"/>
  <c r="Q59" i="108"/>
  <c r="R12" i="93"/>
  <c r="Q158" i="93"/>
  <c r="U12" i="93"/>
  <c r="V116" i="130"/>
  <c r="Q117" i="130"/>
  <c r="T116" i="130"/>
  <c r="N69" i="18"/>
  <c r="N18" i="18"/>
  <c r="N119" i="132"/>
  <c r="Q195" i="143"/>
  <c r="R194" i="143"/>
  <c r="T194" i="143"/>
  <c r="P133" i="147"/>
  <c r="Q86" i="147"/>
  <c r="P107" i="125"/>
  <c r="P107" i="123"/>
  <c r="Q202" i="108"/>
  <c r="V201" i="108"/>
  <c r="S201" i="108"/>
  <c r="Q135" i="148"/>
  <c r="N136" i="148"/>
  <c r="Q136" i="148" s="1"/>
  <c r="S33" i="18"/>
  <c r="V33" i="18"/>
  <c r="Q159" i="141"/>
  <c r="R12" i="141"/>
  <c r="T12" i="141"/>
  <c r="Q159" i="143"/>
  <c r="R12" i="143"/>
  <c r="T12" i="143"/>
  <c r="R117" i="127"/>
  <c r="T117" i="127"/>
  <c r="Q118" i="127"/>
  <c r="P25" i="18"/>
  <c r="Q25" i="18" s="1"/>
  <c r="Q20" i="18"/>
  <c r="P18" i="18"/>
  <c r="P119" i="132"/>
  <c r="P31" i="18"/>
  <c r="Q31" i="18" s="1"/>
  <c r="P159" i="93"/>
  <c r="Q195" i="83"/>
  <c r="U194" i="83"/>
  <c r="R194" i="83"/>
  <c r="T27" i="135"/>
  <c r="Q99" i="135"/>
  <c r="T99" i="135" s="1"/>
  <c r="R11" i="127"/>
  <c r="Q82" i="127"/>
  <c r="T11" i="127"/>
  <c r="N30" i="18"/>
  <c r="N35" i="18" s="1"/>
  <c r="N160" i="83"/>
  <c r="Q163" i="122"/>
  <c r="R162" i="122"/>
  <c r="N108" i="122"/>
  <c r="T107" i="124"/>
  <c r="Q108" i="124"/>
  <c r="R107" i="124"/>
  <c r="S12" i="90"/>
  <c r="Q159" i="90"/>
  <c r="S159" i="90" s="1"/>
  <c r="S123" i="148"/>
  <c r="U123" i="148"/>
  <c r="Q124" i="148"/>
  <c r="R193" i="93"/>
  <c r="Q194" i="93"/>
  <c r="U193" i="93"/>
  <c r="Q84" i="147"/>
  <c r="S12" i="147"/>
  <c r="U12" i="147"/>
  <c r="Q195" i="90"/>
  <c r="S194" i="90"/>
  <c r="Q196" i="141"/>
  <c r="T195" i="141"/>
  <c r="R195" i="141"/>
  <c r="P196" i="83"/>
  <c r="P12" i="83" s="1"/>
  <c r="P199" i="83"/>
  <c r="Q135" i="135"/>
  <c r="T134" i="135"/>
  <c r="P63" i="81"/>
  <c r="P64" i="81" s="1"/>
  <c r="Q55" i="81"/>
  <c r="S159" i="142" l="1"/>
  <c r="U159" i="142"/>
  <c r="Q160" i="142"/>
  <c r="U160" i="142" s="1"/>
  <c r="Q196" i="142"/>
  <c r="S195" i="142"/>
  <c r="U195" i="142"/>
  <c r="Q104" i="132"/>
  <c r="Q105" i="132" s="1"/>
  <c r="R105" i="132" s="1"/>
  <c r="S105" i="132" s="1"/>
  <c r="S25" i="18"/>
  <c r="R33" i="132"/>
  <c r="Q63" i="81"/>
  <c r="U55" i="81"/>
  <c r="R82" i="127"/>
  <c r="T82" i="127"/>
  <c r="V20" i="18"/>
  <c r="S20" i="18"/>
  <c r="P108" i="125"/>
  <c r="P109" i="125" s="1"/>
  <c r="P110" i="125" s="1"/>
  <c r="Q107" i="125"/>
  <c r="T159" i="139"/>
  <c r="R159" i="139"/>
  <c r="Q160" i="139"/>
  <c r="T160" i="139" s="1"/>
  <c r="Q72" i="18"/>
  <c r="Q156" i="132"/>
  <c r="R155" i="132"/>
  <c r="Q157" i="132"/>
  <c r="P159" i="83"/>
  <c r="Q12" i="83"/>
  <c r="U84" i="147"/>
  <c r="S84" i="147"/>
  <c r="Q85" i="147"/>
  <c r="U85" i="147" s="1"/>
  <c r="N127" i="122"/>
  <c r="N109" i="122"/>
  <c r="N110" i="122" s="1"/>
  <c r="P69" i="18"/>
  <c r="P76" i="18" s="1"/>
  <c r="Q203" i="108"/>
  <c r="S202" i="108"/>
  <c r="V202" i="108"/>
  <c r="U86" i="147"/>
  <c r="R195" i="143"/>
  <c r="T195" i="143"/>
  <c r="Q159" i="93"/>
  <c r="U159" i="93" s="1"/>
  <c r="R158" i="93"/>
  <c r="T195" i="139"/>
  <c r="R195" i="139"/>
  <c r="R163" i="122"/>
  <c r="Q164" i="122"/>
  <c r="N76" i="18"/>
  <c r="Q98" i="81"/>
  <c r="U97" i="81"/>
  <c r="R97" i="81"/>
  <c r="S195" i="90"/>
  <c r="Q196" i="90"/>
  <c r="U195" i="83"/>
  <c r="R195" i="83"/>
  <c r="Q196" i="83"/>
  <c r="T159" i="141"/>
  <c r="R159" i="141"/>
  <c r="Q160" i="141"/>
  <c r="T160" i="141" s="1"/>
  <c r="P135" i="147"/>
  <c r="Q133" i="147"/>
  <c r="P134" i="147"/>
  <c r="T117" i="130"/>
  <c r="Q118" i="130"/>
  <c r="V117" i="130"/>
  <c r="Q24" i="18"/>
  <c r="Q19" i="18"/>
  <c r="Q165" i="121"/>
  <c r="T164" i="121"/>
  <c r="R164" i="121"/>
  <c r="T196" i="141"/>
  <c r="R196" i="141"/>
  <c r="S31" i="18"/>
  <c r="V31" i="18"/>
  <c r="Q123" i="147"/>
  <c r="S122" i="147"/>
  <c r="T135" i="135"/>
  <c r="Q136" i="135"/>
  <c r="R194" i="93"/>
  <c r="U194" i="93"/>
  <c r="Q109" i="124"/>
  <c r="T108" i="124"/>
  <c r="R108" i="124"/>
  <c r="P23" i="18"/>
  <c r="P21" i="18"/>
  <c r="Q160" i="143"/>
  <c r="T160" i="143" s="1"/>
  <c r="T159" i="143"/>
  <c r="R159" i="143"/>
  <c r="P108" i="123"/>
  <c r="P109" i="123" s="1"/>
  <c r="P110" i="123" s="1"/>
  <c r="Q107" i="123"/>
  <c r="N23" i="18"/>
  <c r="Q18" i="18"/>
  <c r="N21" i="18"/>
  <c r="Q131" i="108"/>
  <c r="Q132" i="108" s="1"/>
  <c r="S59" i="108"/>
  <c r="V59" i="108"/>
  <c r="Q167" i="108"/>
  <c r="V167" i="108" s="1"/>
  <c r="V82" i="130"/>
  <c r="T82" i="130"/>
  <c r="N128" i="121"/>
  <c r="N110" i="121"/>
  <c r="N111" i="121" s="1"/>
  <c r="S24" i="18" l="1"/>
  <c r="Q76" i="18"/>
  <c r="S76" i="18" s="1"/>
  <c r="P28" i="18"/>
  <c r="Q69" i="18"/>
  <c r="S69" i="18" s="1"/>
  <c r="V18" i="18"/>
  <c r="X18" i="18" s="1"/>
  <c r="Q21" i="18"/>
  <c r="S18" i="18"/>
  <c r="Q135" i="147"/>
  <c r="P108" i="121"/>
  <c r="Q197" i="83"/>
  <c r="Q199" i="83"/>
  <c r="R196" i="83"/>
  <c r="U196" i="83"/>
  <c r="U98" i="81"/>
  <c r="R98" i="81"/>
  <c r="T109" i="124"/>
  <c r="Q110" i="124"/>
  <c r="T110" i="124" s="1"/>
  <c r="Q23" i="18"/>
  <c r="N28" i="18"/>
  <c r="N36" i="18" s="1"/>
  <c r="N40" i="18" s="1"/>
  <c r="S19" i="18"/>
  <c r="V19" i="18"/>
  <c r="S203" i="108"/>
  <c r="Q204" i="108"/>
  <c r="V203" i="108"/>
  <c r="P160" i="83"/>
  <c r="P30" i="18"/>
  <c r="Q108" i="125"/>
  <c r="T107" i="125"/>
  <c r="R107" i="125"/>
  <c r="V132" i="108"/>
  <c r="V131" i="108"/>
  <c r="Q108" i="123"/>
  <c r="T107" i="123"/>
  <c r="R107" i="123"/>
  <c r="P136" i="147"/>
  <c r="Q134" i="147"/>
  <c r="P107" i="122"/>
  <c r="Q159" i="83"/>
  <c r="R12" i="83"/>
  <c r="U12" i="83"/>
  <c r="R156" i="132"/>
  <c r="Q158" i="132"/>
  <c r="Q119" i="132"/>
  <c r="Q64" i="81"/>
  <c r="U64" i="81" s="1"/>
  <c r="R63" i="81"/>
  <c r="U63" i="81"/>
  <c r="O41" i="18" l="1"/>
  <c r="O53" i="18" s="1"/>
  <c r="S21" i="18"/>
  <c r="R159" i="83"/>
  <c r="U159" i="83"/>
  <c r="Q161" i="83"/>
  <c r="Q160" i="83"/>
  <c r="U160" i="83" s="1"/>
  <c r="Q30" i="18"/>
  <c r="P35" i="18"/>
  <c r="P36" i="18" s="1"/>
  <c r="P40" i="18" s="1"/>
  <c r="Q109" i="123"/>
  <c r="T108" i="123"/>
  <c r="R108" i="123"/>
  <c r="P137" i="147"/>
  <c r="Q137" i="147" s="1"/>
  <c r="Q136" i="147"/>
  <c r="R108" i="125"/>
  <c r="Q109" i="125"/>
  <c r="T108" i="125"/>
  <c r="N78" i="18"/>
  <c r="N81" i="18" s="1"/>
  <c r="N41" i="18"/>
  <c r="N53" i="18" s="1"/>
  <c r="N37" i="18"/>
  <c r="O78" i="18"/>
  <c r="O81" i="18" s="1"/>
  <c r="S23" i="18"/>
  <c r="Q28" i="18"/>
  <c r="P108" i="122"/>
  <c r="Q107" i="122"/>
  <c r="P87" i="149"/>
  <c r="P109" i="121"/>
  <c r="Q108" i="121"/>
  <c r="P78" i="18" l="1"/>
  <c r="P81" i="18" s="1"/>
  <c r="Q40" i="18"/>
  <c r="S40" i="18" s="1"/>
  <c r="O54" i="18"/>
  <c r="O61" i="18"/>
  <c r="O62" i="18" s="1"/>
  <c r="N54" i="18"/>
  <c r="N61" i="18"/>
  <c r="N62" i="18" s="1"/>
  <c r="Q108" i="122"/>
  <c r="R107" i="122"/>
  <c r="Q87" i="149"/>
  <c r="T87" i="149" s="1"/>
  <c r="T109" i="123"/>
  <c r="Q110" i="123"/>
  <c r="T110" i="123" s="1"/>
  <c r="P127" i="122"/>
  <c r="P109" i="122"/>
  <c r="P110" i="122" s="1"/>
  <c r="T108" i="121"/>
  <c r="R108" i="121"/>
  <c r="Q109" i="121"/>
  <c r="P37" i="18"/>
  <c r="P110" i="121"/>
  <c r="P111" i="121" s="1"/>
  <c r="P128" i="121"/>
  <c r="S28" i="18"/>
  <c r="T109" i="125"/>
  <c r="Q110" i="125"/>
  <c r="T110" i="125" s="1"/>
  <c r="S30" i="18"/>
  <c r="Q35" i="18"/>
  <c r="V30" i="18"/>
  <c r="P41" i="18" l="1"/>
  <c r="P53" i="18" s="1"/>
  <c r="P54" i="18" s="1"/>
  <c r="S35" i="18"/>
  <c r="Q36" i="18"/>
  <c r="R108" i="122"/>
  <c r="Q127" i="122"/>
  <c r="Q109" i="122"/>
  <c r="Q110" i="122" s="1"/>
  <c r="Q110" i="121"/>
  <c r="Q128" i="121"/>
  <c r="T128" i="121" s="1"/>
  <c r="T109" i="121"/>
  <c r="R109" i="121"/>
  <c r="P61" i="18" l="1"/>
  <c r="P62" i="18" s="1"/>
  <c r="Z36" i="18"/>
  <c r="Q37" i="18"/>
  <c r="S36" i="18"/>
  <c r="Q41" i="18"/>
  <c r="Q53" i="18" s="1"/>
  <c r="T110" i="121"/>
  <c r="Q111" i="121"/>
  <c r="T111" i="121" s="1"/>
  <c r="S41" i="18" l="1"/>
  <c r="Q61" i="18"/>
  <c r="S53" i="18"/>
  <c r="Q54" i="18"/>
  <c r="Q57" i="18"/>
  <c r="S61" i="18" l="1"/>
  <c r="Z61" i="18"/>
  <c r="Q62" i="18"/>
</calcChain>
</file>

<file path=xl/comments1.xml><?xml version="1.0" encoding="utf-8"?>
<comments xmlns="http://schemas.openxmlformats.org/spreadsheetml/2006/main">
  <authors>
    <author>Melody Peng</author>
  </authors>
  <commentList>
    <comment ref="E22" authorId="0" shapeId="0">
      <text>
        <r>
          <rPr>
            <b/>
            <sz val="9"/>
            <color indexed="81"/>
            <rFont val="宋体"/>
            <family val="3"/>
            <charset val="134"/>
          </rPr>
          <t>Melody Peng:</t>
        </r>
        <r>
          <rPr>
            <sz val="9"/>
            <color indexed="81"/>
            <rFont val="宋体"/>
            <family val="3"/>
            <charset val="134"/>
          </rPr>
          <t xml:space="preserve">
园林养护</t>
        </r>
      </text>
    </comment>
  </commentList>
</comments>
</file>

<file path=xl/comments2.xml><?xml version="1.0" encoding="utf-8"?>
<comments xmlns="http://schemas.openxmlformats.org/spreadsheetml/2006/main">
  <authors>
    <author>Wendy</author>
  </authors>
  <commentList>
    <comment ref="G191" authorId="0" shapeId="0">
      <text>
        <r>
          <rPr>
            <b/>
            <sz val="9"/>
            <color indexed="81"/>
            <rFont val="宋体"/>
            <family val="3"/>
            <charset val="134"/>
          </rPr>
          <t>Grace Zhou:
L6级以上人员体检费，1500*4=6000</t>
        </r>
        <r>
          <rPr>
            <sz val="9"/>
            <color indexed="81"/>
            <rFont val="宋体"/>
            <family val="3"/>
            <charset val="134"/>
          </rPr>
          <t xml:space="preserve">
</t>
        </r>
      </text>
    </comment>
  </commentList>
</comments>
</file>

<file path=xl/comments3.xml><?xml version="1.0" encoding="utf-8"?>
<comments xmlns="http://schemas.openxmlformats.org/spreadsheetml/2006/main">
  <authors>
    <author>Wendy</author>
  </authors>
  <commentList>
    <comment ref="G191" authorId="0" shapeId="0">
      <text>
        <r>
          <rPr>
            <b/>
            <sz val="9"/>
            <color indexed="81"/>
            <rFont val="宋体"/>
            <family val="3"/>
            <charset val="134"/>
          </rPr>
          <t>Grace Zhou:
L6级以上人员体检费</t>
        </r>
        <r>
          <rPr>
            <sz val="9"/>
            <color indexed="81"/>
            <rFont val="宋体"/>
            <family val="3"/>
            <charset val="134"/>
          </rPr>
          <t xml:space="preserve">
</t>
        </r>
      </text>
    </comment>
  </commentList>
</comments>
</file>

<file path=xl/comments4.xml><?xml version="1.0" encoding="utf-8"?>
<comments xmlns="http://schemas.openxmlformats.org/spreadsheetml/2006/main">
  <authors>
    <author>Wendy</author>
  </authors>
  <commentList>
    <comment ref="G191" authorId="0" shapeId="0">
      <text>
        <r>
          <rPr>
            <b/>
            <sz val="9"/>
            <color indexed="81"/>
            <rFont val="宋体"/>
            <family val="3"/>
            <charset val="134"/>
          </rPr>
          <t>Grace Zhou:
L6级以上人员体检费</t>
        </r>
        <r>
          <rPr>
            <sz val="9"/>
            <color indexed="81"/>
            <rFont val="宋体"/>
            <family val="3"/>
            <charset val="134"/>
          </rPr>
          <t xml:space="preserve">
</t>
        </r>
      </text>
    </comment>
  </commentList>
</comments>
</file>

<file path=xl/comments5.xml><?xml version="1.0" encoding="utf-8"?>
<comments xmlns="http://schemas.openxmlformats.org/spreadsheetml/2006/main">
  <authors>
    <author>Wendy</author>
  </authors>
  <commentList>
    <comment ref="G190" authorId="0" shapeId="0">
      <text>
        <r>
          <rPr>
            <b/>
            <sz val="9"/>
            <color indexed="81"/>
            <rFont val="宋体"/>
            <family val="3"/>
            <charset val="134"/>
          </rPr>
          <t>Grace Zhou:
L6级以上人员体检费</t>
        </r>
        <r>
          <rPr>
            <sz val="9"/>
            <color indexed="81"/>
            <rFont val="宋体"/>
            <family val="3"/>
            <charset val="134"/>
          </rPr>
          <t xml:space="preserve">
</t>
        </r>
      </text>
    </comment>
  </commentList>
</comments>
</file>

<file path=xl/sharedStrings.xml><?xml version="1.0" encoding="utf-8"?>
<sst xmlns="http://schemas.openxmlformats.org/spreadsheetml/2006/main" count="15091" uniqueCount="1214">
  <si>
    <t>v1.0</t>
  </si>
  <si>
    <t>Uranus</t>
  </si>
  <si>
    <t>First Release</t>
  </si>
  <si>
    <t>Hotel Name</t>
  </si>
  <si>
    <t>Bsiness Unit</t>
  </si>
  <si>
    <t>B31</t>
  </si>
  <si>
    <t>Period:</t>
  </si>
  <si>
    <t>Year</t>
  </si>
  <si>
    <t>公式单元格，不需要输入</t>
  </si>
  <si>
    <t>First Period</t>
  </si>
  <si>
    <t>Current Period LY</t>
  </si>
  <si>
    <t>First Period LY</t>
  </si>
  <si>
    <t>Budget</t>
  </si>
  <si>
    <t>B</t>
  </si>
  <si>
    <t>2018001</t>
  </si>
  <si>
    <t>2018012</t>
  </si>
  <si>
    <t>Hotel Budget Report</t>
  </si>
  <si>
    <t>酒店预算报表</t>
  </si>
  <si>
    <t>Income Statement</t>
  </si>
  <si>
    <t>Account</t>
  </si>
  <si>
    <t>Dept</t>
  </si>
  <si>
    <t>BUDGET</t>
  </si>
  <si>
    <t>ACT + FCST</t>
  </si>
  <si>
    <t>LY%</t>
  </si>
  <si>
    <t>LY</t>
  </si>
  <si>
    <t>Variance</t>
  </si>
  <si>
    <t>&lt;&lt;30100110..30100192,38108100,39810200..39810300</t>
  </si>
  <si>
    <t>&lt;&lt;10099..10999</t>
  </si>
  <si>
    <r>
      <rPr>
        <sz val="16"/>
        <rFont val="Arial"/>
        <family val="2"/>
      </rPr>
      <t xml:space="preserve">Rooms Revenue </t>
    </r>
    <r>
      <rPr>
        <sz val="16"/>
        <rFont val="微软雅黑"/>
        <family val="2"/>
        <charset val="134"/>
      </rPr>
      <t>客房收入</t>
    </r>
  </si>
  <si>
    <t>&lt;&lt;30200210..30400050,38108100,39810200..39810300</t>
  </si>
  <si>
    <t>&lt;&lt;20001..29999</t>
  </si>
  <si>
    <r>
      <rPr>
        <sz val="16"/>
        <rFont val="Arial"/>
        <family val="2"/>
      </rPr>
      <t xml:space="preserve">Food and Beverage Revenue </t>
    </r>
    <r>
      <rPr>
        <sz val="16"/>
        <rFont val="微软雅黑"/>
        <family val="2"/>
        <charset val="134"/>
      </rPr>
      <t>餐饮收入</t>
    </r>
  </si>
  <si>
    <t>&lt;&lt;36010011..36800100,37013000,38108100,39810200..39810300</t>
  </si>
  <si>
    <t>&lt;&lt;31099..39000</t>
  </si>
  <si>
    <t>&lt;&lt;37011000,38108100,39810200..39810300</t>
  </si>
  <si>
    <t>&lt;&lt;39801</t>
  </si>
  <si>
    <r>
      <rPr>
        <sz val="16"/>
        <rFont val="Arial"/>
        <family val="2"/>
      </rPr>
      <t xml:space="preserve">Shop&amp;Showcase Revenue </t>
    </r>
    <r>
      <rPr>
        <sz val="16"/>
        <rFont val="微软雅黑"/>
        <family val="2"/>
        <charset val="134"/>
      </rPr>
      <t>零售和展柜收入</t>
    </r>
  </si>
  <si>
    <t>&lt;&lt;36800200..37010000,37012000..39810300</t>
  </si>
  <si>
    <r>
      <rPr>
        <sz val="16"/>
        <rFont val="Arial"/>
        <family val="2"/>
      </rPr>
      <t xml:space="preserve">Hotel Miscellaneous Revenue </t>
    </r>
    <r>
      <rPr>
        <sz val="16"/>
        <rFont val="微软雅黑"/>
        <family val="2"/>
        <charset val="134"/>
      </rPr>
      <t>酒店杂项收入</t>
    </r>
  </si>
  <si>
    <r>
      <rPr>
        <b/>
        <sz val="16"/>
        <rFont val="Arial"/>
        <family val="2"/>
      </rPr>
      <t xml:space="preserve">Total Gross Operating Revenue </t>
    </r>
    <r>
      <rPr>
        <b/>
        <sz val="16"/>
        <rFont val="微软雅黑"/>
        <family val="2"/>
        <charset val="134"/>
      </rPr>
      <t>运营总收入</t>
    </r>
  </si>
  <si>
    <t>&lt;&lt;40200100..69999999</t>
  </si>
  <si>
    <r>
      <rPr>
        <sz val="16"/>
        <rFont val="Arial"/>
        <family val="2"/>
      </rPr>
      <t xml:space="preserve">Rooms Expenses </t>
    </r>
    <r>
      <rPr>
        <sz val="16"/>
        <rFont val="微软雅黑"/>
        <family val="2"/>
        <charset val="134"/>
      </rPr>
      <t>客房费用</t>
    </r>
  </si>
  <si>
    <r>
      <rPr>
        <sz val="16"/>
        <rFont val="Arial"/>
        <family val="2"/>
      </rPr>
      <t xml:space="preserve">Food and Beverage Expenses </t>
    </r>
    <r>
      <rPr>
        <sz val="16"/>
        <rFont val="微软雅黑"/>
        <family val="2"/>
        <charset val="134"/>
      </rPr>
      <t>餐饮费用</t>
    </r>
  </si>
  <si>
    <r>
      <rPr>
        <b/>
        <sz val="16"/>
        <rFont val="Arial"/>
        <family val="2"/>
      </rPr>
      <t xml:space="preserve">Total Gross Operating Expenses </t>
    </r>
    <r>
      <rPr>
        <b/>
        <sz val="16"/>
        <rFont val="微软雅黑"/>
        <family val="2"/>
        <charset val="134"/>
      </rPr>
      <t>运营总费用</t>
    </r>
  </si>
  <si>
    <r>
      <rPr>
        <sz val="16"/>
        <rFont val="Arial"/>
        <family val="2"/>
      </rPr>
      <t xml:space="preserve">Food and Beverage Profit </t>
    </r>
    <r>
      <rPr>
        <sz val="16"/>
        <rFont val="微软雅黑"/>
        <family val="2"/>
        <charset val="134"/>
      </rPr>
      <t>餐饮利润</t>
    </r>
  </si>
  <si>
    <r>
      <rPr>
        <sz val="16"/>
        <rFont val="Arial"/>
        <family val="2"/>
      </rPr>
      <t xml:space="preserve">Shop&amp;Showcase Profit </t>
    </r>
    <r>
      <rPr>
        <sz val="16"/>
        <rFont val="微软雅黑"/>
        <family val="2"/>
        <charset val="134"/>
      </rPr>
      <t>零售和展柜利润</t>
    </r>
  </si>
  <si>
    <r>
      <rPr>
        <sz val="16"/>
        <rFont val="Arial"/>
        <family val="2"/>
      </rPr>
      <t xml:space="preserve">Miscellaneous Profit </t>
    </r>
    <r>
      <rPr>
        <sz val="16"/>
        <rFont val="微软雅黑"/>
        <family val="2"/>
        <charset val="134"/>
      </rPr>
      <t>杂项利润</t>
    </r>
  </si>
  <si>
    <r>
      <rPr>
        <b/>
        <sz val="16"/>
        <rFont val="Arial"/>
        <family val="2"/>
      </rPr>
      <t xml:space="preserve">Total Departmental Profit </t>
    </r>
    <r>
      <rPr>
        <b/>
        <sz val="16"/>
        <rFont val="微软雅黑"/>
        <family val="2"/>
        <charset val="134"/>
      </rPr>
      <t>部门利润合计</t>
    </r>
  </si>
  <si>
    <t>&lt;&lt;50010100..699999999</t>
  </si>
  <si>
    <t>&lt;&lt;41001..41004,42004,43004</t>
  </si>
  <si>
    <r>
      <rPr>
        <sz val="16"/>
        <rFont val="Arial"/>
        <family val="2"/>
      </rPr>
      <t xml:space="preserve">Administrative and General </t>
    </r>
    <r>
      <rPr>
        <sz val="16"/>
        <rFont val="微软雅黑"/>
        <family val="2"/>
        <charset val="134"/>
      </rPr>
      <t>行政部门费用</t>
    </r>
  </si>
  <si>
    <t>&lt;&lt;50010100..60014800,60014820..699999999</t>
  </si>
  <si>
    <t>&lt;&lt;41071..41073</t>
  </si>
  <si>
    <r>
      <rPr>
        <sz val="16"/>
        <rFont val="Arial"/>
        <family val="2"/>
      </rPr>
      <t xml:space="preserve">Marketing and Sales </t>
    </r>
    <r>
      <rPr>
        <sz val="16"/>
        <rFont val="微软雅黑"/>
        <family val="2"/>
        <charset val="134"/>
      </rPr>
      <t>营销费用</t>
    </r>
  </si>
  <si>
    <t>&lt;&lt;60014810</t>
  </si>
  <si>
    <r>
      <rPr>
        <sz val="16"/>
        <rFont val="Arial"/>
        <family val="2"/>
      </rPr>
      <t xml:space="preserve">Marketing Fund </t>
    </r>
    <r>
      <rPr>
        <sz val="16"/>
        <rFont val="微软雅黑"/>
        <family val="2"/>
        <charset val="134"/>
      </rPr>
      <t>市场营销基金</t>
    </r>
  </si>
  <si>
    <t>&lt;&lt;41006</t>
  </si>
  <si>
    <r>
      <rPr>
        <sz val="16"/>
        <rFont val="Arial"/>
        <family val="2"/>
      </rPr>
      <t xml:space="preserve">Repairs and Maintenance </t>
    </r>
    <r>
      <rPr>
        <sz val="16"/>
        <rFont val="微软雅黑"/>
        <family val="2"/>
        <charset val="134"/>
      </rPr>
      <t>工程维修维护费</t>
    </r>
  </si>
  <si>
    <t>&lt;&lt;41005</t>
  </si>
  <si>
    <r>
      <rPr>
        <b/>
        <sz val="16"/>
        <rFont val="Arial"/>
        <family val="2"/>
      </rPr>
      <t xml:space="preserve">Total Undistributed Operating Expenses </t>
    </r>
    <r>
      <rPr>
        <b/>
        <sz val="16"/>
        <rFont val="微软雅黑"/>
        <family val="2"/>
        <charset val="134"/>
      </rPr>
      <t>其他费用合计</t>
    </r>
  </si>
  <si>
    <r>
      <rPr>
        <b/>
        <sz val="16"/>
        <rFont val="Arial"/>
        <family val="2"/>
      </rPr>
      <t xml:space="preserve">Gross Operating Profit </t>
    </r>
    <r>
      <rPr>
        <b/>
        <sz val="16"/>
        <rFont val="微软雅黑"/>
        <family val="2"/>
        <charset val="134"/>
      </rPr>
      <t>经营毛利额</t>
    </r>
  </si>
  <si>
    <r>
      <rPr>
        <b/>
        <sz val="16"/>
        <rFont val="Arial"/>
        <family val="2"/>
      </rPr>
      <t xml:space="preserve">Gross Operating Profit % </t>
    </r>
    <r>
      <rPr>
        <b/>
        <sz val="16"/>
        <rFont val="微软雅黑"/>
        <family val="2"/>
        <charset val="134"/>
      </rPr>
      <t>经营毛利率</t>
    </r>
    <r>
      <rPr>
        <b/>
        <sz val="16"/>
        <rFont val="Arial"/>
        <family val="2"/>
      </rPr>
      <t>%</t>
    </r>
  </si>
  <si>
    <t>&lt;&lt;70010100</t>
  </si>
  <si>
    <t>&lt;&lt;70011</t>
  </si>
  <si>
    <r>
      <rPr>
        <sz val="16"/>
        <rFont val="Arial"/>
        <family val="2"/>
      </rPr>
      <t xml:space="preserve">Basic Management Fees </t>
    </r>
    <r>
      <rPr>
        <sz val="16"/>
        <rFont val="微软雅黑"/>
        <family val="2"/>
        <charset val="134"/>
      </rPr>
      <t>基本管理费</t>
    </r>
  </si>
  <si>
    <t>&lt;&lt;70010200</t>
  </si>
  <si>
    <r>
      <rPr>
        <sz val="16"/>
        <rFont val="Arial"/>
        <family val="2"/>
      </rPr>
      <t xml:space="preserve">Incentive Management Fees </t>
    </r>
    <r>
      <rPr>
        <sz val="16"/>
        <rFont val="微软雅黑"/>
        <family val="2"/>
        <charset val="134"/>
      </rPr>
      <t>奖励管理费</t>
    </r>
  </si>
  <si>
    <r>
      <rPr>
        <b/>
        <sz val="16"/>
        <rFont val="Arial"/>
        <family val="2"/>
      </rPr>
      <t xml:space="preserve">Profit Before Fixed Charges </t>
    </r>
    <r>
      <rPr>
        <b/>
        <sz val="16"/>
        <rFont val="微软雅黑"/>
        <family val="2"/>
        <charset val="134"/>
      </rPr>
      <t>固定费用前利润</t>
    </r>
  </si>
  <si>
    <t>&lt;&lt;70010300..70010400</t>
  </si>
  <si>
    <r>
      <rPr>
        <sz val="16"/>
        <rFont val="Arial"/>
        <family val="2"/>
      </rPr>
      <t xml:space="preserve">Rent </t>
    </r>
    <r>
      <rPr>
        <sz val="16"/>
        <rFont val="微软雅黑"/>
        <family val="2"/>
        <charset val="134"/>
      </rPr>
      <t>房租</t>
    </r>
  </si>
  <si>
    <t>&lt;&lt;70010010</t>
  </si>
  <si>
    <r>
      <rPr>
        <sz val="16"/>
        <rFont val="Arial"/>
        <family val="2"/>
      </rPr>
      <t xml:space="preserve">Tax and Related Fees </t>
    </r>
    <r>
      <rPr>
        <sz val="16"/>
        <rFont val="微软雅黑"/>
        <family val="2"/>
        <charset val="134"/>
      </rPr>
      <t>税金及相关附加费</t>
    </r>
  </si>
  <si>
    <t>&lt;&lt;70010800..70011000</t>
  </si>
  <si>
    <r>
      <rPr>
        <sz val="16"/>
        <rFont val="Arial"/>
        <family val="2"/>
      </rPr>
      <t xml:space="preserve">Insurance </t>
    </r>
    <r>
      <rPr>
        <sz val="16"/>
        <rFont val="微软雅黑"/>
        <family val="2"/>
        <charset val="134"/>
      </rPr>
      <t>保险</t>
    </r>
  </si>
  <si>
    <t>&lt;&lt;70010600</t>
  </si>
  <si>
    <r>
      <rPr>
        <sz val="16"/>
        <rFont val="Arial"/>
        <family val="2"/>
      </rPr>
      <t xml:space="preserve">Others </t>
    </r>
    <r>
      <rPr>
        <sz val="16"/>
        <rFont val="微软雅黑"/>
        <family val="2"/>
        <charset val="134"/>
      </rPr>
      <t>其他</t>
    </r>
  </si>
  <si>
    <r>
      <rPr>
        <b/>
        <sz val="16"/>
        <rFont val="Arial"/>
        <family val="2"/>
      </rPr>
      <t xml:space="preserve">Total Fixed Charges </t>
    </r>
    <r>
      <rPr>
        <b/>
        <sz val="16"/>
        <rFont val="微软雅黑"/>
        <family val="2"/>
        <charset val="134"/>
      </rPr>
      <t>固定费用合计</t>
    </r>
  </si>
  <si>
    <t>&lt;&lt;39810601</t>
  </si>
  <si>
    <r>
      <rPr>
        <sz val="16"/>
        <rFont val="Arial"/>
        <family val="2"/>
      </rPr>
      <t xml:space="preserve">Interest (Income) </t>
    </r>
    <r>
      <rPr>
        <sz val="16"/>
        <rFont val="微软雅黑"/>
        <family val="2"/>
        <charset val="134"/>
      </rPr>
      <t>利息收入</t>
    </r>
  </si>
  <si>
    <t>None</t>
  </si>
  <si>
    <r>
      <rPr>
        <sz val="16"/>
        <rFont val="Arial"/>
        <family val="2"/>
      </rPr>
      <t xml:space="preserve">Interest Expense </t>
    </r>
    <r>
      <rPr>
        <sz val="16"/>
        <rFont val="微软雅黑"/>
        <family val="2"/>
        <charset val="134"/>
      </rPr>
      <t>利息费用</t>
    </r>
  </si>
  <si>
    <t>&lt;&lt;70011100</t>
  </si>
  <si>
    <r>
      <rPr>
        <sz val="16"/>
        <rFont val="Arial"/>
        <family val="2"/>
      </rPr>
      <t xml:space="preserve">Other Non Operating (Income) Expenses </t>
    </r>
    <r>
      <rPr>
        <sz val="16"/>
        <rFont val="微软雅黑"/>
        <family val="2"/>
        <charset val="134"/>
      </rPr>
      <t>其他非营运费用</t>
    </r>
  </si>
  <si>
    <r>
      <rPr>
        <b/>
        <sz val="16"/>
        <rFont val="Arial"/>
        <family val="2"/>
      </rPr>
      <t xml:space="preserve">Total Non Operating (Income) Expenses </t>
    </r>
    <r>
      <rPr>
        <b/>
        <sz val="16"/>
        <rFont val="微软雅黑"/>
        <family val="2"/>
        <charset val="134"/>
      </rPr>
      <t>非营运费用</t>
    </r>
    <r>
      <rPr>
        <b/>
        <sz val="16"/>
        <rFont val="Arial"/>
        <family val="2"/>
      </rPr>
      <t>(</t>
    </r>
    <r>
      <rPr>
        <b/>
        <sz val="16"/>
        <rFont val="微软雅黑"/>
        <family val="2"/>
        <charset val="134"/>
      </rPr>
      <t>收入</t>
    </r>
    <r>
      <rPr>
        <b/>
        <sz val="16"/>
        <rFont val="Arial"/>
        <family val="2"/>
      </rPr>
      <t>)</t>
    </r>
    <r>
      <rPr>
        <b/>
        <sz val="16"/>
        <rFont val="微软雅黑"/>
        <family val="2"/>
        <charset val="134"/>
      </rPr>
      <t>合计</t>
    </r>
  </si>
  <si>
    <r>
      <rPr>
        <b/>
        <sz val="16"/>
        <rFont val="Arial"/>
        <family val="2"/>
      </rPr>
      <t xml:space="preserve">Net Operating Income (Loss) </t>
    </r>
    <r>
      <rPr>
        <b/>
        <sz val="16"/>
        <rFont val="微软雅黑"/>
        <family val="2"/>
        <charset val="134"/>
      </rPr>
      <t>净利润</t>
    </r>
    <r>
      <rPr>
        <b/>
        <sz val="16"/>
        <rFont val="Arial"/>
        <family val="2"/>
      </rPr>
      <t>(</t>
    </r>
    <r>
      <rPr>
        <b/>
        <sz val="16"/>
        <rFont val="微软雅黑"/>
        <family val="2"/>
        <charset val="134"/>
      </rPr>
      <t>亏损</t>
    </r>
    <r>
      <rPr>
        <b/>
        <sz val="16"/>
        <rFont val="Arial"/>
        <family val="2"/>
      </rPr>
      <t>)</t>
    </r>
  </si>
  <si>
    <r>
      <rPr>
        <b/>
        <sz val="16"/>
        <rFont val="Arial"/>
        <family val="2"/>
      </rPr>
      <t xml:space="preserve">Net Operating Income (Loss) % </t>
    </r>
    <r>
      <rPr>
        <b/>
        <sz val="16"/>
        <rFont val="微软雅黑"/>
        <family val="2"/>
        <charset val="134"/>
      </rPr>
      <t>净利润</t>
    </r>
    <r>
      <rPr>
        <b/>
        <sz val="16"/>
        <rFont val="Arial"/>
        <family val="2"/>
      </rPr>
      <t>(</t>
    </r>
    <r>
      <rPr>
        <b/>
        <sz val="16"/>
        <rFont val="微软雅黑"/>
        <family val="2"/>
        <charset val="134"/>
      </rPr>
      <t>亏损</t>
    </r>
    <r>
      <rPr>
        <b/>
        <sz val="16"/>
        <rFont val="Arial"/>
        <family val="2"/>
      </rPr>
      <t>)</t>
    </r>
    <r>
      <rPr>
        <b/>
        <sz val="16"/>
        <rFont val="微软雅黑"/>
        <family val="2"/>
        <charset val="134"/>
      </rPr>
      <t>率</t>
    </r>
    <r>
      <rPr>
        <b/>
        <sz val="16"/>
        <rFont val="Arial"/>
        <family val="2"/>
      </rPr>
      <t>%</t>
    </r>
  </si>
  <si>
    <t>&lt;&lt;70100</t>
  </si>
  <si>
    <r>
      <rPr>
        <sz val="16"/>
        <rFont val="Arial"/>
        <family val="2"/>
      </rPr>
      <t xml:space="preserve">Owner Office Expenses </t>
    </r>
    <r>
      <rPr>
        <sz val="16"/>
        <rFont val="微软雅黑"/>
        <family val="2"/>
        <charset val="134"/>
      </rPr>
      <t>业主办公室费用</t>
    </r>
  </si>
  <si>
    <t>.</t>
  </si>
  <si>
    <t>&lt;&lt;70010500</t>
  </si>
  <si>
    <r>
      <rPr>
        <sz val="16"/>
        <rFont val="Arial"/>
        <family val="2"/>
      </rPr>
      <t xml:space="preserve">Pre-opening Expenses </t>
    </r>
    <r>
      <rPr>
        <sz val="16"/>
        <rFont val="微软雅黑"/>
        <family val="2"/>
        <charset val="134"/>
      </rPr>
      <t>预开业费用</t>
    </r>
  </si>
  <si>
    <t>&lt;&lt;70010700</t>
  </si>
  <si>
    <r>
      <rPr>
        <sz val="16"/>
        <rFont val="Arial"/>
        <family val="2"/>
      </rPr>
      <t xml:space="preserve">FFE Reserve </t>
    </r>
    <r>
      <rPr>
        <sz val="16"/>
        <rFont val="微软雅黑"/>
        <family val="2"/>
        <charset val="134"/>
      </rPr>
      <t>资产储备</t>
    </r>
  </si>
  <si>
    <r>
      <rPr>
        <b/>
        <sz val="16"/>
        <rFont val="Arial"/>
        <family val="2"/>
      </rPr>
      <t xml:space="preserve">Adjusted Net Operating Income (Loss) </t>
    </r>
    <r>
      <rPr>
        <b/>
        <sz val="16"/>
        <rFont val="微软雅黑"/>
        <family val="2"/>
        <charset val="134"/>
      </rPr>
      <t>调整后净利润</t>
    </r>
    <r>
      <rPr>
        <b/>
        <sz val="16"/>
        <rFont val="Arial"/>
        <family val="2"/>
      </rPr>
      <t>(</t>
    </r>
    <r>
      <rPr>
        <b/>
        <sz val="16"/>
        <rFont val="微软雅黑"/>
        <family val="2"/>
        <charset val="134"/>
      </rPr>
      <t>亏损</t>
    </r>
    <r>
      <rPr>
        <b/>
        <sz val="16"/>
        <rFont val="Arial"/>
        <family val="2"/>
      </rPr>
      <t>)</t>
    </r>
  </si>
  <si>
    <r>
      <rPr>
        <b/>
        <sz val="16"/>
        <rFont val="Arial"/>
        <family val="2"/>
      </rPr>
      <t xml:space="preserve">Adjusted Net Operating Income (Loss) % </t>
    </r>
    <r>
      <rPr>
        <b/>
        <sz val="16"/>
        <rFont val="微软雅黑"/>
        <family val="2"/>
        <charset val="134"/>
      </rPr>
      <t>调整后净利润</t>
    </r>
    <r>
      <rPr>
        <b/>
        <sz val="16"/>
        <rFont val="Arial"/>
        <family val="2"/>
      </rPr>
      <t>(</t>
    </r>
    <r>
      <rPr>
        <b/>
        <sz val="16"/>
        <rFont val="微软雅黑"/>
        <family val="2"/>
        <charset val="134"/>
      </rPr>
      <t>亏损</t>
    </r>
    <r>
      <rPr>
        <b/>
        <sz val="16"/>
        <rFont val="Arial"/>
        <family val="2"/>
      </rPr>
      <t>)</t>
    </r>
    <r>
      <rPr>
        <b/>
        <sz val="16"/>
        <rFont val="微软雅黑"/>
        <family val="2"/>
        <charset val="134"/>
      </rPr>
      <t>率</t>
    </r>
    <r>
      <rPr>
        <b/>
        <sz val="16"/>
        <rFont val="Arial"/>
        <family val="2"/>
      </rPr>
      <t>%</t>
    </r>
  </si>
  <si>
    <t>&lt;&lt;90010201</t>
  </si>
  <si>
    <t>&lt;&lt;10100</t>
  </si>
  <si>
    <r>
      <rPr>
        <b/>
        <sz val="16"/>
        <rFont val="Arial"/>
        <family val="2"/>
      </rPr>
      <t xml:space="preserve">Total Rooms </t>
    </r>
    <r>
      <rPr>
        <b/>
        <sz val="16"/>
        <rFont val="微软雅黑"/>
        <family val="2"/>
        <charset val="134"/>
      </rPr>
      <t>总房间数</t>
    </r>
  </si>
  <si>
    <t>&lt;&lt;90010205</t>
  </si>
  <si>
    <r>
      <rPr>
        <b/>
        <sz val="16"/>
        <rFont val="Arial"/>
        <family val="2"/>
      </rPr>
      <t xml:space="preserve">Room Sold </t>
    </r>
    <r>
      <rPr>
        <b/>
        <sz val="16"/>
        <rFont val="微软雅黑"/>
        <family val="2"/>
        <charset val="134"/>
      </rPr>
      <t>付费房间数</t>
    </r>
  </si>
  <si>
    <r>
      <rPr>
        <b/>
        <sz val="16"/>
        <rFont val="Arial"/>
        <family val="2"/>
      </rPr>
      <t xml:space="preserve">Paid Occupancy </t>
    </r>
    <r>
      <rPr>
        <b/>
        <sz val="16"/>
        <rFont val="微软雅黑"/>
        <family val="2"/>
        <charset val="134"/>
      </rPr>
      <t>付费房入出租率</t>
    </r>
    <r>
      <rPr>
        <b/>
        <sz val="16"/>
        <rFont val="Arial"/>
        <family val="2"/>
      </rPr>
      <t>%</t>
    </r>
  </si>
  <si>
    <r>
      <rPr>
        <b/>
        <sz val="16"/>
        <rFont val="Arial"/>
        <family val="2"/>
      </rPr>
      <t xml:space="preserve">Average Rate </t>
    </r>
    <r>
      <rPr>
        <b/>
        <sz val="16"/>
        <rFont val="微软雅黑"/>
        <family val="2"/>
        <charset val="134"/>
      </rPr>
      <t>平均房费</t>
    </r>
  </si>
  <si>
    <r>
      <rPr>
        <b/>
        <sz val="16"/>
        <rFont val="Arial"/>
        <family val="2"/>
      </rPr>
      <t xml:space="preserve">RevPAR </t>
    </r>
    <r>
      <rPr>
        <b/>
        <sz val="16"/>
        <rFont val="微软雅黑"/>
        <family val="2"/>
        <charset val="134"/>
      </rPr>
      <t>可用房平均房费</t>
    </r>
  </si>
  <si>
    <t>&lt;&lt;5..59999999</t>
  </si>
  <si>
    <t>&lt;ALL&gt;</t>
  </si>
  <si>
    <t>&lt;&lt;90030100</t>
  </si>
  <si>
    <r>
      <rPr>
        <b/>
        <sz val="16"/>
        <rFont val="Arial"/>
        <family val="2"/>
      </rPr>
      <t xml:space="preserve">FTEs </t>
    </r>
    <r>
      <rPr>
        <b/>
        <sz val="16"/>
        <rFont val="微软雅黑"/>
        <family val="2"/>
        <charset val="134"/>
      </rPr>
      <t>全职员工人数</t>
    </r>
  </si>
  <si>
    <t>YTD GOP</t>
  </si>
  <si>
    <t>YTD Rent</t>
  </si>
  <si>
    <t>YTD Basic Management Fees</t>
  </si>
  <si>
    <t>YTD Adjust GOP</t>
  </si>
  <si>
    <r>
      <rPr>
        <b/>
        <sz val="18"/>
        <rFont val="Arial"/>
        <family val="2"/>
      </rPr>
      <t xml:space="preserve">Rooms Summary </t>
    </r>
    <r>
      <rPr>
        <b/>
        <sz val="18"/>
        <rFont val="微软雅黑"/>
        <family val="2"/>
        <charset val="134"/>
      </rPr>
      <t>房务部损益</t>
    </r>
  </si>
  <si>
    <t>L2</t>
  </si>
  <si>
    <r>
      <rPr>
        <b/>
        <sz val="16"/>
        <rFont val="Arial"/>
        <family val="2"/>
      </rPr>
      <t xml:space="preserve">REVENUE </t>
    </r>
    <r>
      <rPr>
        <b/>
        <sz val="16"/>
        <rFont val="宋体"/>
        <family val="3"/>
        <charset val="134"/>
      </rPr>
      <t>收入</t>
    </r>
  </si>
  <si>
    <t>&lt;&lt;30100110..30100180</t>
  </si>
  <si>
    <t>&lt;&lt;LDTA,LDMW,LINW</t>
  </si>
  <si>
    <t>T&amp;A 旅行社</t>
  </si>
  <si>
    <t>&lt;&lt;TFIT,LWMM,ADV,TPKG,OPKG,TGDS,TWMM,TDMH</t>
  </si>
  <si>
    <t>FIT 散客</t>
  </si>
  <si>
    <t>&lt;&lt;TSMG,LDMA,VCOR,VSMF,VASS,GOT,VINC,LDSE,LISE,LINA</t>
  </si>
  <si>
    <t>Group 团队</t>
  </si>
  <si>
    <t>&lt;&lt;TCOR,COA,COB,COC,COS,OOWN,TIND,TPAR</t>
  </si>
  <si>
    <t>Corp 商务</t>
  </si>
  <si>
    <t>&lt;&lt;LSG</t>
  </si>
  <si>
    <r>
      <rPr>
        <sz val="16"/>
        <rFont val="Arial"/>
        <family val="2"/>
      </rPr>
      <t xml:space="preserve">Contract </t>
    </r>
    <r>
      <rPr>
        <sz val="16"/>
        <rFont val="微软雅黑"/>
        <family val="2"/>
        <charset val="134"/>
      </rPr>
      <t>合同</t>
    </r>
  </si>
  <si>
    <r>
      <rPr>
        <b/>
        <sz val="16"/>
        <rFont val="Arial"/>
        <family val="2"/>
      </rPr>
      <t xml:space="preserve">Rooms Revenue </t>
    </r>
    <r>
      <rPr>
        <b/>
        <sz val="16"/>
        <rFont val="宋体"/>
        <family val="3"/>
        <charset val="134"/>
      </rPr>
      <t>房费收入</t>
    </r>
  </si>
  <si>
    <t>&lt;&lt;38108100</t>
  </si>
  <si>
    <t>Service Charge 服务费</t>
  </si>
  <si>
    <t>&lt;&lt;30100190..30100192</t>
  </si>
  <si>
    <t>Other Revenue 其他收入</t>
  </si>
  <si>
    <r>
      <rPr>
        <b/>
        <sz val="16"/>
        <rFont val="Arial"/>
        <family val="2"/>
      </rPr>
      <t xml:space="preserve">Total Rooms Revenue </t>
    </r>
    <r>
      <rPr>
        <b/>
        <sz val="16"/>
        <rFont val="宋体"/>
        <family val="3"/>
        <charset val="134"/>
      </rPr>
      <t>客房收入合计</t>
    </r>
  </si>
  <si>
    <t>Rooms Sold付费房间数</t>
  </si>
  <si>
    <t>Total Rooms Sold总付费房间数</t>
  </si>
  <si>
    <t>Total Rooms 总房间数</t>
  </si>
  <si>
    <t>Paid Occupancy 付费房入住率</t>
  </si>
  <si>
    <t>Average Rate 平均房费</t>
  </si>
  <si>
    <t>&lt;&lt;10200,10300,10400,10099</t>
  </si>
  <si>
    <r>
      <rPr>
        <b/>
        <sz val="16"/>
        <rFont val="Arial"/>
        <family val="2"/>
      </rPr>
      <t xml:space="preserve">Total Labour Costs </t>
    </r>
    <r>
      <rPr>
        <b/>
        <sz val="16"/>
        <rFont val="宋体"/>
        <family val="3"/>
        <charset val="134"/>
      </rPr>
      <t>人工成本合计</t>
    </r>
  </si>
  <si>
    <r>
      <rPr>
        <b/>
        <sz val="16"/>
        <rFont val="Arial"/>
        <family val="2"/>
      </rPr>
      <t xml:space="preserve">OPERATING EXPENSES </t>
    </r>
    <r>
      <rPr>
        <b/>
        <sz val="16"/>
        <rFont val="宋体"/>
        <family val="3"/>
        <charset val="134"/>
      </rPr>
      <t>营运费用</t>
    </r>
  </si>
  <si>
    <t>CPOR</t>
  </si>
  <si>
    <t>&lt;&lt;60010011</t>
  </si>
  <si>
    <t>Comm - Travel Agents 佣金 - 旅行社</t>
  </si>
  <si>
    <t>&lt;&lt;60010012</t>
  </si>
  <si>
    <t>Comm - Reservation Assessments 客房系统预定费</t>
  </si>
  <si>
    <t>&lt;&lt;60010013</t>
  </si>
  <si>
    <t>Comm - DMH Reservation Fees DMH预订系统费用</t>
  </si>
  <si>
    <t>&lt;&lt;60010014</t>
  </si>
  <si>
    <t>Comm - Other 佣金 - 其他</t>
  </si>
  <si>
    <t>&lt;&lt;60010021</t>
  </si>
  <si>
    <t>Complimentaries - Give Away 免费赠送</t>
  </si>
  <si>
    <t>&lt;&lt;60010022</t>
  </si>
  <si>
    <t>Complimentary Food&amp;Beverage 免费餐饮</t>
  </si>
  <si>
    <t>&lt;&lt;60010030</t>
  </si>
  <si>
    <t>Competitor Survey竞争对手调研费</t>
  </si>
  <si>
    <t>&lt;&lt;60010040</t>
  </si>
  <si>
    <t>Contract Cleaning 清洁合同</t>
  </si>
  <si>
    <t>&lt;&lt;60010050</t>
  </si>
  <si>
    <t>Contract Services 服务合同</t>
  </si>
  <si>
    <t>&lt;&lt;60010060</t>
  </si>
  <si>
    <t>Promotion Decoration 推广装饰</t>
  </si>
  <si>
    <t>&lt;&lt;60010070</t>
  </si>
  <si>
    <t>Dues &amp; Subscriptions 会费/订阅</t>
  </si>
  <si>
    <t>&lt;&lt;60010080</t>
  </si>
  <si>
    <t>Entertainment 招待</t>
  </si>
  <si>
    <t>&lt;&lt;60010091</t>
  </si>
  <si>
    <t xml:space="preserve">Guest Relocation Expenses 客人搬家费 </t>
  </si>
  <si>
    <t>&lt;&lt;60010092</t>
  </si>
  <si>
    <t>Guest Supplies 客用品 - Cleaning 清洁</t>
  </si>
  <si>
    <t>&lt;&lt;60010093</t>
  </si>
  <si>
    <t>Guest Supplies 客用品 - Magazines&amp;Newspapers 杂志&amp;报纸</t>
  </si>
  <si>
    <t>&lt;&lt;60010094</t>
  </si>
  <si>
    <t>Guest Supplies 客用品 - Others 其他</t>
  </si>
  <si>
    <t>&lt;&lt;60010110</t>
  </si>
  <si>
    <t>Communication/Satellite/Cable 通讯/卫星/有线收视</t>
  </si>
  <si>
    <t>&lt;&lt;60010120</t>
  </si>
  <si>
    <t>Reservations Fees预订费</t>
  </si>
  <si>
    <t>&lt;&lt;60010130</t>
  </si>
  <si>
    <t>Pest Control 杀虫</t>
  </si>
  <si>
    <t>&lt;&lt;60011210</t>
  </si>
  <si>
    <t>Chinaware 瓷器</t>
  </si>
  <si>
    <t>&lt;&lt;60011220</t>
  </si>
  <si>
    <t>Cleaning Supplies&amp;Chemicals 清洁用品&amp;化学药剂</t>
  </si>
  <si>
    <t>&lt;&lt;60011230</t>
  </si>
  <si>
    <t>Flatware 餐具</t>
  </si>
  <si>
    <t>&lt;&lt;60011240</t>
  </si>
  <si>
    <t>Glassware 玻璃器皿</t>
  </si>
  <si>
    <t>&lt;&lt;60011250</t>
  </si>
  <si>
    <t>Linen 布巾</t>
  </si>
  <si>
    <t>&lt;&lt;60011260</t>
  </si>
  <si>
    <t>Silverware 银器</t>
  </si>
  <si>
    <t>&lt;&lt;60011270</t>
  </si>
  <si>
    <t>Other Operating Supplies 其他运营用品</t>
  </si>
  <si>
    <t>&lt;&lt;60011280</t>
  </si>
  <si>
    <t>Utensils 器具</t>
  </si>
  <si>
    <t>&lt;&lt;60011290</t>
  </si>
  <si>
    <t>Paper Supplies 纸张用品</t>
  </si>
  <si>
    <t>&lt;&lt;60011310</t>
  </si>
  <si>
    <t>Uniforms 制服</t>
  </si>
  <si>
    <t>&lt;&lt;60011320</t>
  </si>
  <si>
    <t>Laundry Supplies 洗衣用品</t>
  </si>
  <si>
    <t>&lt;&lt;60011410</t>
  </si>
  <si>
    <t>Flyers 传单</t>
  </si>
  <si>
    <t>&lt;&lt;60011420</t>
  </si>
  <si>
    <t>Menus &amp; Beverage Lists 菜单及饮料单</t>
  </si>
  <si>
    <t>&lt;&lt;60011430</t>
  </si>
  <si>
    <t>Food &amp; Beverage Promotions 餐饮促销</t>
  </si>
  <si>
    <t>&lt;&lt;60011440</t>
  </si>
  <si>
    <t>Promotional Gifts 推广礼品</t>
  </si>
  <si>
    <t>&lt;&lt;60011450</t>
  </si>
  <si>
    <t>Promotions 促销</t>
  </si>
  <si>
    <t>&lt;&lt;60011460</t>
  </si>
  <si>
    <t>Plant Hire 植物租摆</t>
  </si>
  <si>
    <t>&lt;&lt;60011470</t>
  </si>
  <si>
    <t>Music/Entertainment 音乐/娱乐</t>
  </si>
  <si>
    <t>&lt;&lt;60011480</t>
  </si>
  <si>
    <t>Banquet Expenses 宴会费用</t>
  </si>
  <si>
    <t>&lt;&lt;60011510</t>
  </si>
  <si>
    <t>Kitchen Fuel 厨房燃料</t>
  </si>
  <si>
    <t>&lt;&lt;60011520</t>
  </si>
  <si>
    <t>Hygiene 卫生</t>
  </si>
  <si>
    <t>&lt;&lt;60011530</t>
  </si>
  <si>
    <t>Medical/First Aid Expenses 急救费用</t>
  </si>
  <si>
    <t>&lt;&lt;60011540</t>
  </si>
  <si>
    <t>Equipment Rental 设备租金</t>
  </si>
  <si>
    <t>&lt;&lt;60011550</t>
  </si>
  <si>
    <t>Food Testing 食品测试</t>
  </si>
  <si>
    <t>&lt;&lt;60011561</t>
  </si>
  <si>
    <t>Oil 汽油</t>
  </si>
  <si>
    <t>&lt;&lt;60011562</t>
  </si>
  <si>
    <t>Vehicles Maintenance 车辆维修</t>
  </si>
  <si>
    <t>&lt;&lt;60011563</t>
  </si>
  <si>
    <t>Vehicle Insurance 车辆保险</t>
  </si>
  <si>
    <t>&lt;&lt;60011564</t>
  </si>
  <si>
    <t>Vehicle Tax 车辆税</t>
  </si>
  <si>
    <t>&lt;&lt;60011610</t>
  </si>
  <si>
    <t>Pool Supplies 泳池用品</t>
  </si>
  <si>
    <t>&lt;&lt;60011620</t>
  </si>
  <si>
    <t>General Supplies-GuestLaundry 一般用品-客衣</t>
  </si>
  <si>
    <t>&lt;&lt;60011910</t>
  </si>
  <si>
    <t>Staff Canteen-Food 员工餐厅食品</t>
  </si>
  <si>
    <t>&lt;&lt;60011920</t>
  </si>
  <si>
    <t>Staff Canteen-Beverage 员工餐厅饮料酒水</t>
  </si>
  <si>
    <t>&lt;&lt;60011930</t>
  </si>
  <si>
    <t>Dormitory Supplies 员工宿舍用品</t>
  </si>
  <si>
    <t>&lt;&lt;60012010</t>
  </si>
  <si>
    <t>Photocopy 复印费</t>
  </si>
  <si>
    <t>&lt;&lt;60012020</t>
  </si>
  <si>
    <t>Postage 邮费</t>
  </si>
  <si>
    <t>&lt;&lt;60012030</t>
  </si>
  <si>
    <t>Printing &amp; Stationery 印刷与文具</t>
  </si>
  <si>
    <t>&lt;&lt;60012040</t>
  </si>
  <si>
    <t>Internal Laundry 内部洗衣</t>
  </si>
  <si>
    <t>&lt;&lt;60012050</t>
  </si>
  <si>
    <t>Taskforce Expenses 外援费用</t>
  </si>
  <si>
    <t>&lt;&lt;60012060</t>
  </si>
  <si>
    <t>Telephone 电话费</t>
  </si>
  <si>
    <t>&lt;&lt;60012070</t>
  </si>
  <si>
    <t>Transportation 交通 - Guest 客人</t>
  </si>
  <si>
    <t>&lt;&lt;60012080</t>
  </si>
  <si>
    <t>Transportation 交通 - Staff 员工</t>
  </si>
  <si>
    <t>&lt;&lt;60012090</t>
  </si>
  <si>
    <t xml:space="preserve">Travelling Expenses 差旅费 </t>
  </si>
  <si>
    <t>&lt;&lt;60014101</t>
  </si>
  <si>
    <t>Lost &amp; Damaged 丢失与损坏</t>
  </si>
  <si>
    <t>&lt;&lt;60014102</t>
  </si>
  <si>
    <t>License Fee 执照/许可证费</t>
  </si>
  <si>
    <t>&lt;&lt;60014104</t>
  </si>
  <si>
    <t>Professional Services 专业服务</t>
  </si>
  <si>
    <t>&lt;&lt;60014115</t>
  </si>
  <si>
    <t>Supervision Fee 监管费</t>
  </si>
  <si>
    <t>&lt;&lt;60014117</t>
  </si>
  <si>
    <t>Corporate Office Charges 集团收费</t>
  </si>
  <si>
    <t>&lt;&lt;60011490</t>
  </si>
  <si>
    <t>Miscellaneous Expenses 杂项</t>
  </si>
  <si>
    <r>
      <rPr>
        <b/>
        <sz val="16"/>
        <rFont val="Arial"/>
        <family val="2"/>
      </rPr>
      <t xml:space="preserve">Total Operating Expenses </t>
    </r>
    <r>
      <rPr>
        <b/>
        <sz val="16"/>
        <rFont val="宋体"/>
        <family val="3"/>
        <charset val="134"/>
      </rPr>
      <t>营运费用合计</t>
    </r>
  </si>
  <si>
    <r>
      <rPr>
        <b/>
        <sz val="16"/>
        <rFont val="Arial"/>
        <family val="2"/>
      </rPr>
      <t xml:space="preserve">Department Profit/(Loss) </t>
    </r>
    <r>
      <rPr>
        <b/>
        <sz val="16"/>
        <rFont val="宋体"/>
        <family val="3"/>
        <charset val="134"/>
      </rPr>
      <t>部门利润（亏损）</t>
    </r>
  </si>
  <si>
    <r>
      <rPr>
        <b/>
        <sz val="16"/>
        <rFont val="Arial"/>
        <family val="2"/>
      </rPr>
      <t xml:space="preserve">Department Profit/(Loss)% </t>
    </r>
    <r>
      <rPr>
        <b/>
        <sz val="16"/>
        <rFont val="宋体"/>
        <family val="3"/>
        <charset val="134"/>
      </rPr>
      <t>部门利润（亏损）率</t>
    </r>
    <r>
      <rPr>
        <b/>
        <sz val="16"/>
        <rFont val="Arial"/>
        <family val="2"/>
      </rPr>
      <t>%</t>
    </r>
  </si>
  <si>
    <t>&lt;&lt;90010203</t>
  </si>
  <si>
    <r>
      <rPr>
        <b/>
        <sz val="16"/>
        <rFont val="Arial"/>
        <family val="2"/>
      </rPr>
      <t xml:space="preserve">Available Rooms </t>
    </r>
    <r>
      <rPr>
        <b/>
        <sz val="16"/>
        <rFont val="微软雅黑"/>
        <family val="2"/>
        <charset val="134"/>
      </rPr>
      <t>可用房数</t>
    </r>
  </si>
  <si>
    <t>&lt;&lt;90010208</t>
  </si>
  <si>
    <r>
      <rPr>
        <b/>
        <sz val="16"/>
        <rFont val="Arial"/>
        <family val="2"/>
      </rPr>
      <t xml:space="preserve">Out of Order Rooms </t>
    </r>
    <r>
      <rPr>
        <b/>
        <sz val="16"/>
        <rFont val="微软雅黑"/>
        <family val="2"/>
        <charset val="134"/>
      </rPr>
      <t>大修房数</t>
    </r>
  </si>
  <si>
    <t>&lt;&lt;90010209</t>
  </si>
  <si>
    <r>
      <rPr>
        <b/>
        <sz val="16"/>
        <rFont val="Arial"/>
        <family val="2"/>
      </rPr>
      <t xml:space="preserve">Out of Service Rooms </t>
    </r>
    <r>
      <rPr>
        <b/>
        <sz val="16"/>
        <rFont val="微软雅黑"/>
        <family val="2"/>
        <charset val="134"/>
      </rPr>
      <t>小维修房数</t>
    </r>
  </si>
  <si>
    <r>
      <rPr>
        <b/>
        <sz val="16"/>
        <rFont val="Arial"/>
        <family val="2"/>
      </rPr>
      <t xml:space="preserve">Room Sold </t>
    </r>
    <r>
      <rPr>
        <b/>
        <sz val="16"/>
        <rFont val="微软雅黑"/>
        <family val="2"/>
        <charset val="134"/>
      </rPr>
      <t>付费房数</t>
    </r>
  </si>
  <si>
    <t>&lt;&lt;90010206</t>
  </si>
  <si>
    <r>
      <rPr>
        <b/>
        <sz val="16"/>
        <rFont val="Arial"/>
        <family val="2"/>
      </rPr>
      <t xml:space="preserve">Complimentary Rooms </t>
    </r>
    <r>
      <rPr>
        <b/>
        <sz val="16"/>
        <rFont val="微软雅黑"/>
        <family val="2"/>
        <charset val="134"/>
      </rPr>
      <t>免费房数</t>
    </r>
  </si>
  <si>
    <t>&lt;&lt;90010207</t>
  </si>
  <si>
    <r>
      <rPr>
        <b/>
        <sz val="16"/>
        <rFont val="Arial"/>
        <family val="2"/>
      </rPr>
      <t xml:space="preserve">House Use Rooms </t>
    </r>
    <r>
      <rPr>
        <b/>
        <sz val="16"/>
        <rFont val="微软雅黑"/>
        <family val="2"/>
        <charset val="134"/>
      </rPr>
      <t>自用房数</t>
    </r>
  </si>
  <si>
    <r>
      <rPr>
        <b/>
        <sz val="16"/>
        <rFont val="Arial"/>
        <family val="2"/>
      </rPr>
      <t xml:space="preserve">Total Occupied Rooms </t>
    </r>
    <r>
      <rPr>
        <b/>
        <sz val="16"/>
        <rFont val="微软雅黑"/>
        <family val="2"/>
        <charset val="134"/>
      </rPr>
      <t>占用房间合计</t>
    </r>
  </si>
  <si>
    <r>
      <rPr>
        <b/>
        <sz val="16"/>
        <rFont val="Arial"/>
        <family val="2"/>
      </rPr>
      <t xml:space="preserve">Total Occupancy % </t>
    </r>
    <r>
      <rPr>
        <b/>
        <sz val="16"/>
        <rFont val="微软雅黑"/>
        <family val="2"/>
        <charset val="134"/>
      </rPr>
      <t>出租率合计</t>
    </r>
  </si>
  <si>
    <r>
      <rPr>
        <b/>
        <sz val="16"/>
        <rFont val="Arial"/>
        <family val="2"/>
      </rPr>
      <t xml:space="preserve">Paid Occupancy % </t>
    </r>
    <r>
      <rPr>
        <b/>
        <sz val="16"/>
        <rFont val="微软雅黑"/>
        <family val="2"/>
        <charset val="134"/>
      </rPr>
      <t>付费房出租率</t>
    </r>
  </si>
  <si>
    <r>
      <rPr>
        <b/>
        <sz val="16"/>
        <rFont val="Arial"/>
        <family val="2"/>
      </rPr>
      <t xml:space="preserve">RevPAR </t>
    </r>
    <r>
      <rPr>
        <b/>
        <sz val="16"/>
        <rFont val="微软雅黑"/>
        <family val="2"/>
        <charset val="134"/>
      </rPr>
      <t>每间房平均房费</t>
    </r>
  </si>
  <si>
    <r>
      <rPr>
        <b/>
        <sz val="16"/>
        <rFont val="Arial"/>
        <family val="2"/>
      </rPr>
      <t xml:space="preserve">Cost per Occupied Room </t>
    </r>
    <r>
      <rPr>
        <b/>
        <sz val="16"/>
        <rFont val="微软雅黑"/>
        <family val="2"/>
        <charset val="134"/>
      </rPr>
      <t>每个占用房间成本</t>
    </r>
  </si>
  <si>
    <r>
      <rPr>
        <b/>
        <sz val="16"/>
        <rFont val="Arial"/>
        <family val="2"/>
      </rPr>
      <t xml:space="preserve">LABOUR COST ANALYSIS </t>
    </r>
    <r>
      <rPr>
        <b/>
        <sz val="16"/>
        <rFont val="宋体"/>
        <family val="3"/>
        <charset val="134"/>
      </rPr>
      <t>人工成本费用</t>
    </r>
  </si>
  <si>
    <r>
      <rPr>
        <b/>
        <sz val="16"/>
        <rFont val="Arial"/>
        <family val="2"/>
      </rPr>
      <t xml:space="preserve">Salary &amp; Wages </t>
    </r>
    <r>
      <rPr>
        <b/>
        <sz val="16"/>
        <rFont val="宋体"/>
        <family val="3"/>
        <charset val="134"/>
      </rPr>
      <t>工资</t>
    </r>
  </si>
  <si>
    <t>&lt;&lt;50010300,50010400</t>
  </si>
  <si>
    <t>&lt;&lt;10099,10200,10300,10400</t>
  </si>
  <si>
    <r>
      <rPr>
        <sz val="16"/>
        <rFont val="Arial"/>
        <family val="2"/>
      </rPr>
      <t xml:space="preserve">Managers </t>
    </r>
    <r>
      <rPr>
        <sz val="16"/>
        <rFont val="微软雅黑"/>
        <family val="2"/>
        <charset val="134"/>
      </rPr>
      <t>经理</t>
    </r>
  </si>
  <si>
    <t>&lt;&lt;50010100..50010200,50010500..50010700,50012500..50012600</t>
  </si>
  <si>
    <t>&lt;&lt;10099,10200</t>
  </si>
  <si>
    <r>
      <rPr>
        <sz val="16"/>
        <rFont val="Arial"/>
        <family val="2"/>
      </rPr>
      <t xml:space="preserve">Front Office </t>
    </r>
    <r>
      <rPr>
        <sz val="16"/>
        <rFont val="宋体"/>
        <family val="3"/>
        <charset val="134"/>
      </rPr>
      <t>前厅</t>
    </r>
  </si>
  <si>
    <t>&lt;&lt;10300</t>
  </si>
  <si>
    <r>
      <rPr>
        <sz val="16"/>
        <rFont val="Arial"/>
        <family val="2"/>
      </rPr>
      <t xml:space="preserve">Housekeeping </t>
    </r>
    <r>
      <rPr>
        <sz val="16"/>
        <rFont val="宋体"/>
        <family val="3"/>
        <charset val="134"/>
      </rPr>
      <t>客房</t>
    </r>
  </si>
  <si>
    <t>&lt;&lt;10400</t>
  </si>
  <si>
    <r>
      <rPr>
        <sz val="16"/>
        <rFont val="Arial"/>
        <family val="2"/>
      </rPr>
      <t xml:space="preserve">Reservations </t>
    </r>
    <r>
      <rPr>
        <sz val="16"/>
        <rFont val="宋体"/>
        <family val="3"/>
        <charset val="134"/>
      </rPr>
      <t>预定</t>
    </r>
  </si>
  <si>
    <r>
      <rPr>
        <b/>
        <sz val="16"/>
        <rFont val="Arial"/>
        <family val="2"/>
      </rPr>
      <t xml:space="preserve">Total Remuneration </t>
    </r>
    <r>
      <rPr>
        <b/>
        <sz val="16"/>
        <rFont val="宋体"/>
        <family val="3"/>
        <charset val="134"/>
      </rPr>
      <t>薪酬小计</t>
    </r>
  </si>
  <si>
    <t>&lt;&lt;50012300</t>
  </si>
  <si>
    <r>
      <rPr>
        <sz val="16"/>
        <rFont val="Arial"/>
        <family val="2"/>
      </rPr>
      <t xml:space="preserve">Overtime </t>
    </r>
    <r>
      <rPr>
        <sz val="16"/>
        <rFont val="微软雅黑"/>
        <family val="2"/>
        <charset val="134"/>
      </rPr>
      <t>加班</t>
    </r>
  </si>
  <si>
    <t>&lt;&lt;50012100..50012200</t>
  </si>
  <si>
    <r>
      <rPr>
        <sz val="16"/>
        <rFont val="Arial"/>
        <family val="2"/>
      </rPr>
      <t xml:space="preserve">Bonus </t>
    </r>
    <r>
      <rPr>
        <sz val="16"/>
        <rFont val="微软雅黑"/>
        <family val="2"/>
        <charset val="134"/>
      </rPr>
      <t>年终奖金</t>
    </r>
  </si>
  <si>
    <t>&lt;&lt;50021270</t>
  </si>
  <si>
    <r>
      <rPr>
        <sz val="16"/>
        <rFont val="Arial"/>
        <family val="2"/>
      </rPr>
      <t xml:space="preserve">Allowance </t>
    </r>
    <r>
      <rPr>
        <sz val="16"/>
        <rFont val="微软雅黑"/>
        <family val="2"/>
        <charset val="134"/>
      </rPr>
      <t>津贴</t>
    </r>
  </si>
  <si>
    <t>&lt;&lt;50012400</t>
  </si>
  <si>
    <r>
      <rPr>
        <sz val="16"/>
        <rFont val="Arial"/>
        <family val="2"/>
      </rPr>
      <t xml:space="preserve">Vacation Pay </t>
    </r>
    <r>
      <rPr>
        <sz val="16"/>
        <rFont val="微软雅黑"/>
        <family val="2"/>
        <charset val="134"/>
      </rPr>
      <t>假期工资</t>
    </r>
  </si>
  <si>
    <t>&lt;&lt;50021280</t>
  </si>
  <si>
    <r>
      <rPr>
        <sz val="16"/>
        <rFont val="Arial"/>
        <family val="2"/>
      </rPr>
      <t xml:space="preserve">Incentive </t>
    </r>
    <r>
      <rPr>
        <sz val="16"/>
        <rFont val="微软雅黑"/>
        <family val="2"/>
        <charset val="134"/>
      </rPr>
      <t>奖金</t>
    </r>
  </si>
  <si>
    <r>
      <rPr>
        <b/>
        <sz val="16"/>
        <rFont val="Arial"/>
        <family val="2"/>
      </rPr>
      <t xml:space="preserve">Total Salary &amp; Wages </t>
    </r>
    <r>
      <rPr>
        <b/>
        <sz val="16"/>
        <rFont val="宋体"/>
        <family val="3"/>
        <charset val="134"/>
      </rPr>
      <t>工资合计</t>
    </r>
  </si>
  <si>
    <t>&lt;&lt;50013100</t>
  </si>
  <si>
    <r>
      <rPr>
        <sz val="16"/>
        <rFont val="Arial"/>
        <family val="2"/>
      </rPr>
      <t xml:space="preserve">PRC - Retirement Insurance </t>
    </r>
    <r>
      <rPr>
        <sz val="16"/>
        <rFont val="微软雅黑"/>
        <family val="2"/>
        <charset val="134"/>
      </rPr>
      <t>养老保险</t>
    </r>
  </si>
  <si>
    <t>&lt;&lt;50013200</t>
  </si>
  <si>
    <r>
      <rPr>
        <sz val="16"/>
        <rFont val="Arial"/>
        <family val="2"/>
      </rPr>
      <t xml:space="preserve">PRC - Basic Medical Insurance </t>
    </r>
    <r>
      <rPr>
        <sz val="16"/>
        <rFont val="微软雅黑"/>
        <family val="2"/>
        <charset val="134"/>
      </rPr>
      <t>医疗保险</t>
    </r>
  </si>
  <si>
    <t>&lt;&lt;50013300</t>
  </si>
  <si>
    <r>
      <rPr>
        <sz val="16"/>
        <rFont val="Arial"/>
        <family val="2"/>
      </rPr>
      <t xml:space="preserve">PRC - Unemployement fund </t>
    </r>
    <r>
      <rPr>
        <sz val="16"/>
        <rFont val="微软雅黑"/>
        <family val="2"/>
        <charset val="134"/>
      </rPr>
      <t>失业保险</t>
    </r>
  </si>
  <si>
    <t>&lt;&lt;50013400</t>
  </si>
  <si>
    <r>
      <rPr>
        <sz val="16"/>
        <rFont val="Arial"/>
        <family val="2"/>
      </rPr>
      <t xml:space="preserve">PRC - Employee Liability (Injury) </t>
    </r>
    <r>
      <rPr>
        <sz val="16"/>
        <rFont val="微软雅黑"/>
        <family val="2"/>
        <charset val="134"/>
      </rPr>
      <t>工伤保险</t>
    </r>
  </si>
  <si>
    <t>&lt;&lt;50013500</t>
  </si>
  <si>
    <r>
      <rPr>
        <sz val="16"/>
        <rFont val="Arial"/>
        <family val="2"/>
      </rPr>
      <t xml:space="preserve">PRC - Birth Insurance </t>
    </r>
    <r>
      <rPr>
        <sz val="16"/>
        <rFont val="微软雅黑"/>
        <family val="2"/>
        <charset val="134"/>
      </rPr>
      <t>生育保险</t>
    </r>
  </si>
  <si>
    <t>&lt;&lt;50013600</t>
  </si>
  <si>
    <r>
      <rPr>
        <sz val="16"/>
        <rFont val="Arial"/>
        <family val="2"/>
      </rPr>
      <t xml:space="preserve">PRC - Housing Fund </t>
    </r>
    <r>
      <rPr>
        <sz val="16"/>
        <rFont val="微软雅黑"/>
        <family val="2"/>
        <charset val="134"/>
      </rPr>
      <t>住房公积金</t>
    </r>
  </si>
  <si>
    <t>&lt;&lt;50013700</t>
  </si>
  <si>
    <r>
      <rPr>
        <sz val="16"/>
        <rFont val="Arial"/>
        <family val="2"/>
      </rPr>
      <t xml:space="preserve">PRC - Union Fee </t>
    </r>
    <r>
      <rPr>
        <sz val="16"/>
        <rFont val="微软雅黑"/>
        <family val="2"/>
        <charset val="134"/>
      </rPr>
      <t>工会经费</t>
    </r>
  </si>
  <si>
    <t>&lt;&lt;50013800</t>
  </si>
  <si>
    <r>
      <rPr>
        <sz val="16"/>
        <rFont val="Arial"/>
        <family val="2"/>
      </rPr>
      <t xml:space="preserve">PRC - Education Fund </t>
    </r>
    <r>
      <rPr>
        <sz val="16"/>
        <rFont val="微软雅黑"/>
        <family val="2"/>
        <charset val="134"/>
      </rPr>
      <t>教育经费</t>
    </r>
  </si>
  <si>
    <r>
      <rPr>
        <b/>
        <sz val="16"/>
        <rFont val="Arial"/>
        <family val="2"/>
      </rPr>
      <t xml:space="preserve">Total Social Security  </t>
    </r>
    <r>
      <rPr>
        <b/>
        <sz val="16"/>
        <rFont val="宋体"/>
        <family val="3"/>
        <charset val="134"/>
      </rPr>
      <t>社保合计</t>
    </r>
    <r>
      <rPr>
        <b/>
        <sz val="16"/>
        <rFont val="Arial"/>
        <family val="2"/>
      </rPr>
      <t xml:space="preserve"> </t>
    </r>
  </si>
  <si>
    <t>&lt;&lt;50021120</t>
  </si>
  <si>
    <r>
      <rPr>
        <sz val="16"/>
        <rFont val="Arial"/>
        <family val="2"/>
      </rPr>
      <t xml:space="preserve">Expats - Insurance </t>
    </r>
    <r>
      <rPr>
        <sz val="16"/>
        <rFont val="微软雅黑"/>
        <family val="2"/>
        <charset val="134"/>
      </rPr>
      <t>外籍保险</t>
    </r>
  </si>
  <si>
    <t>&lt;&lt;50021130</t>
  </si>
  <si>
    <r>
      <rPr>
        <sz val="16"/>
        <rFont val="Arial"/>
        <family val="2"/>
      </rPr>
      <t xml:space="preserve">Expats - Medical Insurance </t>
    </r>
    <r>
      <rPr>
        <sz val="16"/>
        <rFont val="微软雅黑"/>
        <family val="2"/>
        <charset val="134"/>
      </rPr>
      <t>外籍医疗保险</t>
    </r>
  </si>
  <si>
    <t>&lt;&lt;50021210</t>
  </si>
  <si>
    <r>
      <rPr>
        <sz val="16"/>
        <rFont val="Arial"/>
        <family val="2"/>
      </rPr>
      <t xml:space="preserve">Expats - Benefits </t>
    </r>
    <r>
      <rPr>
        <sz val="16"/>
        <rFont val="微软雅黑"/>
        <family val="2"/>
        <charset val="134"/>
      </rPr>
      <t>外籍福利</t>
    </r>
  </si>
  <si>
    <t>&lt;&lt;50021110</t>
  </si>
  <si>
    <r>
      <rPr>
        <sz val="16"/>
        <rFont val="Arial"/>
        <family val="2"/>
      </rPr>
      <t xml:space="preserve">Local - Business Insurance </t>
    </r>
    <r>
      <rPr>
        <sz val="16"/>
        <rFont val="微软雅黑"/>
        <family val="2"/>
        <charset val="134"/>
      </rPr>
      <t>本地员工商业保险</t>
    </r>
  </si>
  <si>
    <t>&lt;&lt;50021290</t>
  </si>
  <si>
    <r>
      <rPr>
        <sz val="16"/>
        <rFont val="Arial"/>
        <family val="2"/>
      </rPr>
      <t xml:space="preserve">Other Benefits </t>
    </r>
    <r>
      <rPr>
        <sz val="16"/>
        <rFont val="微软雅黑"/>
        <family val="2"/>
        <charset val="134"/>
      </rPr>
      <t>其他福利</t>
    </r>
  </si>
  <si>
    <t>&lt;&lt;50032001..50032004</t>
  </si>
  <si>
    <r>
      <rPr>
        <sz val="16"/>
        <rFont val="Arial"/>
        <family val="2"/>
      </rPr>
      <t xml:space="preserve">Staff Dormitory &amp; Related Expenses </t>
    </r>
    <r>
      <rPr>
        <sz val="16"/>
        <rFont val="微软雅黑"/>
        <family val="2"/>
        <charset val="134"/>
      </rPr>
      <t>员工宿舍及相关费用</t>
    </r>
  </si>
  <si>
    <t>&lt;&lt;50031001,50021500</t>
  </si>
  <si>
    <r>
      <rPr>
        <sz val="16"/>
        <rFont val="Arial"/>
        <family val="2"/>
      </rPr>
      <t xml:space="preserve">Staff Cateen Allocation &amp; OC </t>
    </r>
    <r>
      <rPr>
        <sz val="16"/>
        <rFont val="微软雅黑"/>
        <family val="2"/>
        <charset val="134"/>
      </rPr>
      <t>员工餐费</t>
    </r>
  </si>
  <si>
    <r>
      <rPr>
        <b/>
        <sz val="16"/>
        <rFont val="Arial"/>
        <family val="2"/>
      </rPr>
      <t xml:space="preserve">Total Benefits </t>
    </r>
    <r>
      <rPr>
        <b/>
        <sz val="16"/>
        <rFont val="宋体"/>
        <family val="3"/>
        <charset val="134"/>
      </rPr>
      <t>福利合计</t>
    </r>
  </si>
  <si>
    <r>
      <rPr>
        <b/>
        <sz val="16"/>
        <rFont val="Arial"/>
        <family val="2"/>
      </rPr>
      <t xml:space="preserve">TOTAL LABOUR COST </t>
    </r>
    <r>
      <rPr>
        <b/>
        <sz val="16"/>
        <rFont val="宋体"/>
        <family val="3"/>
        <charset val="134"/>
      </rPr>
      <t>人工成本合计</t>
    </r>
  </si>
  <si>
    <t>check</t>
  </si>
  <si>
    <t>Check(Hide)</t>
  </si>
  <si>
    <r>
      <rPr>
        <b/>
        <sz val="16"/>
        <rFont val="Arial"/>
        <family val="2"/>
      </rPr>
      <t xml:space="preserve">FTEs </t>
    </r>
    <r>
      <rPr>
        <b/>
        <sz val="16"/>
        <rFont val="宋体"/>
        <family val="3"/>
        <charset val="134"/>
      </rPr>
      <t>员工人数</t>
    </r>
  </si>
  <si>
    <r>
      <rPr>
        <b/>
        <sz val="18"/>
        <rFont val="Arial"/>
        <family val="2"/>
      </rPr>
      <t xml:space="preserve">Rooms Summary </t>
    </r>
    <r>
      <rPr>
        <b/>
        <sz val="18"/>
        <rFont val="微软雅黑"/>
        <family val="2"/>
        <charset val="134"/>
      </rPr>
      <t>前厅部损益</t>
    </r>
  </si>
  <si>
    <t>&lt;&lt;10200</t>
  </si>
  <si>
    <r>
      <rPr>
        <b/>
        <sz val="16"/>
        <rFont val="Arial"/>
        <family val="2"/>
      </rPr>
      <t>Total Department Expenses</t>
    </r>
    <r>
      <rPr>
        <b/>
        <sz val="16"/>
        <rFont val="宋体"/>
        <family val="3"/>
        <charset val="134"/>
      </rPr>
      <t>部门总费用合计</t>
    </r>
  </si>
  <si>
    <r>
      <rPr>
        <b/>
        <sz val="18"/>
        <rFont val="Arial"/>
        <family val="2"/>
      </rPr>
      <t xml:space="preserve">Rooms Summary </t>
    </r>
    <r>
      <rPr>
        <b/>
        <sz val="18"/>
        <rFont val="微软雅黑"/>
        <family val="2"/>
        <charset val="134"/>
      </rPr>
      <t>客房部损益</t>
    </r>
  </si>
  <si>
    <r>
      <rPr>
        <sz val="16"/>
        <rFont val="Arial"/>
        <family val="2"/>
      </rPr>
      <t xml:space="preserve">Telephone </t>
    </r>
    <r>
      <rPr>
        <sz val="16"/>
        <rFont val="宋体"/>
        <family val="3"/>
        <charset val="134"/>
      </rPr>
      <t>电话费</t>
    </r>
  </si>
  <si>
    <t>Housekeeping 客房</t>
  </si>
  <si>
    <r>
      <rPr>
        <b/>
        <sz val="18"/>
        <rFont val="Arial"/>
        <family val="2"/>
      </rPr>
      <t xml:space="preserve">Rooms Summary </t>
    </r>
    <r>
      <rPr>
        <b/>
        <sz val="18"/>
        <rFont val="微软雅黑"/>
        <family val="2"/>
        <charset val="134"/>
      </rPr>
      <t>预订部损益</t>
    </r>
  </si>
  <si>
    <t>Reservations 预定</t>
  </si>
  <si>
    <t>2018002</t>
  </si>
  <si>
    <t>2018003</t>
  </si>
  <si>
    <t>2018004</t>
  </si>
  <si>
    <t>2018005</t>
  </si>
  <si>
    <t>2018006</t>
  </si>
  <si>
    <t>2018007</t>
  </si>
  <si>
    <t>2018008</t>
  </si>
  <si>
    <t>2018009</t>
  </si>
  <si>
    <t>2018010</t>
  </si>
  <si>
    <t>2018011</t>
  </si>
  <si>
    <t>A</t>
  </si>
  <si>
    <t>ACTUAL</t>
  </si>
  <si>
    <t>ACT + BUG</t>
  </si>
  <si>
    <t>&lt;&lt;10099</t>
  </si>
  <si>
    <t>A+F+B</t>
  </si>
  <si>
    <t>F&amp;B Summary 餐饮部损益</t>
  </si>
  <si>
    <t>L3</t>
  </si>
  <si>
    <r>
      <rPr>
        <b/>
        <sz val="16"/>
        <rFont val="Arial"/>
        <family val="2"/>
      </rPr>
      <t xml:space="preserve">FOOD REVENUE </t>
    </r>
    <r>
      <rPr>
        <b/>
        <sz val="16"/>
        <rFont val="宋体"/>
        <family val="3"/>
        <charset val="134"/>
      </rPr>
      <t>食品收入</t>
    </r>
  </si>
  <si>
    <t>&lt;&lt;30200210..30200250,30210210..30210250,30220210..30220250</t>
  </si>
  <si>
    <t>&lt;&lt;20101,20102</t>
  </si>
  <si>
    <t>Lobby Lounge</t>
  </si>
  <si>
    <t>&lt;&lt;20201,20202</t>
  </si>
  <si>
    <t>ADD-Mhub lounge</t>
  </si>
  <si>
    <t>&lt;&lt;20301,20302</t>
  </si>
  <si>
    <t xml:space="preserve"> Royal Court</t>
  </si>
  <si>
    <t>&lt;&lt;20401,20402</t>
  </si>
  <si>
    <t>MP Café</t>
  </si>
  <si>
    <t>&lt;&lt;20501,20502</t>
  </si>
  <si>
    <t>MP Dining</t>
  </si>
  <si>
    <t>&lt;&lt;20601,20602</t>
  </si>
  <si>
    <t>Special Restaurant#4</t>
  </si>
  <si>
    <t>&lt;&lt;20701,20702</t>
  </si>
  <si>
    <t>Special Restaurant#5</t>
  </si>
  <si>
    <t>&lt;&lt;20801,20802</t>
  </si>
  <si>
    <t>Special Restaurant#6</t>
  </si>
  <si>
    <t>&lt;&lt;20901,20902</t>
  </si>
  <si>
    <t>Special Restaurant#7</t>
  </si>
  <si>
    <t>&lt;&lt;21101</t>
  </si>
  <si>
    <t>&lt;&lt;22101</t>
  </si>
  <si>
    <t>Bar#1</t>
  </si>
  <si>
    <t>&lt;&lt;22102</t>
  </si>
  <si>
    <t>Bar#2</t>
  </si>
  <si>
    <t>&lt;&lt;22103</t>
  </si>
  <si>
    <t>Bar#3</t>
  </si>
  <si>
    <t>&lt;&lt;23101,23102</t>
  </si>
  <si>
    <t>Room Service</t>
  </si>
  <si>
    <t>&lt;&lt;24111..24116,24121,24200</t>
  </si>
  <si>
    <t>Banquet</t>
  </si>
  <si>
    <r>
      <rPr>
        <b/>
        <sz val="16"/>
        <rFont val="Arial"/>
        <family val="2"/>
      </rPr>
      <t xml:space="preserve">Total Food Revenue </t>
    </r>
    <r>
      <rPr>
        <b/>
        <sz val="16"/>
        <rFont val="宋体"/>
        <family val="3"/>
        <charset val="134"/>
      </rPr>
      <t>食品收入合计</t>
    </r>
  </si>
  <si>
    <r>
      <rPr>
        <b/>
        <sz val="16"/>
        <rFont val="Arial"/>
        <family val="2"/>
      </rPr>
      <t xml:space="preserve">BEVERAGE REVENUE </t>
    </r>
    <r>
      <rPr>
        <b/>
        <sz val="16"/>
        <rFont val="宋体"/>
        <family val="3"/>
        <charset val="134"/>
      </rPr>
      <t>饮品收入</t>
    </r>
  </si>
  <si>
    <t>&lt;&lt;30300310..30300350,30310310..30310350,30320310..30320350</t>
  </si>
  <si>
    <t>The Lounge</t>
  </si>
  <si>
    <r>
      <rPr>
        <b/>
        <sz val="16"/>
        <rFont val="Arial"/>
        <family val="2"/>
      </rPr>
      <t xml:space="preserve">Total Beverage Revenue </t>
    </r>
    <r>
      <rPr>
        <b/>
        <sz val="16"/>
        <rFont val="宋体"/>
        <family val="3"/>
        <charset val="134"/>
      </rPr>
      <t>饮品收入合计</t>
    </r>
  </si>
  <si>
    <t>&lt;&lt;30400040</t>
  </si>
  <si>
    <t>&lt;&lt;2..29999</t>
  </si>
  <si>
    <r>
      <rPr>
        <sz val="16"/>
        <rFont val="Arial"/>
        <family val="2"/>
      </rPr>
      <t xml:space="preserve">Meeting Rooms Rental </t>
    </r>
    <r>
      <rPr>
        <sz val="16"/>
        <rFont val="宋体"/>
        <family val="3"/>
        <charset val="134"/>
      </rPr>
      <t>会议室租赁</t>
    </r>
  </si>
  <si>
    <t>&lt;&lt;30320360..30320380</t>
  </si>
  <si>
    <r>
      <rPr>
        <sz val="16"/>
        <rFont val="Arial"/>
        <family val="2"/>
      </rPr>
      <t xml:space="preserve">Mini Bar </t>
    </r>
    <r>
      <rPr>
        <sz val="16"/>
        <rFont val="宋体"/>
        <family val="3"/>
        <charset val="134"/>
      </rPr>
      <t>迷你吧</t>
    </r>
  </si>
  <si>
    <t>&lt;&lt;30320400..30320402,30320990..30320992,30400050</t>
  </si>
  <si>
    <r>
      <rPr>
        <sz val="16"/>
        <rFont val="Arial"/>
        <family val="2"/>
      </rPr>
      <t xml:space="preserve">Other Revenue </t>
    </r>
    <r>
      <rPr>
        <sz val="16"/>
        <rFont val="宋体"/>
        <family val="3"/>
        <charset val="134"/>
      </rPr>
      <t>其他餐饮收入</t>
    </r>
  </si>
  <si>
    <r>
      <rPr>
        <sz val="16"/>
        <rFont val="Arial"/>
        <family val="2"/>
      </rPr>
      <t xml:space="preserve">Service Charge </t>
    </r>
    <r>
      <rPr>
        <sz val="16"/>
        <rFont val="宋体"/>
        <family val="3"/>
        <charset val="134"/>
      </rPr>
      <t>服务费</t>
    </r>
  </si>
  <si>
    <r>
      <rPr>
        <b/>
        <sz val="16"/>
        <rFont val="Arial"/>
        <family val="2"/>
      </rPr>
      <t xml:space="preserve">Total F&amp;B Revenue </t>
    </r>
    <r>
      <rPr>
        <b/>
        <sz val="16"/>
        <rFont val="宋体"/>
        <family val="3"/>
        <charset val="134"/>
      </rPr>
      <t>餐饮收入合计</t>
    </r>
  </si>
  <si>
    <t>COST</t>
  </si>
  <si>
    <t>&lt;&lt;40200100</t>
  </si>
  <si>
    <t>Food Cost 食品成本</t>
  </si>
  <si>
    <t>&lt;&lt;40200200</t>
  </si>
  <si>
    <t>Beverage Cost 酒水成本</t>
  </si>
  <si>
    <t>&lt;&lt;40200400</t>
  </si>
  <si>
    <t>Mini Bar Cost 迷你吧成本</t>
  </si>
  <si>
    <t>&lt;&lt;40020300,40200190</t>
  </si>
  <si>
    <r>
      <rPr>
        <sz val="16"/>
        <rFont val="Arial"/>
        <family val="2"/>
      </rPr>
      <t xml:space="preserve">Other Cost </t>
    </r>
    <r>
      <rPr>
        <sz val="16"/>
        <rFont val="宋体"/>
        <family val="3"/>
        <charset val="134"/>
      </rPr>
      <t>其他杂项成本</t>
    </r>
  </si>
  <si>
    <r>
      <rPr>
        <b/>
        <sz val="16"/>
        <rFont val="Arial"/>
        <family val="2"/>
      </rPr>
      <t xml:space="preserve">Total Cost of Sales </t>
    </r>
    <r>
      <rPr>
        <b/>
        <sz val="16"/>
        <rFont val="宋体"/>
        <family val="3"/>
        <charset val="134"/>
      </rPr>
      <t>餐饮成本合计</t>
    </r>
  </si>
  <si>
    <t>CPC</t>
  </si>
  <si>
    <t>&lt;&lt;60011570</t>
  </si>
  <si>
    <t>Management Fees 管理费用</t>
  </si>
  <si>
    <r>
      <rPr>
        <b/>
        <sz val="16"/>
        <rFont val="Arial"/>
        <family val="2"/>
      </rPr>
      <t xml:space="preserve">COVERS </t>
    </r>
    <r>
      <rPr>
        <b/>
        <sz val="16"/>
        <rFont val="宋体"/>
        <family val="3"/>
        <charset val="134"/>
      </rPr>
      <t>消费人数</t>
    </r>
  </si>
  <si>
    <t>&lt;&lt;90010321..90010325,90010400..90010409</t>
  </si>
  <si>
    <t>The Loungee</t>
  </si>
  <si>
    <r>
      <rPr>
        <b/>
        <sz val="16"/>
        <rFont val="Arial"/>
        <family val="2"/>
      </rPr>
      <t xml:space="preserve">Total Covers </t>
    </r>
    <r>
      <rPr>
        <b/>
        <sz val="16"/>
        <rFont val="微软雅黑"/>
        <family val="2"/>
        <charset val="134"/>
      </rPr>
      <t>消费人数合计</t>
    </r>
  </si>
  <si>
    <r>
      <rPr>
        <b/>
        <sz val="16"/>
        <rFont val="Arial"/>
        <family val="2"/>
      </rPr>
      <t xml:space="preserve">Average Check </t>
    </r>
    <r>
      <rPr>
        <b/>
        <sz val="16"/>
        <rFont val="宋体"/>
        <family val="3"/>
        <charset val="134"/>
      </rPr>
      <t>平均消费</t>
    </r>
  </si>
  <si>
    <t xml:space="preserve"> Pinju</t>
  </si>
  <si>
    <r>
      <rPr>
        <b/>
        <sz val="16"/>
        <rFont val="Arial"/>
        <family val="2"/>
      </rPr>
      <t xml:space="preserve">Average Check </t>
    </r>
    <r>
      <rPr>
        <b/>
        <sz val="16"/>
        <rFont val="微软雅黑"/>
        <family val="2"/>
        <charset val="134"/>
      </rPr>
      <t>平均消费</t>
    </r>
  </si>
  <si>
    <r>
      <rPr>
        <b/>
        <sz val="16"/>
        <rFont val="Arial"/>
        <family val="2"/>
      </rPr>
      <t xml:space="preserve">Cost Per Cover </t>
    </r>
    <r>
      <rPr>
        <b/>
        <sz val="16"/>
        <rFont val="宋体"/>
        <family val="3"/>
        <charset val="134"/>
      </rPr>
      <t>人均成本</t>
    </r>
  </si>
  <si>
    <r>
      <rPr>
        <b/>
        <sz val="16"/>
        <rFont val="Arial"/>
        <family val="2"/>
      </rPr>
      <t xml:space="preserve">Salary &amp; Wages </t>
    </r>
    <r>
      <rPr>
        <b/>
        <sz val="16"/>
        <rFont val="宋体"/>
        <family val="3"/>
        <charset val="134"/>
      </rPr>
      <t>工资费用</t>
    </r>
  </si>
  <si>
    <t>&lt;&lt;2.299999</t>
  </si>
  <si>
    <t>&lt;&lt;20001,20101,20201,20301,20401,20501,20601,20701,20801,20901,21101,22101,22102,23101,24111</t>
  </si>
  <si>
    <r>
      <rPr>
        <sz val="16"/>
        <rFont val="Arial"/>
        <family val="2"/>
      </rPr>
      <t xml:space="preserve">Services </t>
    </r>
    <r>
      <rPr>
        <sz val="16"/>
        <rFont val="微软雅黑"/>
        <family val="2"/>
        <charset val="134"/>
      </rPr>
      <t>服务</t>
    </r>
  </si>
  <si>
    <t>&lt;&lt;20002,20102,20202,20302,20402,20502,20602,20702,20802,20902,23102,24200,27101</t>
  </si>
  <si>
    <r>
      <rPr>
        <sz val="16"/>
        <rFont val="Arial"/>
        <family val="2"/>
      </rPr>
      <t xml:space="preserve">Kitchen </t>
    </r>
    <r>
      <rPr>
        <sz val="16"/>
        <rFont val="微软雅黑"/>
        <family val="2"/>
        <charset val="134"/>
      </rPr>
      <t>厨房</t>
    </r>
  </si>
  <si>
    <r>
      <rPr>
        <b/>
        <sz val="16"/>
        <rFont val="Arial"/>
        <family val="2"/>
      </rPr>
      <t xml:space="preserve">Total Remuneration </t>
    </r>
    <r>
      <rPr>
        <b/>
        <sz val="16"/>
        <rFont val="宋体"/>
        <family val="3"/>
        <charset val="134"/>
      </rPr>
      <t>薪酬合计</t>
    </r>
  </si>
  <si>
    <t>Lobby Lounge 大堂吧损益</t>
  </si>
  <si>
    <t>&lt;&lt;30200210,30210210,30220210</t>
  </si>
  <si>
    <t>Breakfast</t>
  </si>
  <si>
    <t>&lt;&lt;30200220,30210220,30220220</t>
  </si>
  <si>
    <t xml:space="preserve">Lunch </t>
  </si>
  <si>
    <t>&lt;&lt;30200230,30210230,30220230</t>
  </si>
  <si>
    <t>Dinner</t>
  </si>
  <si>
    <t>&lt;&lt;30200240,30210240,30220240</t>
  </si>
  <si>
    <t>Afternoon Tea</t>
  </si>
  <si>
    <t>&lt;&lt;30200250,30210250,30220250</t>
  </si>
  <si>
    <t>Late Snack</t>
  </si>
  <si>
    <t>&lt;&lt;30300310,30310310,30320310</t>
  </si>
  <si>
    <t>&lt;&lt;30300320,30310320,30320320</t>
  </si>
  <si>
    <t>&lt;&lt;30300330,30310330,30320330</t>
  </si>
  <si>
    <t>&lt;&lt;30300340,30310340,30320340</t>
  </si>
  <si>
    <t>&lt;&lt;30300350,30310350,30320350</t>
  </si>
  <si>
    <t>&lt;&lt;40200300</t>
  </si>
  <si>
    <t>&lt;&lt;60990010</t>
  </si>
  <si>
    <t>In-direct Expenses</t>
  </si>
  <si>
    <t>&lt;&lt;90010321,90010400..90010401</t>
  </si>
  <si>
    <t>&lt;&lt;90010322,90010402..90010403</t>
  </si>
  <si>
    <t>&lt;&lt;90010323,90010404..90010405</t>
  </si>
  <si>
    <t>&lt;&lt;90010324,90010406..90010407</t>
  </si>
  <si>
    <t>&lt;&lt;90010325,90010408..90010409</t>
  </si>
  <si>
    <t>Royal Court 御苑损益</t>
  </si>
  <si>
    <t>MP Cafe 觅品咖啡损益</t>
  </si>
  <si>
    <t>MP Dining 觅品餐厅损益</t>
  </si>
  <si>
    <t>Mhub全日餐厅损益</t>
  </si>
  <si>
    <r>
      <rPr>
        <sz val="16"/>
        <rFont val="Arial"/>
        <family val="2"/>
      </rPr>
      <t xml:space="preserve">Other Cost </t>
    </r>
    <r>
      <rPr>
        <sz val="16"/>
        <rFont val="宋体"/>
        <family val="3"/>
        <charset val="134"/>
      </rPr>
      <t>其他成本</t>
    </r>
  </si>
  <si>
    <t>Distributed 分摊</t>
  </si>
  <si>
    <t>Main Kitchen 主厨房</t>
  </si>
  <si>
    <t>&lt;&lt;5..5999999</t>
  </si>
  <si>
    <t>&lt;&lt;20002</t>
  </si>
  <si>
    <t>60010011</t>
  </si>
  <si>
    <r>
      <rPr>
        <sz val="16"/>
        <rFont val="Arial"/>
        <family val="2"/>
      </rPr>
      <t xml:space="preserve">Comm - Travel Agents </t>
    </r>
    <r>
      <rPr>
        <sz val="16"/>
        <rFont val="微软雅黑"/>
        <family val="2"/>
        <charset val="134"/>
      </rPr>
      <t>佣金</t>
    </r>
    <r>
      <rPr>
        <sz val="16"/>
        <rFont val="Arial"/>
        <family val="2"/>
      </rPr>
      <t xml:space="preserve"> - </t>
    </r>
    <r>
      <rPr>
        <sz val="16"/>
        <rFont val="微软雅黑"/>
        <family val="2"/>
        <charset val="134"/>
      </rPr>
      <t>旅行社</t>
    </r>
  </si>
  <si>
    <t>60010012</t>
  </si>
  <si>
    <r>
      <rPr>
        <sz val="16"/>
        <rFont val="Arial"/>
        <family val="2"/>
      </rPr>
      <t xml:space="preserve"> Comm - Reservation Assessments </t>
    </r>
    <r>
      <rPr>
        <sz val="16"/>
        <rFont val="微软雅黑"/>
        <family val="2"/>
        <charset val="134"/>
      </rPr>
      <t>客房系统预定费</t>
    </r>
  </si>
  <si>
    <t>60010013</t>
  </si>
  <si>
    <r>
      <rPr>
        <sz val="16"/>
        <rFont val="Arial"/>
        <family val="2"/>
      </rPr>
      <t>Comm - DMH Reservation Fees DMH</t>
    </r>
    <r>
      <rPr>
        <sz val="16"/>
        <rFont val="微软雅黑"/>
        <family val="2"/>
        <charset val="134"/>
      </rPr>
      <t>预订系统费用</t>
    </r>
  </si>
  <si>
    <t>60010014</t>
  </si>
  <si>
    <r>
      <rPr>
        <sz val="16"/>
        <rFont val="Arial"/>
        <family val="2"/>
      </rPr>
      <t xml:space="preserve">Comm - Other </t>
    </r>
    <r>
      <rPr>
        <sz val="16"/>
        <rFont val="微软雅黑"/>
        <family val="2"/>
        <charset val="134"/>
      </rPr>
      <t>佣金</t>
    </r>
    <r>
      <rPr>
        <sz val="16"/>
        <rFont val="Arial"/>
        <family val="2"/>
      </rPr>
      <t xml:space="preserve"> - </t>
    </r>
    <r>
      <rPr>
        <sz val="16"/>
        <rFont val="微软雅黑"/>
        <family val="2"/>
        <charset val="134"/>
      </rPr>
      <t>其他</t>
    </r>
  </si>
  <si>
    <t>60010021</t>
  </si>
  <si>
    <r>
      <rPr>
        <sz val="16"/>
        <rFont val="Arial"/>
        <family val="2"/>
      </rPr>
      <t xml:space="preserve">Complimentaries - Give Away </t>
    </r>
    <r>
      <rPr>
        <sz val="16"/>
        <rFont val="微软雅黑"/>
        <family val="2"/>
        <charset val="134"/>
      </rPr>
      <t>免费赠送</t>
    </r>
  </si>
  <si>
    <t>60010022</t>
  </si>
  <si>
    <r>
      <rPr>
        <sz val="16"/>
        <rFont val="Arial"/>
        <family val="2"/>
      </rPr>
      <t xml:space="preserve">Complimentary Food&amp;Beverage </t>
    </r>
    <r>
      <rPr>
        <sz val="16"/>
        <rFont val="微软雅黑"/>
        <family val="2"/>
        <charset val="134"/>
      </rPr>
      <t>免费餐饮</t>
    </r>
  </si>
  <si>
    <t>60010030</t>
  </si>
  <si>
    <r>
      <rPr>
        <sz val="16"/>
        <rFont val="Arial"/>
        <family val="2"/>
      </rPr>
      <t>Competitor Survey</t>
    </r>
    <r>
      <rPr>
        <sz val="16"/>
        <rFont val="微软雅黑"/>
        <family val="2"/>
        <charset val="134"/>
      </rPr>
      <t>竞争对手调研费</t>
    </r>
  </si>
  <si>
    <t>60010040</t>
  </si>
  <si>
    <r>
      <rPr>
        <sz val="16"/>
        <rFont val="Arial"/>
        <family val="2"/>
      </rPr>
      <t xml:space="preserve">Contract Cleaning </t>
    </r>
    <r>
      <rPr>
        <sz val="16"/>
        <rFont val="微软雅黑"/>
        <family val="2"/>
        <charset val="134"/>
      </rPr>
      <t>清洁合同</t>
    </r>
  </si>
  <si>
    <t>60010050</t>
  </si>
  <si>
    <r>
      <rPr>
        <sz val="16"/>
        <rFont val="Arial"/>
        <family val="2"/>
      </rPr>
      <t xml:space="preserve">Contract Services </t>
    </r>
    <r>
      <rPr>
        <sz val="16"/>
        <rFont val="微软雅黑"/>
        <family val="2"/>
        <charset val="134"/>
      </rPr>
      <t>服务合同</t>
    </r>
  </si>
  <si>
    <t>60010060</t>
  </si>
  <si>
    <r>
      <rPr>
        <sz val="16"/>
        <rFont val="Arial"/>
        <family val="2"/>
      </rPr>
      <t xml:space="preserve">Promotion Decoration </t>
    </r>
    <r>
      <rPr>
        <sz val="16"/>
        <rFont val="微软雅黑"/>
        <family val="2"/>
        <charset val="134"/>
      </rPr>
      <t>推广装饰</t>
    </r>
  </si>
  <si>
    <t>60010070</t>
  </si>
  <si>
    <r>
      <rPr>
        <sz val="16"/>
        <rFont val="Arial"/>
        <family val="2"/>
      </rPr>
      <t xml:space="preserve">Dues &amp; Subscriptions </t>
    </r>
    <r>
      <rPr>
        <sz val="16"/>
        <rFont val="微软雅黑"/>
        <family val="2"/>
        <charset val="134"/>
      </rPr>
      <t>会费</t>
    </r>
    <r>
      <rPr>
        <sz val="16"/>
        <rFont val="Arial"/>
        <family val="2"/>
      </rPr>
      <t>/</t>
    </r>
    <r>
      <rPr>
        <sz val="16"/>
        <rFont val="微软雅黑"/>
        <family val="2"/>
        <charset val="134"/>
      </rPr>
      <t>订阅</t>
    </r>
  </si>
  <si>
    <t>60010080</t>
  </si>
  <si>
    <r>
      <rPr>
        <sz val="16"/>
        <rFont val="Arial"/>
        <family val="2"/>
      </rPr>
      <t xml:space="preserve">Entertainment </t>
    </r>
    <r>
      <rPr>
        <sz val="16"/>
        <rFont val="微软雅黑"/>
        <family val="2"/>
        <charset val="134"/>
      </rPr>
      <t>招待</t>
    </r>
  </si>
  <si>
    <t>60010091</t>
  </si>
  <si>
    <r>
      <rPr>
        <sz val="16"/>
        <rFont val="Arial"/>
        <family val="2"/>
      </rPr>
      <t xml:space="preserve">Guest Relocation Expenses </t>
    </r>
    <r>
      <rPr>
        <sz val="16"/>
        <rFont val="微软雅黑"/>
        <family val="2"/>
        <charset val="134"/>
      </rPr>
      <t>客人搬家费</t>
    </r>
    <r>
      <rPr>
        <sz val="16"/>
        <rFont val="Arial"/>
        <family val="2"/>
      </rPr>
      <t xml:space="preserve"> </t>
    </r>
  </si>
  <si>
    <t>60010092</t>
  </si>
  <si>
    <r>
      <rPr>
        <sz val="16"/>
        <rFont val="Arial"/>
        <family val="2"/>
      </rPr>
      <t xml:space="preserve">Guest Supplies </t>
    </r>
    <r>
      <rPr>
        <sz val="16"/>
        <rFont val="微软雅黑"/>
        <family val="2"/>
        <charset val="134"/>
      </rPr>
      <t>客用品</t>
    </r>
    <r>
      <rPr>
        <sz val="16"/>
        <rFont val="Arial"/>
        <family val="2"/>
      </rPr>
      <t xml:space="preserve"> - Cleaning </t>
    </r>
    <r>
      <rPr>
        <sz val="16"/>
        <rFont val="微软雅黑"/>
        <family val="2"/>
        <charset val="134"/>
      </rPr>
      <t>清洁</t>
    </r>
  </si>
  <si>
    <t>60010093</t>
  </si>
  <si>
    <t>60010094</t>
  </si>
  <si>
    <t>60010110</t>
  </si>
  <si>
    <r>
      <rPr>
        <sz val="16"/>
        <rFont val="Arial"/>
        <family val="2"/>
      </rPr>
      <t xml:space="preserve">Communication/Satellite/Cable </t>
    </r>
    <r>
      <rPr>
        <sz val="16"/>
        <rFont val="微软雅黑"/>
        <family val="2"/>
        <charset val="134"/>
      </rPr>
      <t>通讯</t>
    </r>
    <r>
      <rPr>
        <sz val="16"/>
        <rFont val="Arial"/>
        <family val="2"/>
      </rPr>
      <t>/</t>
    </r>
    <r>
      <rPr>
        <sz val="16"/>
        <rFont val="微软雅黑"/>
        <family val="2"/>
        <charset val="134"/>
      </rPr>
      <t>卫星</t>
    </r>
    <r>
      <rPr>
        <sz val="16"/>
        <rFont val="Arial"/>
        <family val="2"/>
      </rPr>
      <t>/</t>
    </r>
    <r>
      <rPr>
        <sz val="16"/>
        <rFont val="微软雅黑"/>
        <family val="2"/>
        <charset val="134"/>
      </rPr>
      <t>有线收视</t>
    </r>
  </si>
  <si>
    <t>60010120</t>
  </si>
  <si>
    <r>
      <rPr>
        <sz val="16"/>
        <rFont val="Arial"/>
        <family val="2"/>
      </rPr>
      <t>Reservations Fees</t>
    </r>
    <r>
      <rPr>
        <sz val="16"/>
        <rFont val="微软雅黑"/>
        <family val="2"/>
        <charset val="134"/>
      </rPr>
      <t>预订费</t>
    </r>
  </si>
  <si>
    <t>60010130</t>
  </si>
  <si>
    <r>
      <rPr>
        <sz val="16"/>
        <rFont val="Arial"/>
        <family val="2"/>
      </rPr>
      <t xml:space="preserve">Pest Control </t>
    </r>
    <r>
      <rPr>
        <sz val="16"/>
        <rFont val="微软雅黑"/>
        <family val="2"/>
        <charset val="134"/>
      </rPr>
      <t>杀虫</t>
    </r>
  </si>
  <si>
    <t>60011210</t>
  </si>
  <si>
    <r>
      <rPr>
        <sz val="16"/>
        <rFont val="Arial"/>
        <family val="2"/>
      </rPr>
      <t xml:space="preserve">Chinaware </t>
    </r>
    <r>
      <rPr>
        <sz val="16"/>
        <rFont val="微软雅黑"/>
        <family val="2"/>
        <charset val="134"/>
      </rPr>
      <t>瓷器</t>
    </r>
  </si>
  <si>
    <t>60011220</t>
  </si>
  <si>
    <r>
      <rPr>
        <sz val="16"/>
        <rFont val="Arial"/>
        <family val="2"/>
      </rPr>
      <t xml:space="preserve">Cleaning Supplies&amp;Chemicals </t>
    </r>
    <r>
      <rPr>
        <sz val="16"/>
        <rFont val="微软雅黑"/>
        <family val="2"/>
        <charset val="134"/>
      </rPr>
      <t>清洁用品</t>
    </r>
    <r>
      <rPr>
        <sz val="16"/>
        <rFont val="Arial"/>
        <family val="2"/>
      </rPr>
      <t>&amp;</t>
    </r>
    <r>
      <rPr>
        <sz val="16"/>
        <rFont val="微软雅黑"/>
        <family val="2"/>
        <charset val="134"/>
      </rPr>
      <t>化学药剂</t>
    </r>
  </si>
  <si>
    <t>60011230</t>
  </si>
  <si>
    <r>
      <rPr>
        <sz val="16"/>
        <rFont val="Arial"/>
        <family val="2"/>
      </rPr>
      <t xml:space="preserve">Flatware </t>
    </r>
    <r>
      <rPr>
        <sz val="16"/>
        <rFont val="微软雅黑"/>
        <family val="2"/>
        <charset val="134"/>
      </rPr>
      <t>餐具</t>
    </r>
  </si>
  <si>
    <t>60011240</t>
  </si>
  <si>
    <r>
      <rPr>
        <sz val="16"/>
        <rFont val="Arial"/>
        <family val="2"/>
      </rPr>
      <t xml:space="preserve">Glassware </t>
    </r>
    <r>
      <rPr>
        <sz val="16"/>
        <rFont val="微软雅黑"/>
        <family val="2"/>
        <charset val="134"/>
      </rPr>
      <t>玻璃器皿</t>
    </r>
  </si>
  <si>
    <t>60011250</t>
  </si>
  <si>
    <r>
      <rPr>
        <sz val="16"/>
        <rFont val="Arial"/>
        <family val="2"/>
      </rPr>
      <t xml:space="preserve">Linen </t>
    </r>
    <r>
      <rPr>
        <sz val="16"/>
        <rFont val="微软雅黑"/>
        <family val="2"/>
        <charset val="134"/>
      </rPr>
      <t>布巾</t>
    </r>
  </si>
  <si>
    <t>60011260</t>
  </si>
  <si>
    <r>
      <rPr>
        <sz val="16"/>
        <rFont val="Arial"/>
        <family val="2"/>
      </rPr>
      <t xml:space="preserve">Silverware </t>
    </r>
    <r>
      <rPr>
        <sz val="16"/>
        <rFont val="微软雅黑"/>
        <family val="2"/>
        <charset val="134"/>
      </rPr>
      <t>银器</t>
    </r>
  </si>
  <si>
    <t>60011270</t>
  </si>
  <si>
    <r>
      <rPr>
        <sz val="16"/>
        <rFont val="Arial"/>
        <family val="2"/>
      </rPr>
      <t xml:space="preserve">Other Operating Supplies </t>
    </r>
    <r>
      <rPr>
        <sz val="16"/>
        <rFont val="微软雅黑"/>
        <family val="2"/>
        <charset val="134"/>
      </rPr>
      <t>其他运营用品</t>
    </r>
  </si>
  <si>
    <t>60011280</t>
  </si>
  <si>
    <r>
      <rPr>
        <sz val="16"/>
        <rFont val="Arial"/>
        <family val="2"/>
      </rPr>
      <t xml:space="preserve">Utensils </t>
    </r>
    <r>
      <rPr>
        <sz val="16"/>
        <rFont val="微软雅黑"/>
        <family val="2"/>
        <charset val="134"/>
      </rPr>
      <t>器具</t>
    </r>
  </si>
  <si>
    <t>60011290</t>
  </si>
  <si>
    <r>
      <rPr>
        <sz val="16"/>
        <rFont val="Arial"/>
        <family val="2"/>
      </rPr>
      <t xml:space="preserve">Paper Supplies </t>
    </r>
    <r>
      <rPr>
        <sz val="16"/>
        <rFont val="微软雅黑"/>
        <family val="2"/>
        <charset val="134"/>
      </rPr>
      <t>纸张用品</t>
    </r>
  </si>
  <si>
    <t>60011310</t>
  </si>
  <si>
    <r>
      <rPr>
        <sz val="16"/>
        <rFont val="Arial"/>
        <family val="2"/>
      </rPr>
      <t xml:space="preserve">Uniforms </t>
    </r>
    <r>
      <rPr>
        <sz val="16"/>
        <rFont val="微软雅黑"/>
        <family val="2"/>
        <charset val="134"/>
      </rPr>
      <t>制服</t>
    </r>
  </si>
  <si>
    <t>60011320</t>
  </si>
  <si>
    <r>
      <rPr>
        <sz val="16"/>
        <rFont val="Arial"/>
        <family val="2"/>
      </rPr>
      <t xml:space="preserve">Laundry Supplies </t>
    </r>
    <r>
      <rPr>
        <sz val="16"/>
        <rFont val="微软雅黑"/>
        <family val="2"/>
        <charset val="134"/>
      </rPr>
      <t>洗衣用品</t>
    </r>
  </si>
  <si>
    <t>60011410</t>
  </si>
  <si>
    <r>
      <rPr>
        <sz val="16"/>
        <rFont val="Arial"/>
        <family val="2"/>
      </rPr>
      <t xml:space="preserve">Flyers </t>
    </r>
    <r>
      <rPr>
        <sz val="16"/>
        <rFont val="微软雅黑"/>
        <family val="2"/>
        <charset val="134"/>
      </rPr>
      <t>传单</t>
    </r>
  </si>
  <si>
    <t>60011420</t>
  </si>
  <si>
    <r>
      <rPr>
        <sz val="16"/>
        <rFont val="Arial"/>
        <family val="2"/>
      </rPr>
      <t xml:space="preserve">Menus &amp; Beverage Lists </t>
    </r>
    <r>
      <rPr>
        <sz val="16"/>
        <rFont val="微软雅黑"/>
        <family val="2"/>
        <charset val="134"/>
      </rPr>
      <t>菜单及饮料单</t>
    </r>
  </si>
  <si>
    <t>60011430</t>
  </si>
  <si>
    <r>
      <rPr>
        <sz val="16"/>
        <rFont val="Arial"/>
        <family val="2"/>
      </rPr>
      <t xml:space="preserve">Food &amp; Beverage Promotions </t>
    </r>
    <r>
      <rPr>
        <sz val="16"/>
        <rFont val="微软雅黑"/>
        <family val="2"/>
        <charset val="134"/>
      </rPr>
      <t>餐饮促销</t>
    </r>
  </si>
  <si>
    <t>60011440</t>
  </si>
  <si>
    <r>
      <rPr>
        <sz val="16"/>
        <rFont val="Arial"/>
        <family val="2"/>
      </rPr>
      <t xml:space="preserve">Promotional Gifts </t>
    </r>
    <r>
      <rPr>
        <sz val="16"/>
        <rFont val="微软雅黑"/>
        <family val="2"/>
        <charset val="134"/>
      </rPr>
      <t>推广礼品</t>
    </r>
  </si>
  <si>
    <t>60011450</t>
  </si>
  <si>
    <r>
      <rPr>
        <sz val="16"/>
        <rFont val="Arial"/>
        <family val="2"/>
      </rPr>
      <t xml:space="preserve">Promotions </t>
    </r>
    <r>
      <rPr>
        <sz val="16"/>
        <rFont val="微软雅黑"/>
        <family val="2"/>
        <charset val="134"/>
      </rPr>
      <t>促销</t>
    </r>
  </si>
  <si>
    <t>60011460</t>
  </si>
  <si>
    <r>
      <rPr>
        <sz val="16"/>
        <rFont val="Arial"/>
        <family val="2"/>
      </rPr>
      <t xml:space="preserve">Plant Hire </t>
    </r>
    <r>
      <rPr>
        <sz val="16"/>
        <rFont val="微软雅黑"/>
        <family val="2"/>
        <charset val="134"/>
      </rPr>
      <t>植物租摆</t>
    </r>
  </si>
  <si>
    <t>60011470</t>
  </si>
  <si>
    <r>
      <rPr>
        <sz val="16"/>
        <rFont val="Arial"/>
        <family val="2"/>
      </rPr>
      <t xml:space="preserve">Music/Entertainment </t>
    </r>
    <r>
      <rPr>
        <sz val="16"/>
        <rFont val="微软雅黑"/>
        <family val="2"/>
        <charset val="134"/>
      </rPr>
      <t>音乐</t>
    </r>
    <r>
      <rPr>
        <sz val="16"/>
        <rFont val="Arial"/>
        <family val="2"/>
      </rPr>
      <t>/</t>
    </r>
    <r>
      <rPr>
        <sz val="16"/>
        <rFont val="微软雅黑"/>
        <family val="2"/>
        <charset val="134"/>
      </rPr>
      <t>娱乐</t>
    </r>
  </si>
  <si>
    <t>60011480</t>
  </si>
  <si>
    <r>
      <rPr>
        <sz val="16"/>
        <rFont val="Arial"/>
        <family val="2"/>
      </rPr>
      <t xml:space="preserve">Banquet Expenses </t>
    </r>
    <r>
      <rPr>
        <sz val="16"/>
        <rFont val="微软雅黑"/>
        <family val="2"/>
        <charset val="134"/>
      </rPr>
      <t>宴会费用</t>
    </r>
  </si>
  <si>
    <t>60011510</t>
  </si>
  <si>
    <r>
      <rPr>
        <sz val="16"/>
        <rFont val="Arial"/>
        <family val="2"/>
      </rPr>
      <t xml:space="preserve">Kitchen Fuel </t>
    </r>
    <r>
      <rPr>
        <sz val="16"/>
        <rFont val="微软雅黑"/>
        <family val="2"/>
        <charset val="134"/>
      </rPr>
      <t>厨房燃料</t>
    </r>
  </si>
  <si>
    <t>60011520</t>
  </si>
  <si>
    <r>
      <rPr>
        <sz val="16"/>
        <rFont val="Arial"/>
        <family val="2"/>
      </rPr>
      <t xml:space="preserve">Hygiene </t>
    </r>
    <r>
      <rPr>
        <sz val="16"/>
        <rFont val="微软雅黑"/>
        <family val="2"/>
        <charset val="134"/>
      </rPr>
      <t>卫生</t>
    </r>
  </si>
  <si>
    <t>60011530</t>
  </si>
  <si>
    <r>
      <rPr>
        <sz val="16"/>
        <rFont val="Arial"/>
        <family val="2"/>
      </rPr>
      <t xml:space="preserve">Medical/First Aid Expenses </t>
    </r>
    <r>
      <rPr>
        <sz val="16"/>
        <rFont val="微软雅黑"/>
        <family val="2"/>
        <charset val="134"/>
      </rPr>
      <t>急救费用</t>
    </r>
  </si>
  <si>
    <t>60011540</t>
  </si>
  <si>
    <r>
      <rPr>
        <sz val="16"/>
        <rFont val="Arial"/>
        <family val="2"/>
      </rPr>
      <t xml:space="preserve">Equipment Rental </t>
    </r>
    <r>
      <rPr>
        <sz val="16"/>
        <rFont val="微软雅黑"/>
        <family val="2"/>
        <charset val="134"/>
      </rPr>
      <t>设备租金</t>
    </r>
  </si>
  <si>
    <t>60011550</t>
  </si>
  <si>
    <r>
      <rPr>
        <sz val="16"/>
        <rFont val="Arial"/>
        <family val="2"/>
      </rPr>
      <t xml:space="preserve">Food Testing </t>
    </r>
    <r>
      <rPr>
        <sz val="16"/>
        <rFont val="微软雅黑"/>
        <family val="2"/>
        <charset val="134"/>
      </rPr>
      <t>食品测试</t>
    </r>
  </si>
  <si>
    <t>60011561</t>
  </si>
  <si>
    <r>
      <rPr>
        <sz val="16"/>
        <rFont val="Arial"/>
        <family val="2"/>
      </rPr>
      <t xml:space="preserve">Oil </t>
    </r>
    <r>
      <rPr>
        <sz val="16"/>
        <rFont val="微软雅黑"/>
        <family val="2"/>
        <charset val="134"/>
      </rPr>
      <t>汽油</t>
    </r>
  </si>
  <si>
    <t>60011562</t>
  </si>
  <si>
    <r>
      <rPr>
        <sz val="16"/>
        <rFont val="Arial"/>
        <family val="2"/>
      </rPr>
      <t xml:space="preserve">Vehicles Maintenance </t>
    </r>
    <r>
      <rPr>
        <sz val="16"/>
        <rFont val="微软雅黑"/>
        <family val="2"/>
        <charset val="134"/>
      </rPr>
      <t>车辆维修</t>
    </r>
  </si>
  <si>
    <t>60011563</t>
  </si>
  <si>
    <r>
      <rPr>
        <sz val="16"/>
        <rFont val="Arial"/>
        <family val="2"/>
      </rPr>
      <t xml:space="preserve">Vehicle Insurance </t>
    </r>
    <r>
      <rPr>
        <sz val="16"/>
        <rFont val="微软雅黑"/>
        <family val="2"/>
        <charset val="134"/>
      </rPr>
      <t>车辆保险</t>
    </r>
  </si>
  <si>
    <t>60011564</t>
  </si>
  <si>
    <r>
      <rPr>
        <sz val="16"/>
        <rFont val="Arial"/>
        <family val="2"/>
      </rPr>
      <t xml:space="preserve">Vehicle Tax </t>
    </r>
    <r>
      <rPr>
        <sz val="16"/>
        <rFont val="微软雅黑"/>
        <family val="2"/>
        <charset val="134"/>
      </rPr>
      <t>车辆税</t>
    </r>
  </si>
  <si>
    <t>60011610</t>
  </si>
  <si>
    <r>
      <rPr>
        <sz val="16"/>
        <rFont val="Arial"/>
        <family val="2"/>
      </rPr>
      <t xml:space="preserve">Pool Supplies </t>
    </r>
    <r>
      <rPr>
        <sz val="16"/>
        <rFont val="微软雅黑"/>
        <family val="2"/>
        <charset val="134"/>
      </rPr>
      <t>泳池用品</t>
    </r>
  </si>
  <si>
    <t>60011620</t>
  </si>
  <si>
    <r>
      <rPr>
        <sz val="16"/>
        <rFont val="Arial"/>
        <family val="2"/>
      </rPr>
      <t xml:space="preserve">General Supplies-GuestLaundry </t>
    </r>
    <r>
      <rPr>
        <sz val="16"/>
        <rFont val="微软雅黑"/>
        <family val="2"/>
        <charset val="134"/>
      </rPr>
      <t>一般用品</t>
    </r>
    <r>
      <rPr>
        <sz val="16"/>
        <rFont val="Arial"/>
        <family val="2"/>
      </rPr>
      <t>-</t>
    </r>
    <r>
      <rPr>
        <sz val="16"/>
        <rFont val="微软雅黑"/>
        <family val="2"/>
        <charset val="134"/>
      </rPr>
      <t>客衣</t>
    </r>
  </si>
  <si>
    <t>60011910</t>
  </si>
  <si>
    <r>
      <rPr>
        <sz val="16"/>
        <rFont val="Arial"/>
        <family val="2"/>
      </rPr>
      <t xml:space="preserve">Staff Canteen-Food </t>
    </r>
    <r>
      <rPr>
        <sz val="16"/>
        <rFont val="微软雅黑"/>
        <family val="2"/>
        <charset val="134"/>
      </rPr>
      <t>员工餐厅食品</t>
    </r>
  </si>
  <si>
    <t>60011920</t>
  </si>
  <si>
    <r>
      <rPr>
        <sz val="16"/>
        <rFont val="Arial"/>
        <family val="2"/>
      </rPr>
      <t xml:space="preserve">Staff Canteen-Beverage </t>
    </r>
    <r>
      <rPr>
        <sz val="16"/>
        <rFont val="微软雅黑"/>
        <family val="2"/>
        <charset val="134"/>
      </rPr>
      <t>员工餐厅饮料酒水</t>
    </r>
  </si>
  <si>
    <t>60011930</t>
  </si>
  <si>
    <r>
      <rPr>
        <sz val="16"/>
        <rFont val="Arial"/>
        <family val="2"/>
      </rPr>
      <t xml:space="preserve">Dormitory Supplies </t>
    </r>
    <r>
      <rPr>
        <sz val="16"/>
        <rFont val="微软雅黑"/>
        <family val="2"/>
        <charset val="134"/>
      </rPr>
      <t>员工宿舍用品</t>
    </r>
  </si>
  <si>
    <t>60012010</t>
  </si>
  <si>
    <r>
      <rPr>
        <sz val="16"/>
        <rFont val="Arial"/>
        <family val="2"/>
      </rPr>
      <t xml:space="preserve">Photocopy </t>
    </r>
    <r>
      <rPr>
        <sz val="16"/>
        <rFont val="微软雅黑"/>
        <family val="2"/>
        <charset val="134"/>
      </rPr>
      <t>复印费</t>
    </r>
  </si>
  <si>
    <t>60012020</t>
  </si>
  <si>
    <r>
      <rPr>
        <sz val="16"/>
        <rFont val="Arial"/>
        <family val="2"/>
      </rPr>
      <t xml:space="preserve">Postage </t>
    </r>
    <r>
      <rPr>
        <sz val="16"/>
        <rFont val="微软雅黑"/>
        <family val="2"/>
        <charset val="134"/>
      </rPr>
      <t>邮费</t>
    </r>
  </si>
  <si>
    <t>60012030</t>
  </si>
  <si>
    <r>
      <rPr>
        <sz val="16"/>
        <rFont val="Arial"/>
        <family val="2"/>
      </rPr>
      <t xml:space="preserve">Printing &amp; Stationery </t>
    </r>
    <r>
      <rPr>
        <sz val="16"/>
        <rFont val="微软雅黑"/>
        <family val="2"/>
        <charset val="134"/>
      </rPr>
      <t>印刷与文具</t>
    </r>
  </si>
  <si>
    <t>60012040</t>
  </si>
  <si>
    <r>
      <rPr>
        <sz val="16"/>
        <rFont val="Arial"/>
        <family val="2"/>
      </rPr>
      <t xml:space="preserve">Internal Laundry </t>
    </r>
    <r>
      <rPr>
        <sz val="16"/>
        <rFont val="微软雅黑"/>
        <family val="2"/>
        <charset val="134"/>
      </rPr>
      <t>内部洗衣</t>
    </r>
  </si>
  <si>
    <t>60012050</t>
  </si>
  <si>
    <r>
      <rPr>
        <sz val="16"/>
        <rFont val="Arial"/>
        <family val="2"/>
      </rPr>
      <t xml:space="preserve">Taskforce Expenses </t>
    </r>
    <r>
      <rPr>
        <sz val="16"/>
        <rFont val="微软雅黑"/>
        <family val="2"/>
        <charset val="134"/>
      </rPr>
      <t>外援费用</t>
    </r>
  </si>
  <si>
    <t>60012060</t>
  </si>
  <si>
    <r>
      <rPr>
        <sz val="16"/>
        <rFont val="Arial"/>
        <family val="2"/>
      </rPr>
      <t xml:space="preserve">Telephone </t>
    </r>
    <r>
      <rPr>
        <sz val="16"/>
        <rFont val="微软雅黑"/>
        <family val="2"/>
        <charset val="134"/>
      </rPr>
      <t>电话费</t>
    </r>
  </si>
  <si>
    <t>60012070</t>
  </si>
  <si>
    <r>
      <rPr>
        <sz val="16"/>
        <rFont val="Arial"/>
        <family val="2"/>
      </rPr>
      <t xml:space="preserve">Transportation </t>
    </r>
    <r>
      <rPr>
        <sz val="16"/>
        <rFont val="微软雅黑"/>
        <family val="2"/>
        <charset val="134"/>
      </rPr>
      <t>交通</t>
    </r>
    <r>
      <rPr>
        <sz val="16"/>
        <rFont val="Arial"/>
        <family val="2"/>
      </rPr>
      <t xml:space="preserve"> - Guest </t>
    </r>
    <r>
      <rPr>
        <sz val="16"/>
        <rFont val="微软雅黑"/>
        <family val="2"/>
        <charset val="134"/>
      </rPr>
      <t>客人</t>
    </r>
  </si>
  <si>
    <t>60012080</t>
  </si>
  <si>
    <r>
      <rPr>
        <sz val="16"/>
        <rFont val="Arial"/>
        <family val="2"/>
      </rPr>
      <t xml:space="preserve">Transportation </t>
    </r>
    <r>
      <rPr>
        <sz val="16"/>
        <rFont val="微软雅黑"/>
        <family val="2"/>
        <charset val="134"/>
      </rPr>
      <t>交通</t>
    </r>
    <r>
      <rPr>
        <sz val="16"/>
        <rFont val="Arial"/>
        <family val="2"/>
      </rPr>
      <t xml:space="preserve"> - Staff </t>
    </r>
    <r>
      <rPr>
        <sz val="16"/>
        <rFont val="微软雅黑"/>
        <family val="2"/>
        <charset val="134"/>
      </rPr>
      <t>员工</t>
    </r>
  </si>
  <si>
    <t>60012090</t>
  </si>
  <si>
    <r>
      <rPr>
        <sz val="16"/>
        <rFont val="Arial"/>
        <family val="2"/>
      </rPr>
      <t xml:space="preserve">Travelling Expenses </t>
    </r>
    <r>
      <rPr>
        <sz val="16"/>
        <rFont val="微软雅黑"/>
        <family val="2"/>
        <charset val="134"/>
      </rPr>
      <t>差旅费</t>
    </r>
    <r>
      <rPr>
        <sz val="16"/>
        <rFont val="Arial"/>
        <family val="2"/>
      </rPr>
      <t xml:space="preserve"> </t>
    </r>
  </si>
  <si>
    <t>60014101</t>
  </si>
  <si>
    <r>
      <rPr>
        <sz val="16"/>
        <rFont val="Arial"/>
        <family val="2"/>
      </rPr>
      <t xml:space="preserve">Lost &amp; Damaged </t>
    </r>
    <r>
      <rPr>
        <sz val="16"/>
        <rFont val="微软雅黑"/>
        <family val="2"/>
        <charset val="134"/>
      </rPr>
      <t>丢失与损坏</t>
    </r>
  </si>
  <si>
    <t>60014102</t>
  </si>
  <si>
    <r>
      <rPr>
        <sz val="16"/>
        <rFont val="Arial"/>
        <family val="2"/>
      </rPr>
      <t xml:space="preserve">License Fee </t>
    </r>
    <r>
      <rPr>
        <sz val="16"/>
        <rFont val="微软雅黑"/>
        <family val="2"/>
        <charset val="134"/>
      </rPr>
      <t>执照</t>
    </r>
    <r>
      <rPr>
        <sz val="16"/>
        <rFont val="Arial"/>
        <family val="2"/>
      </rPr>
      <t>/</t>
    </r>
    <r>
      <rPr>
        <sz val="16"/>
        <rFont val="微软雅黑"/>
        <family val="2"/>
        <charset val="134"/>
      </rPr>
      <t>许可证费</t>
    </r>
  </si>
  <si>
    <t>60014104</t>
  </si>
  <si>
    <r>
      <rPr>
        <sz val="16"/>
        <rFont val="Arial"/>
        <family val="2"/>
      </rPr>
      <t xml:space="preserve">Professional Services </t>
    </r>
    <r>
      <rPr>
        <sz val="16"/>
        <rFont val="微软雅黑"/>
        <family val="2"/>
        <charset val="134"/>
      </rPr>
      <t>专业服务</t>
    </r>
  </si>
  <si>
    <r>
      <rPr>
        <sz val="16"/>
        <rFont val="Arial"/>
        <family val="2"/>
      </rPr>
      <t xml:space="preserve">Supervision Fee </t>
    </r>
    <r>
      <rPr>
        <sz val="16"/>
        <rFont val="宋体"/>
        <family val="3"/>
        <charset val="134"/>
      </rPr>
      <t>监管费</t>
    </r>
  </si>
  <si>
    <t>60011490</t>
  </si>
  <si>
    <r>
      <rPr>
        <sz val="16"/>
        <rFont val="Arial"/>
        <family val="2"/>
      </rPr>
      <t xml:space="preserve">Miscellaneous Expenses </t>
    </r>
    <r>
      <rPr>
        <sz val="16"/>
        <rFont val="微软雅黑"/>
        <family val="2"/>
        <charset val="134"/>
      </rPr>
      <t>杂项</t>
    </r>
  </si>
  <si>
    <r>
      <rPr>
        <b/>
        <sz val="16"/>
        <rFont val="Arial"/>
        <family val="2"/>
      </rPr>
      <t xml:space="preserve">Total Operating Expenses </t>
    </r>
    <r>
      <rPr>
        <b/>
        <sz val="16"/>
        <rFont val="宋体"/>
        <family val="3"/>
        <charset val="134"/>
      </rPr>
      <t>费用合计</t>
    </r>
  </si>
  <si>
    <r>
      <rPr>
        <b/>
        <sz val="16"/>
        <rFont val="Arial"/>
        <family val="2"/>
      </rPr>
      <t xml:space="preserve">Total Undistributed Expense </t>
    </r>
    <r>
      <rPr>
        <b/>
        <sz val="16"/>
        <rFont val="宋体"/>
        <family val="3"/>
        <charset val="134"/>
      </rPr>
      <t>不分配费用合计</t>
    </r>
  </si>
  <si>
    <t>&lt;&lt;5..79999999</t>
  </si>
  <si>
    <t>&lt;&lt;27101</t>
  </si>
  <si>
    <t>Total Allocation Expenses</t>
  </si>
  <si>
    <r>
      <rPr>
        <b/>
        <sz val="16"/>
        <rFont val="Arial"/>
        <family val="2"/>
      </rPr>
      <t xml:space="preserve">LABOUR COST ANALYSIS </t>
    </r>
    <r>
      <rPr>
        <b/>
        <sz val="16"/>
        <rFont val="宋体"/>
        <family val="3"/>
        <charset val="134"/>
      </rPr>
      <t>人工成本</t>
    </r>
  </si>
  <si>
    <t>50012300</t>
  </si>
  <si>
    <t>50021270</t>
  </si>
  <si>
    <t>50012400</t>
  </si>
  <si>
    <t>50021280</t>
  </si>
  <si>
    <t>&lt;&lt;50021400</t>
  </si>
  <si>
    <r>
      <rPr>
        <sz val="16"/>
        <rFont val="Arial"/>
        <family val="2"/>
      </rPr>
      <t xml:space="preserve">Severance Pay </t>
    </r>
    <r>
      <rPr>
        <sz val="16"/>
        <rFont val="宋体"/>
        <family val="3"/>
        <charset val="134"/>
      </rPr>
      <t>解雇费</t>
    </r>
  </si>
  <si>
    <t>50013100</t>
  </si>
  <si>
    <t>50013200</t>
  </si>
  <si>
    <t>50013300</t>
  </si>
  <si>
    <t>50013400</t>
  </si>
  <si>
    <t>50013500</t>
  </si>
  <si>
    <t>50013600</t>
  </si>
  <si>
    <t>50013700</t>
  </si>
  <si>
    <t>50013800</t>
  </si>
  <si>
    <t>50021120</t>
  </si>
  <si>
    <t>50021130</t>
  </si>
  <si>
    <t>50021210</t>
  </si>
  <si>
    <t>50021110</t>
  </si>
  <si>
    <t>50021290</t>
  </si>
  <si>
    <t>&lt;&lt;50021300</t>
  </si>
  <si>
    <r>
      <rPr>
        <sz val="16"/>
        <rFont val="Arial"/>
        <family val="2"/>
      </rPr>
      <t xml:space="preserve">Employee Relations </t>
    </r>
    <r>
      <rPr>
        <sz val="16"/>
        <rFont val="宋体"/>
        <family val="3"/>
        <charset val="134"/>
      </rPr>
      <t>员工关系</t>
    </r>
  </si>
  <si>
    <t>&lt;&lt;50031001..50031002,50021500</t>
  </si>
  <si>
    <t xml:space="preserve"> 食品收入</t>
  </si>
  <si>
    <t>ADD</t>
  </si>
  <si>
    <t>BANQUET</t>
  </si>
  <si>
    <t>分摊费用</t>
  </si>
  <si>
    <t>Room Service 送餐损益</t>
  </si>
  <si>
    <t>&lt;&lt;30300330,30310330,303203330</t>
  </si>
  <si>
    <t>The Lounge Total Labor Cost</t>
  </si>
  <si>
    <t>Room Service Total Labor Cost</t>
  </si>
  <si>
    <t>Grand Total Labor Cost</t>
  </si>
  <si>
    <t>Banquet 宴会损益</t>
  </si>
  <si>
    <t>&lt;&lt;24112</t>
  </si>
  <si>
    <t>Residence</t>
  </si>
  <si>
    <t>&lt;&lt;24113</t>
  </si>
  <si>
    <t>Wedding</t>
  </si>
  <si>
    <t>&lt;&lt;24114</t>
  </si>
  <si>
    <t>Social</t>
  </si>
  <si>
    <t>&lt;&lt;24115</t>
  </si>
  <si>
    <t>Group</t>
  </si>
  <si>
    <t>&lt;&lt;24116,24121</t>
  </si>
  <si>
    <t>Others</t>
  </si>
  <si>
    <t>&lt;&lt;24111..24116,24121..24200</t>
  </si>
  <si>
    <t>&lt;&lt;30320990..30320992,30400050</t>
  </si>
  <si>
    <t>Minibar 迷你吧</t>
  </si>
  <si>
    <t>REVENUE</t>
  </si>
  <si>
    <t>&lt;&lt;25101</t>
  </si>
  <si>
    <t>Mini Bar Revenue 迷你吧收入</t>
  </si>
  <si>
    <t>&lt;&lt;30320400..30320402</t>
  </si>
  <si>
    <t>Season Promotion 季节推广</t>
  </si>
  <si>
    <t>&lt;&lt;30320990..30320992</t>
  </si>
  <si>
    <t>Miscellaneous Revenue 餐饮杂项收入</t>
  </si>
  <si>
    <t>Total Revenue</t>
  </si>
  <si>
    <t>&lt;&lt;40200190</t>
  </si>
  <si>
    <t>Season Promotion Cost 季节推广成本</t>
  </si>
  <si>
    <t>Other F&amp;B Cost 其他餐饮成本</t>
  </si>
  <si>
    <t>&lt;&lt;ZZZZZZZ</t>
  </si>
  <si>
    <t>Stewarding 管事部</t>
  </si>
  <si>
    <t>餐饮收入</t>
  </si>
  <si>
    <t>F&amp;B Administration 餐饮行政</t>
  </si>
  <si>
    <t>&lt;&lt;20001</t>
  </si>
  <si>
    <r>
      <rPr>
        <b/>
        <sz val="18"/>
        <rFont val="Arial"/>
        <family val="2"/>
      </rPr>
      <t xml:space="preserve">Other Operating Department </t>
    </r>
    <r>
      <rPr>
        <b/>
        <sz val="18"/>
        <rFont val="微软雅黑"/>
        <family val="2"/>
        <charset val="134"/>
      </rPr>
      <t>其他营运部门</t>
    </r>
  </si>
  <si>
    <t>&lt;&lt;36040900,39810200..39810300,38108100</t>
  </si>
  <si>
    <t>&lt;&lt;31099</t>
  </si>
  <si>
    <t>Recreation Center 娱乐中心</t>
  </si>
  <si>
    <t>&lt;&lt;36020010,39810200..39810300,38108100</t>
  </si>
  <si>
    <t>&lt;&lt;31101</t>
  </si>
  <si>
    <r>
      <rPr>
        <sz val="16"/>
        <rFont val="Arial"/>
        <family val="2"/>
      </rPr>
      <t xml:space="preserve">Health Culb </t>
    </r>
    <r>
      <rPr>
        <sz val="16"/>
        <rFont val="宋体"/>
        <family val="3"/>
        <charset val="134"/>
      </rPr>
      <t>健身俱乐部</t>
    </r>
  </si>
  <si>
    <t>&lt;&lt;36020020,39810200..39810300,38108100</t>
  </si>
  <si>
    <t>&lt;&lt;31201</t>
  </si>
  <si>
    <t>Pool 泳池</t>
  </si>
  <si>
    <t>&lt;&lt;36020030,39810200..39810300,38108100</t>
  </si>
  <si>
    <t>&lt;&lt;31301</t>
  </si>
  <si>
    <t>Salon 沙龙</t>
  </si>
  <si>
    <t>&lt;&lt;36020040,39810200..39810300,38108100</t>
  </si>
  <si>
    <t>&lt;&lt;31401</t>
  </si>
  <si>
    <t>Kids Center 儿童中心</t>
  </si>
  <si>
    <t>&lt;&lt;36030010,39810200..39810300,38108100</t>
  </si>
  <si>
    <t>&lt;&lt;32101</t>
  </si>
  <si>
    <t>SPA 水疗</t>
  </si>
  <si>
    <t>&lt;&lt;36800100,39810200..39810300,38108100</t>
  </si>
  <si>
    <t>&lt;&lt;33100</t>
  </si>
  <si>
    <t>Business Center 商务中心</t>
  </si>
  <si>
    <t>&lt;&lt;36010011,39810200..39810300,38108100</t>
  </si>
  <si>
    <t>&lt;&lt;34100</t>
  </si>
  <si>
    <r>
      <rPr>
        <sz val="16"/>
        <rFont val="Arial"/>
        <family val="2"/>
      </rPr>
      <t xml:space="preserve">Telephone </t>
    </r>
    <r>
      <rPr>
        <sz val="16"/>
        <rFont val="宋体"/>
        <family val="3"/>
        <charset val="134"/>
      </rPr>
      <t>电话</t>
    </r>
  </si>
  <si>
    <t>&lt;&lt;36040100,39810200..39810300,38108100</t>
  </si>
  <si>
    <t>&lt;&lt;35101</t>
  </si>
  <si>
    <t>Transportation 车队</t>
  </si>
  <si>
    <t>&lt;&lt;36040300,39810200..39810300,38108100</t>
  </si>
  <si>
    <t>&lt;&lt;35102</t>
  </si>
  <si>
    <t>Garage Parking 停车场</t>
  </si>
  <si>
    <t>&lt;&lt;36700200,39810200..39810300,38108100</t>
  </si>
  <si>
    <t>&lt;&lt;36101</t>
  </si>
  <si>
    <t>Galleria 钓鱼台生活馆</t>
  </si>
  <si>
    <t>&lt;&lt;36102</t>
  </si>
  <si>
    <t>Retail#2 商品部#2</t>
  </si>
  <si>
    <t>&lt;&lt;36700110,39810200..39810300,38108100</t>
  </si>
  <si>
    <t>&lt;&lt;37100</t>
  </si>
  <si>
    <r>
      <rPr>
        <sz val="16"/>
        <rFont val="Arial"/>
        <family val="2"/>
      </rPr>
      <t xml:space="preserve">Laundry </t>
    </r>
    <r>
      <rPr>
        <sz val="16"/>
        <rFont val="宋体"/>
        <family val="3"/>
        <charset val="134"/>
      </rPr>
      <t>洗衣</t>
    </r>
  </si>
  <si>
    <t>&lt;&lt;37013000,39810200..39810300,38108100</t>
  </si>
  <si>
    <t>&lt;&lt;38101</t>
  </si>
  <si>
    <r>
      <rPr>
        <sz val="16"/>
        <rFont val="Arial"/>
        <family val="2"/>
      </rPr>
      <t xml:space="preserve">Apartment </t>
    </r>
    <r>
      <rPr>
        <sz val="16"/>
        <rFont val="宋体"/>
        <family val="3"/>
        <charset val="134"/>
      </rPr>
      <t>公寓</t>
    </r>
  </si>
  <si>
    <t>&lt;&lt;36700300,36800200..36800300,36800500..36800600,37011000..37012000,37014000,39810100,39810200..39810300</t>
  </si>
  <si>
    <r>
      <rPr>
        <sz val="16"/>
        <rFont val="Arial"/>
        <family val="2"/>
      </rPr>
      <t xml:space="preserve">Other </t>
    </r>
    <r>
      <rPr>
        <sz val="16"/>
        <rFont val="宋体"/>
        <family val="3"/>
        <charset val="134"/>
      </rPr>
      <t>其他</t>
    </r>
  </si>
  <si>
    <r>
      <rPr>
        <sz val="16"/>
        <rFont val="Arial"/>
        <family val="2"/>
      </rPr>
      <t xml:space="preserve">TOTAL OTHER REVENUE </t>
    </r>
    <r>
      <rPr>
        <sz val="16"/>
        <rFont val="宋体"/>
        <family val="3"/>
        <charset val="134"/>
      </rPr>
      <t>其他收入合计</t>
    </r>
  </si>
  <si>
    <r>
      <rPr>
        <b/>
        <sz val="16"/>
        <rFont val="Arial"/>
        <family val="2"/>
      </rPr>
      <t xml:space="preserve">EXPENSES </t>
    </r>
    <r>
      <rPr>
        <b/>
        <sz val="16"/>
        <rFont val="宋体"/>
        <family val="3"/>
        <charset val="134"/>
      </rPr>
      <t>费用</t>
    </r>
  </si>
  <si>
    <t>&lt;&lt;4..49999999,6..79999999</t>
  </si>
  <si>
    <r>
      <rPr>
        <sz val="16"/>
        <rFont val="Arial"/>
        <family val="2"/>
      </rPr>
      <t xml:space="preserve">TOTAL OTHER EXPENSES </t>
    </r>
    <r>
      <rPr>
        <sz val="16"/>
        <rFont val="宋体"/>
        <family val="3"/>
        <charset val="134"/>
      </rPr>
      <t>其他费用合计</t>
    </r>
  </si>
  <si>
    <r>
      <rPr>
        <b/>
        <sz val="16"/>
        <rFont val="Arial"/>
        <family val="2"/>
      </rPr>
      <t xml:space="preserve">Departmental Profit/(Loss) </t>
    </r>
    <r>
      <rPr>
        <b/>
        <sz val="16"/>
        <rFont val="宋体"/>
        <family val="3"/>
        <charset val="134"/>
      </rPr>
      <t>部门利润（亏损）</t>
    </r>
  </si>
  <si>
    <r>
      <rPr>
        <sz val="16"/>
        <rFont val="Arial"/>
        <family val="2"/>
      </rPr>
      <t xml:space="preserve">TOTAL DEPARTMENTAL PROFIT/(LOSS) </t>
    </r>
    <r>
      <rPr>
        <b/>
        <sz val="16"/>
        <rFont val="宋体"/>
        <family val="3"/>
        <charset val="134"/>
      </rPr>
      <t>其他营运部门利润合计</t>
    </r>
  </si>
  <si>
    <t>&lt;&lt;3..39999</t>
  </si>
  <si>
    <t>&lt;&lt;3..399999</t>
  </si>
  <si>
    <t>Health Culb 健身俱乐部</t>
  </si>
  <si>
    <t>36020010</t>
  </si>
  <si>
    <t>&lt;&lt;31101,31201</t>
  </si>
  <si>
    <t>2102</t>
  </si>
  <si>
    <t>Squash</t>
  </si>
  <si>
    <t>2103</t>
  </si>
  <si>
    <t>Table Tennis</t>
  </si>
  <si>
    <t>2104</t>
  </si>
  <si>
    <t>Snooker</t>
  </si>
  <si>
    <t>2105</t>
  </si>
  <si>
    <t xml:space="preserve"> Game Room</t>
  </si>
  <si>
    <t>2106</t>
  </si>
  <si>
    <t>Aerobic</t>
  </si>
  <si>
    <t>2107</t>
  </si>
  <si>
    <t>Pool</t>
  </si>
  <si>
    <t>2108</t>
  </si>
  <si>
    <t>Spa</t>
  </si>
  <si>
    <t>2109</t>
  </si>
  <si>
    <t>Beauty Salon</t>
  </si>
  <si>
    <t>2110</t>
  </si>
  <si>
    <t>Massage Fee</t>
  </si>
  <si>
    <t>2112</t>
  </si>
  <si>
    <t>Snacks</t>
  </si>
  <si>
    <t>2113</t>
  </si>
  <si>
    <t>Health Drinks</t>
  </si>
  <si>
    <t>2114</t>
  </si>
  <si>
    <t>Single Consumption</t>
  </si>
  <si>
    <t>2115</t>
  </si>
  <si>
    <t>Store Value Card</t>
  </si>
  <si>
    <t>2199</t>
  </si>
  <si>
    <t>Miscellaneous</t>
  </si>
  <si>
    <t>38108100</t>
  </si>
  <si>
    <t>Service Charge</t>
  </si>
  <si>
    <t>40310500</t>
  </si>
  <si>
    <t>2101</t>
  </si>
  <si>
    <t>Club Membership</t>
  </si>
  <si>
    <t>Game Room</t>
  </si>
  <si>
    <t>Retail</t>
  </si>
  <si>
    <t>&lt;&lt;40310400,40310500</t>
  </si>
  <si>
    <t>Total Cost of Sales</t>
  </si>
  <si>
    <t>Total Labour Costs</t>
  </si>
  <si>
    <t>OPERATING EXPENSES</t>
  </si>
  <si>
    <t>Total Operating Expenses</t>
  </si>
  <si>
    <t>Department Profit/(Loss)</t>
  </si>
  <si>
    <t>&lt;&lt;3..79999999</t>
  </si>
  <si>
    <t>LABOUR COST ANALYSIS</t>
  </si>
  <si>
    <t>Salary &amp; Wages</t>
  </si>
  <si>
    <t>Managers 经理</t>
  </si>
  <si>
    <t>Services 服务</t>
  </si>
  <si>
    <t>Total Remuneration</t>
  </si>
  <si>
    <t>Overtime 加班</t>
  </si>
  <si>
    <t>Bonus 年终奖金</t>
  </si>
  <si>
    <t>Allowance 津贴</t>
  </si>
  <si>
    <t>Vacation Pay 假期工资</t>
  </si>
  <si>
    <t>Incentive 奖金</t>
  </si>
  <si>
    <t>Total Salary &amp; Wages</t>
  </si>
  <si>
    <t>PRC - Retirement Insurance 养老保险</t>
  </si>
  <si>
    <t>PRC - Basic Medical Insurance 医疗保险</t>
  </si>
  <si>
    <t>PRC - Unemployement fund 失业保险</t>
  </si>
  <si>
    <t>PRC - Employee Liability (Injury) 工伤保险</t>
  </si>
  <si>
    <t>PRC - Birth Insurance 生育保险</t>
  </si>
  <si>
    <t>PRC - Housing Fund 住房公积金</t>
  </si>
  <si>
    <t>PRC - Union Fee 工会经费</t>
  </si>
  <si>
    <t>PRC - Education Fund 教育经费</t>
  </si>
  <si>
    <t>Total Fringe</t>
  </si>
  <si>
    <t>Expats - Insurance 外籍保险</t>
  </si>
  <si>
    <t>Expats - Medical Insurance 外籍医疗保险</t>
  </si>
  <si>
    <t>Expats - Benefits 外籍福利</t>
  </si>
  <si>
    <t>Local - Business Insurance 本地员工商业保险</t>
  </si>
  <si>
    <t>Other Benefits 其他福利</t>
  </si>
  <si>
    <t>Staff Dormitory &amp; Related Expenses 员工宿舍及相关费用</t>
  </si>
  <si>
    <t>Staff Cateen Allocation &amp; OC 员工餐费</t>
  </si>
  <si>
    <t>Total Benefits</t>
  </si>
  <si>
    <t>TOTAL LABOUR COST</t>
  </si>
  <si>
    <t>FTEs</t>
  </si>
  <si>
    <t>Telephone 电话</t>
  </si>
  <si>
    <t>36010011</t>
  </si>
  <si>
    <t>2702</t>
  </si>
  <si>
    <t>DDD Calls</t>
  </si>
  <si>
    <t>Local Calls</t>
  </si>
  <si>
    <t>2703</t>
  </si>
  <si>
    <t>IDD Calls</t>
  </si>
  <si>
    <t>2704</t>
  </si>
  <si>
    <t>Public phone</t>
  </si>
  <si>
    <t>2705</t>
  </si>
  <si>
    <t xml:space="preserve">Facsimilie Revenue </t>
  </si>
  <si>
    <t>2706</t>
  </si>
  <si>
    <t>Handling Charges</t>
  </si>
  <si>
    <t>2707</t>
  </si>
  <si>
    <t xml:space="preserve">Internet Access </t>
  </si>
  <si>
    <t>2799</t>
  </si>
  <si>
    <t>&lt;&lt;40310500</t>
  </si>
  <si>
    <t>FTEs员工人数</t>
  </si>
  <si>
    <t>Outside Transportation</t>
  </si>
  <si>
    <t>36040100</t>
  </si>
  <si>
    <t>2899</t>
  </si>
  <si>
    <t>Transportation</t>
  </si>
  <si>
    <t>2802</t>
  </si>
  <si>
    <t>Guest Laundry 客衣收入</t>
  </si>
  <si>
    <t>36700110</t>
  </si>
  <si>
    <t>3001</t>
  </si>
  <si>
    <t>Guest Dry Cleaning</t>
  </si>
  <si>
    <t>Guest Laundry</t>
  </si>
  <si>
    <t>3003</t>
  </si>
  <si>
    <t>Non-Guest Dry Cleaning</t>
  </si>
  <si>
    <t>3004</t>
  </si>
  <si>
    <t>Non-Guest Laundry</t>
  </si>
  <si>
    <t>3005</t>
  </si>
  <si>
    <t xml:space="preserve"> Retail</t>
  </si>
  <si>
    <t>3099</t>
  </si>
  <si>
    <r>
      <rPr>
        <b/>
        <sz val="18"/>
        <rFont val="Arial"/>
        <family val="2"/>
      </rPr>
      <t>BC</t>
    </r>
    <r>
      <rPr>
        <b/>
        <sz val="18"/>
        <rFont val="宋体"/>
        <family val="3"/>
        <charset val="134"/>
      </rPr>
      <t>商务中心</t>
    </r>
  </si>
  <si>
    <r>
      <rPr>
        <sz val="16"/>
        <rFont val="Arial"/>
        <family val="2"/>
      </rPr>
      <t xml:space="preserve">BC - Photocopying&amp;Printing   </t>
    </r>
    <r>
      <rPr>
        <sz val="16"/>
        <rFont val="宋体"/>
        <family val="3"/>
        <charset val="134"/>
      </rPr>
      <t>复印</t>
    </r>
    <r>
      <rPr>
        <sz val="16"/>
        <rFont val="Arial"/>
        <family val="2"/>
      </rPr>
      <t>&amp;</t>
    </r>
    <r>
      <rPr>
        <sz val="16"/>
        <rFont val="宋体"/>
        <family val="3"/>
        <charset val="134"/>
      </rPr>
      <t>打印</t>
    </r>
    <r>
      <rPr>
        <sz val="16"/>
        <rFont val="Arial"/>
        <family val="2"/>
      </rPr>
      <t xml:space="preserve"> </t>
    </r>
  </si>
  <si>
    <t>BC -Word Processing   文字处理</t>
  </si>
  <si>
    <t>BC -Facsimile     传真</t>
  </si>
  <si>
    <t>BC-Internet Service    上网</t>
  </si>
  <si>
    <t>BC-Binding    装订</t>
  </si>
  <si>
    <t>BC-Equipment Rental  设备租赁</t>
  </si>
  <si>
    <t>BC-Conference Room Rental  会议室租赁</t>
  </si>
  <si>
    <r>
      <rPr>
        <sz val="16"/>
        <rFont val="Arial"/>
        <family val="2"/>
      </rPr>
      <t xml:space="preserve">BC - Calls Fee   </t>
    </r>
    <r>
      <rPr>
        <sz val="16"/>
        <rFont val="宋体"/>
        <family val="3"/>
        <charset val="134"/>
      </rPr>
      <t>商务中心电话费</t>
    </r>
    <r>
      <rPr>
        <sz val="16"/>
        <rFont val="Arial"/>
        <family val="2"/>
      </rPr>
      <t xml:space="preserve"> </t>
    </r>
  </si>
  <si>
    <t xml:space="preserve">BC </t>
  </si>
  <si>
    <r>
      <rPr>
        <b/>
        <sz val="18"/>
        <rFont val="Arial"/>
        <family val="2"/>
      </rPr>
      <t xml:space="preserve">DYT Galleria-Hangzhou   </t>
    </r>
    <r>
      <rPr>
        <b/>
        <sz val="18"/>
        <rFont val="宋体"/>
        <family val="3"/>
        <charset val="134"/>
      </rPr>
      <t>钓鱼台生活馆</t>
    </r>
  </si>
  <si>
    <t>DYT Galleria-Hangzhou   钓鱼台生活馆</t>
  </si>
  <si>
    <r>
      <rPr>
        <b/>
        <sz val="18"/>
        <rFont val="Arial"/>
        <family val="2"/>
      </rPr>
      <t>Apartment</t>
    </r>
    <r>
      <rPr>
        <b/>
        <sz val="18"/>
        <rFont val="宋体"/>
        <family val="3"/>
        <charset val="134"/>
      </rPr>
      <t>公寓</t>
    </r>
  </si>
  <si>
    <t>&lt;&lt;37013000</t>
  </si>
  <si>
    <t>Apartment Room Charge</t>
  </si>
  <si>
    <t>Apartment VAT 6%</t>
  </si>
  <si>
    <t>Apartment Service Charge 10%</t>
  </si>
  <si>
    <t>Contract 合同</t>
  </si>
  <si>
    <t>COMP 免费房</t>
  </si>
  <si>
    <t>HSE 自用房</t>
  </si>
  <si>
    <r>
      <rPr>
        <b/>
        <sz val="18"/>
        <rFont val="Arial"/>
        <family val="2"/>
      </rPr>
      <t xml:space="preserve">General &amp; Administration </t>
    </r>
    <r>
      <rPr>
        <b/>
        <sz val="18"/>
        <rFont val="微软雅黑"/>
        <family val="2"/>
        <charset val="134"/>
      </rPr>
      <t>行政管理</t>
    </r>
  </si>
  <si>
    <t>60014103</t>
  </si>
  <si>
    <t>Centralized Accounting Charges 集中化财务费用</t>
  </si>
  <si>
    <t>60014105</t>
  </si>
  <si>
    <r>
      <rPr>
        <sz val="16"/>
        <rFont val="Arial"/>
        <family val="2"/>
      </rPr>
      <t xml:space="preserve">Consultants Fees </t>
    </r>
    <r>
      <rPr>
        <sz val="16"/>
        <rFont val="微软雅黑"/>
        <family val="2"/>
        <charset val="134"/>
      </rPr>
      <t>顾问费</t>
    </r>
  </si>
  <si>
    <t>60014107</t>
  </si>
  <si>
    <r>
      <rPr>
        <sz val="16"/>
        <rFont val="Arial"/>
        <family val="2"/>
      </rPr>
      <t xml:space="preserve">Legal Fee </t>
    </r>
    <r>
      <rPr>
        <sz val="16"/>
        <rFont val="微软雅黑"/>
        <family val="2"/>
        <charset val="134"/>
      </rPr>
      <t>法律费用</t>
    </r>
  </si>
  <si>
    <t>60014108</t>
  </si>
  <si>
    <r>
      <rPr>
        <sz val="16"/>
        <rFont val="Arial"/>
        <family val="2"/>
      </rPr>
      <t xml:space="preserve">External Audit Fee </t>
    </r>
    <r>
      <rPr>
        <sz val="16"/>
        <rFont val="微软雅黑"/>
        <family val="2"/>
        <charset val="134"/>
      </rPr>
      <t>外部审计费用</t>
    </r>
  </si>
  <si>
    <t>60014109</t>
  </si>
  <si>
    <r>
      <rPr>
        <sz val="16"/>
        <rFont val="Arial"/>
        <family val="2"/>
      </rPr>
      <t xml:space="preserve">Internal Audit Fee </t>
    </r>
    <r>
      <rPr>
        <sz val="16"/>
        <rFont val="微软雅黑"/>
        <family val="2"/>
        <charset val="134"/>
      </rPr>
      <t>内部审计费用</t>
    </r>
  </si>
  <si>
    <t>60014110</t>
  </si>
  <si>
    <r>
      <rPr>
        <sz val="16"/>
        <rFont val="Arial"/>
        <family val="2"/>
      </rPr>
      <t xml:space="preserve">Donations </t>
    </r>
    <r>
      <rPr>
        <sz val="16"/>
        <rFont val="微软雅黑"/>
        <family val="2"/>
        <charset val="134"/>
      </rPr>
      <t>捐献</t>
    </r>
  </si>
  <si>
    <t>60014111</t>
  </si>
  <si>
    <r>
      <rPr>
        <sz val="16"/>
        <rFont val="Arial"/>
        <family val="2"/>
      </rPr>
      <t xml:space="preserve">Bad Debts </t>
    </r>
    <r>
      <rPr>
        <sz val="16"/>
        <rFont val="微软雅黑"/>
        <family val="2"/>
        <charset val="134"/>
      </rPr>
      <t>坏帐</t>
    </r>
  </si>
  <si>
    <t>60014112</t>
  </si>
  <si>
    <r>
      <rPr>
        <sz val="16"/>
        <rFont val="Arial"/>
        <family val="2"/>
      </rPr>
      <t xml:space="preserve">Cash Over/Short </t>
    </r>
    <r>
      <rPr>
        <sz val="16"/>
        <rFont val="微软雅黑"/>
        <family val="2"/>
        <charset val="134"/>
      </rPr>
      <t>收银员长短款</t>
    </r>
  </si>
  <si>
    <t>60014113</t>
  </si>
  <si>
    <r>
      <rPr>
        <sz val="16"/>
        <rFont val="Arial"/>
        <family val="2"/>
      </rPr>
      <t xml:space="preserve">Commission </t>
    </r>
    <r>
      <rPr>
        <sz val="16"/>
        <rFont val="微软雅黑"/>
        <family val="2"/>
        <charset val="134"/>
      </rPr>
      <t>佣金</t>
    </r>
    <r>
      <rPr>
        <sz val="16"/>
        <rFont val="Arial"/>
        <family val="2"/>
      </rPr>
      <t xml:space="preserve"> - Credit Cards </t>
    </r>
    <r>
      <rPr>
        <sz val="16"/>
        <rFont val="微软雅黑"/>
        <family val="2"/>
        <charset val="134"/>
      </rPr>
      <t>信用卡</t>
    </r>
  </si>
  <si>
    <t>60014114</t>
  </si>
  <si>
    <r>
      <rPr>
        <sz val="16"/>
        <rFont val="Arial"/>
        <family val="2"/>
      </rPr>
      <t xml:space="preserve">Fines </t>
    </r>
    <r>
      <rPr>
        <sz val="16"/>
        <rFont val="微软雅黑"/>
        <family val="2"/>
        <charset val="134"/>
      </rPr>
      <t>罚款</t>
    </r>
  </si>
  <si>
    <t>&lt;&lt;60014116</t>
  </si>
  <si>
    <t>Hotel Insurance 酒店保险</t>
  </si>
  <si>
    <t>60014201</t>
  </si>
  <si>
    <r>
      <rPr>
        <sz val="16"/>
        <rFont val="Arial"/>
        <family val="2"/>
      </rPr>
      <t xml:space="preserve">Foreign Exchange </t>
    </r>
    <r>
      <rPr>
        <sz val="16"/>
        <rFont val="微软雅黑"/>
        <family val="2"/>
        <charset val="134"/>
      </rPr>
      <t>外币兑换</t>
    </r>
  </si>
  <si>
    <t>60014202</t>
  </si>
  <si>
    <r>
      <rPr>
        <sz val="16"/>
        <rFont val="Arial"/>
        <family val="2"/>
      </rPr>
      <t xml:space="preserve">Bank Charges </t>
    </r>
    <r>
      <rPr>
        <sz val="16"/>
        <rFont val="微软雅黑"/>
        <family val="2"/>
        <charset val="134"/>
      </rPr>
      <t>银行费用</t>
    </r>
  </si>
  <si>
    <t>60014301</t>
  </si>
  <si>
    <r>
      <rPr>
        <sz val="16"/>
        <rFont val="Arial"/>
        <family val="2"/>
      </rPr>
      <t xml:space="preserve">Training Expenses </t>
    </r>
    <r>
      <rPr>
        <sz val="16"/>
        <rFont val="微软雅黑"/>
        <family val="2"/>
        <charset val="134"/>
      </rPr>
      <t>培训费用</t>
    </r>
  </si>
  <si>
    <t>60014302</t>
  </si>
  <si>
    <r>
      <rPr>
        <sz val="16"/>
        <rFont val="Arial"/>
        <family val="2"/>
      </rPr>
      <t xml:space="preserve">Training Materials </t>
    </r>
    <r>
      <rPr>
        <sz val="16"/>
        <rFont val="微软雅黑"/>
        <family val="2"/>
        <charset val="134"/>
      </rPr>
      <t>培训资料</t>
    </r>
  </si>
  <si>
    <t>60014303</t>
  </si>
  <si>
    <r>
      <rPr>
        <sz val="16"/>
        <rFont val="Arial"/>
        <family val="2"/>
      </rPr>
      <t>Recruitment Expenses</t>
    </r>
    <r>
      <rPr>
        <sz val="16"/>
        <rFont val="微软雅黑"/>
        <family val="2"/>
        <charset val="134"/>
      </rPr>
      <t>员工招聘费用</t>
    </r>
  </si>
  <si>
    <t>60014304</t>
  </si>
  <si>
    <r>
      <rPr>
        <sz val="16"/>
        <rFont val="Arial"/>
        <family val="2"/>
      </rPr>
      <t xml:space="preserve">Relocation Expenses </t>
    </r>
    <r>
      <rPr>
        <sz val="16"/>
        <rFont val="微软雅黑"/>
        <family val="2"/>
        <charset val="134"/>
      </rPr>
      <t>安置费</t>
    </r>
  </si>
  <si>
    <t>60014501</t>
  </si>
  <si>
    <r>
      <rPr>
        <sz val="16"/>
        <rFont val="Arial"/>
        <family val="2"/>
      </rPr>
      <t xml:space="preserve">Electricity </t>
    </r>
    <r>
      <rPr>
        <sz val="16"/>
        <rFont val="微软雅黑"/>
        <family val="2"/>
        <charset val="134"/>
      </rPr>
      <t>电费</t>
    </r>
  </si>
  <si>
    <t>60014502</t>
  </si>
  <si>
    <r>
      <rPr>
        <sz val="16"/>
        <rFont val="Arial"/>
        <family val="2"/>
      </rPr>
      <t xml:space="preserve">Gas </t>
    </r>
    <r>
      <rPr>
        <sz val="16"/>
        <rFont val="微软雅黑"/>
        <family val="2"/>
        <charset val="134"/>
      </rPr>
      <t>天然气</t>
    </r>
  </si>
  <si>
    <t>60014503</t>
  </si>
  <si>
    <r>
      <rPr>
        <sz val="16"/>
        <rFont val="Arial"/>
        <family val="2"/>
      </rPr>
      <t xml:space="preserve">Steam </t>
    </r>
    <r>
      <rPr>
        <sz val="16"/>
        <rFont val="微软雅黑"/>
        <family val="2"/>
        <charset val="134"/>
      </rPr>
      <t>蒸汽</t>
    </r>
    <r>
      <rPr>
        <sz val="16"/>
        <rFont val="Arial"/>
        <family val="2"/>
      </rPr>
      <t xml:space="preserve">/ Heat </t>
    </r>
    <r>
      <rPr>
        <sz val="16"/>
        <rFont val="微软雅黑"/>
        <family val="2"/>
        <charset val="134"/>
      </rPr>
      <t>取暖</t>
    </r>
  </si>
  <si>
    <t>60014504</t>
  </si>
  <si>
    <r>
      <rPr>
        <sz val="16"/>
        <rFont val="Arial"/>
        <family val="2"/>
      </rPr>
      <t xml:space="preserve">Water </t>
    </r>
    <r>
      <rPr>
        <sz val="16"/>
        <rFont val="微软雅黑"/>
        <family val="2"/>
        <charset val="134"/>
      </rPr>
      <t>水费</t>
    </r>
    <r>
      <rPr>
        <sz val="16"/>
        <rFont val="Arial"/>
        <family val="2"/>
      </rPr>
      <t xml:space="preserve">/ Sewer </t>
    </r>
    <r>
      <rPr>
        <sz val="16"/>
        <rFont val="微软雅黑"/>
        <family val="2"/>
        <charset val="134"/>
      </rPr>
      <t>排水费</t>
    </r>
  </si>
  <si>
    <t>60014505</t>
  </si>
  <si>
    <r>
      <rPr>
        <sz val="16"/>
        <rFont val="Arial"/>
        <family val="2"/>
      </rPr>
      <t xml:space="preserve">Fuel </t>
    </r>
    <r>
      <rPr>
        <sz val="16"/>
        <rFont val="微软雅黑"/>
        <family val="2"/>
        <charset val="134"/>
      </rPr>
      <t>燃料燃油</t>
    </r>
  </si>
  <si>
    <t>60014601</t>
  </si>
  <si>
    <r>
      <rPr>
        <sz val="16"/>
        <rFont val="Arial"/>
        <family val="2"/>
      </rPr>
      <t xml:space="preserve">Engineering Tools/Supplies </t>
    </r>
    <r>
      <rPr>
        <sz val="16"/>
        <rFont val="微软雅黑"/>
        <family val="2"/>
        <charset val="134"/>
      </rPr>
      <t>工程工具</t>
    </r>
    <r>
      <rPr>
        <sz val="16"/>
        <rFont val="Arial"/>
        <family val="2"/>
      </rPr>
      <t>/</t>
    </r>
    <r>
      <rPr>
        <sz val="16"/>
        <rFont val="微软雅黑"/>
        <family val="2"/>
        <charset val="134"/>
      </rPr>
      <t>用品</t>
    </r>
  </si>
  <si>
    <t>60014602</t>
  </si>
  <si>
    <r>
      <rPr>
        <sz val="16"/>
        <rFont val="Arial"/>
        <family val="2"/>
      </rPr>
      <t>Fire Extinguisher</t>
    </r>
    <r>
      <rPr>
        <sz val="16"/>
        <rFont val="微软雅黑"/>
        <family val="2"/>
        <charset val="134"/>
      </rPr>
      <t>灭火器</t>
    </r>
  </si>
  <si>
    <t>60014603</t>
  </si>
  <si>
    <r>
      <rPr>
        <sz val="16"/>
        <rFont val="Arial"/>
        <family val="2"/>
      </rPr>
      <t xml:space="preserve">Lighting/Bulbs </t>
    </r>
    <r>
      <rPr>
        <sz val="16"/>
        <rFont val="微软雅黑"/>
        <family val="2"/>
        <charset val="134"/>
      </rPr>
      <t>灯泡</t>
    </r>
  </si>
  <si>
    <t>60014604</t>
  </si>
  <si>
    <r>
      <rPr>
        <sz val="16"/>
        <rFont val="Arial"/>
        <family val="2"/>
      </rPr>
      <t xml:space="preserve">Air Conditioning </t>
    </r>
    <r>
      <rPr>
        <sz val="16"/>
        <rFont val="微软雅黑"/>
        <family val="2"/>
        <charset val="134"/>
      </rPr>
      <t>空调系统</t>
    </r>
  </si>
  <si>
    <t>60014605</t>
  </si>
  <si>
    <r>
      <rPr>
        <sz val="16"/>
        <rFont val="Arial"/>
        <family val="2"/>
      </rPr>
      <t xml:space="preserve">Buildings </t>
    </r>
    <r>
      <rPr>
        <sz val="16"/>
        <rFont val="微软雅黑"/>
        <family val="2"/>
        <charset val="134"/>
      </rPr>
      <t>建筑物</t>
    </r>
  </si>
  <si>
    <t>60014606</t>
  </si>
  <si>
    <r>
      <rPr>
        <sz val="16"/>
        <rFont val="Arial"/>
        <family val="2"/>
      </rPr>
      <t xml:space="preserve">Curtains/Drapes/Awning </t>
    </r>
    <r>
      <rPr>
        <sz val="16"/>
        <rFont val="微软雅黑"/>
        <family val="2"/>
        <charset val="134"/>
      </rPr>
      <t>窗帘</t>
    </r>
  </si>
  <si>
    <t>60014607</t>
  </si>
  <si>
    <r>
      <rPr>
        <sz val="16"/>
        <rFont val="Arial"/>
        <family val="2"/>
      </rPr>
      <t xml:space="preserve">Doors / Exits </t>
    </r>
    <r>
      <rPr>
        <sz val="16"/>
        <rFont val="微软雅黑"/>
        <family val="2"/>
        <charset val="134"/>
      </rPr>
      <t>门</t>
    </r>
    <r>
      <rPr>
        <sz val="16"/>
        <rFont val="Arial"/>
        <family val="2"/>
      </rPr>
      <t>/</t>
    </r>
    <r>
      <rPr>
        <sz val="16"/>
        <rFont val="微软雅黑"/>
        <family val="2"/>
        <charset val="134"/>
      </rPr>
      <t>安全出口</t>
    </r>
  </si>
  <si>
    <t>60014608</t>
  </si>
  <si>
    <r>
      <rPr>
        <sz val="16"/>
        <rFont val="Arial"/>
        <family val="2"/>
      </rPr>
      <t xml:space="preserve">Electrical Equipment </t>
    </r>
    <r>
      <rPr>
        <sz val="16"/>
        <rFont val="微软雅黑"/>
        <family val="2"/>
        <charset val="134"/>
      </rPr>
      <t>电器设备</t>
    </r>
  </si>
  <si>
    <t>60014609</t>
  </si>
  <si>
    <r>
      <rPr>
        <sz val="16"/>
        <rFont val="Arial"/>
        <family val="2"/>
      </rPr>
      <t xml:space="preserve">Elevators </t>
    </r>
    <r>
      <rPr>
        <sz val="16"/>
        <rFont val="微软雅黑"/>
        <family val="2"/>
        <charset val="134"/>
      </rPr>
      <t>电梯</t>
    </r>
  </si>
  <si>
    <t>60014610</t>
  </si>
  <si>
    <r>
      <rPr>
        <sz val="16"/>
        <rFont val="Arial"/>
        <family val="2"/>
      </rPr>
      <t xml:space="preserve">Fire Equipment </t>
    </r>
    <r>
      <rPr>
        <sz val="16"/>
        <rFont val="微软雅黑"/>
        <family val="2"/>
        <charset val="134"/>
      </rPr>
      <t>消防设备</t>
    </r>
  </si>
  <si>
    <t>60014611</t>
  </si>
  <si>
    <r>
      <rPr>
        <sz val="16"/>
        <rFont val="Arial"/>
        <family val="2"/>
      </rPr>
      <t xml:space="preserve">Floor Coverings </t>
    </r>
    <r>
      <rPr>
        <sz val="16"/>
        <rFont val="微软雅黑"/>
        <family val="2"/>
        <charset val="134"/>
      </rPr>
      <t>地面覆盖物</t>
    </r>
  </si>
  <si>
    <t>60014612</t>
  </si>
  <si>
    <r>
      <rPr>
        <sz val="16"/>
        <rFont val="Arial"/>
        <family val="2"/>
      </rPr>
      <t xml:space="preserve">Furniture  </t>
    </r>
    <r>
      <rPr>
        <sz val="16"/>
        <rFont val="微软雅黑"/>
        <family val="2"/>
        <charset val="134"/>
      </rPr>
      <t>家具</t>
    </r>
  </si>
  <si>
    <t>60014613</t>
  </si>
  <si>
    <r>
      <rPr>
        <sz val="16"/>
        <rFont val="Arial"/>
        <family val="2"/>
      </rPr>
      <t xml:space="preserve">Grounds &amp; Landscaping </t>
    </r>
    <r>
      <rPr>
        <sz val="16"/>
        <rFont val="微软雅黑"/>
        <family val="2"/>
        <charset val="134"/>
      </rPr>
      <t>户外绿化</t>
    </r>
  </si>
  <si>
    <t>60014614</t>
  </si>
  <si>
    <r>
      <rPr>
        <sz val="16"/>
        <rFont val="Arial"/>
        <family val="2"/>
      </rPr>
      <t xml:space="preserve">Gym Equipment </t>
    </r>
    <r>
      <rPr>
        <sz val="16"/>
        <rFont val="微软雅黑"/>
        <family val="2"/>
        <charset val="134"/>
      </rPr>
      <t>健身器材</t>
    </r>
  </si>
  <si>
    <t>60014615</t>
  </si>
  <si>
    <r>
      <rPr>
        <sz val="16"/>
        <rFont val="Arial"/>
        <family val="2"/>
      </rPr>
      <t xml:space="preserve">Heating </t>
    </r>
    <r>
      <rPr>
        <sz val="16"/>
        <rFont val="微软雅黑"/>
        <family val="2"/>
        <charset val="134"/>
      </rPr>
      <t>供暖设备</t>
    </r>
  </si>
  <si>
    <t>60014616</t>
  </si>
  <si>
    <r>
      <rPr>
        <sz val="16"/>
        <rFont val="Arial"/>
        <family val="2"/>
      </rPr>
      <t>WingCard/SafeLock System</t>
    </r>
    <r>
      <rPr>
        <sz val="16"/>
        <rFont val="微软雅黑"/>
        <family val="2"/>
        <charset val="134"/>
      </rPr>
      <t>客房门锁系统</t>
    </r>
  </si>
  <si>
    <t>60014617</t>
  </si>
  <si>
    <r>
      <rPr>
        <sz val="16"/>
        <rFont val="Arial"/>
        <family val="2"/>
      </rPr>
      <t xml:space="preserve">Kitchen Equipment </t>
    </r>
    <r>
      <rPr>
        <sz val="16"/>
        <rFont val="微软雅黑"/>
        <family val="2"/>
        <charset val="134"/>
      </rPr>
      <t>厨房设备</t>
    </r>
  </si>
  <si>
    <t>60014618</t>
  </si>
  <si>
    <r>
      <rPr>
        <sz val="16"/>
        <rFont val="Arial"/>
        <family val="2"/>
      </rPr>
      <t xml:space="preserve">Office Equipment </t>
    </r>
    <r>
      <rPr>
        <sz val="16"/>
        <rFont val="微软雅黑"/>
        <family val="2"/>
        <charset val="134"/>
      </rPr>
      <t>办公设备</t>
    </r>
  </si>
  <si>
    <t>60014619</t>
  </si>
  <si>
    <r>
      <rPr>
        <sz val="16"/>
        <rFont val="Arial"/>
        <family val="2"/>
      </rPr>
      <t xml:space="preserve">Painting &amp; Decorating </t>
    </r>
    <r>
      <rPr>
        <sz val="16"/>
        <rFont val="微软雅黑"/>
        <family val="2"/>
        <charset val="134"/>
      </rPr>
      <t>油漆及装饰</t>
    </r>
  </si>
  <si>
    <t>60014620</t>
  </si>
  <si>
    <r>
      <rPr>
        <sz val="16"/>
        <rFont val="Arial"/>
        <family val="2"/>
      </rPr>
      <t xml:space="preserve">Plumbing </t>
    </r>
    <r>
      <rPr>
        <sz val="16"/>
        <rFont val="微软雅黑"/>
        <family val="2"/>
        <charset val="134"/>
      </rPr>
      <t>管道</t>
    </r>
  </si>
  <si>
    <t>60014621</t>
  </si>
  <si>
    <r>
      <rPr>
        <sz val="16"/>
        <rFont val="Arial"/>
        <family val="2"/>
      </rPr>
      <t xml:space="preserve">Voice Center </t>
    </r>
    <r>
      <rPr>
        <sz val="16"/>
        <rFont val="微软雅黑"/>
        <family val="2"/>
        <charset val="134"/>
      </rPr>
      <t>中央广播系统</t>
    </r>
  </si>
  <si>
    <t>60014622</t>
  </si>
  <si>
    <r>
      <rPr>
        <sz val="16"/>
        <rFont val="Arial"/>
        <family val="2"/>
      </rPr>
      <t xml:space="preserve">Refridgeration </t>
    </r>
    <r>
      <rPr>
        <sz val="16"/>
        <rFont val="微软雅黑"/>
        <family val="2"/>
        <charset val="134"/>
      </rPr>
      <t>冰箱</t>
    </r>
  </si>
  <si>
    <t>60014623</t>
  </si>
  <si>
    <r>
      <rPr>
        <sz val="16"/>
        <rFont val="Arial"/>
        <family val="2"/>
      </rPr>
      <t xml:space="preserve">Signage </t>
    </r>
    <r>
      <rPr>
        <sz val="16"/>
        <rFont val="微软雅黑"/>
        <family val="2"/>
        <charset val="134"/>
      </rPr>
      <t>标牌</t>
    </r>
  </si>
  <si>
    <t>60014624</t>
  </si>
  <si>
    <r>
      <rPr>
        <sz val="16"/>
        <rFont val="Arial"/>
        <family val="2"/>
      </rPr>
      <t xml:space="preserve">Swimming Pool </t>
    </r>
    <r>
      <rPr>
        <sz val="16"/>
        <rFont val="微软雅黑"/>
        <family val="2"/>
        <charset val="134"/>
      </rPr>
      <t>游泳池</t>
    </r>
  </si>
  <si>
    <t>60014625</t>
  </si>
  <si>
    <r>
      <rPr>
        <sz val="16"/>
        <rFont val="Arial"/>
        <family val="2"/>
      </rPr>
      <t xml:space="preserve">Television / Video </t>
    </r>
    <r>
      <rPr>
        <sz val="16"/>
        <rFont val="微软雅黑"/>
        <family val="2"/>
        <charset val="134"/>
      </rPr>
      <t>电视</t>
    </r>
  </si>
  <si>
    <t>60014626</t>
  </si>
  <si>
    <r>
      <rPr>
        <sz val="16"/>
        <rFont val="Arial"/>
        <family val="2"/>
      </rPr>
      <t xml:space="preserve">Laundry Equipment </t>
    </r>
    <r>
      <rPr>
        <sz val="16"/>
        <rFont val="微软雅黑"/>
        <family val="2"/>
        <charset val="134"/>
      </rPr>
      <t>洗衣设备</t>
    </r>
  </si>
  <si>
    <t>60014627</t>
  </si>
  <si>
    <r>
      <rPr>
        <sz val="16"/>
        <rFont val="Arial"/>
        <family val="2"/>
      </rPr>
      <t xml:space="preserve">Telephone Equipment </t>
    </r>
    <r>
      <rPr>
        <sz val="16"/>
        <rFont val="微软雅黑"/>
        <family val="2"/>
        <charset val="134"/>
      </rPr>
      <t>电话设备</t>
    </r>
    <r>
      <rPr>
        <sz val="16"/>
        <rFont val="Arial"/>
        <family val="2"/>
      </rPr>
      <t xml:space="preserve"> </t>
    </r>
  </si>
  <si>
    <t>60014628</t>
  </si>
  <si>
    <r>
      <rPr>
        <sz val="16"/>
        <rFont val="Arial"/>
        <family val="2"/>
      </rPr>
      <t xml:space="preserve">Other Repairs </t>
    </r>
    <r>
      <rPr>
        <sz val="16"/>
        <rFont val="微软雅黑"/>
        <family val="2"/>
        <charset val="134"/>
      </rPr>
      <t>其他维修</t>
    </r>
  </si>
  <si>
    <t>60014629</t>
  </si>
  <si>
    <r>
      <rPr>
        <sz val="16"/>
        <rFont val="Arial"/>
        <family val="2"/>
      </rPr>
      <t xml:space="preserve">Waste Removal </t>
    </r>
    <r>
      <rPr>
        <sz val="16"/>
        <rFont val="微软雅黑"/>
        <family val="2"/>
        <charset val="134"/>
      </rPr>
      <t>废物处理</t>
    </r>
  </si>
  <si>
    <t>60014630</t>
  </si>
  <si>
    <r>
      <rPr>
        <sz val="16"/>
        <rFont val="Arial"/>
        <family val="2"/>
      </rPr>
      <t xml:space="preserve">Water Treatment Costs </t>
    </r>
    <r>
      <rPr>
        <sz val="16"/>
        <rFont val="微软雅黑"/>
        <family val="2"/>
        <charset val="134"/>
      </rPr>
      <t>水处理成本</t>
    </r>
  </si>
  <si>
    <t>60014710</t>
  </si>
  <si>
    <r>
      <rPr>
        <sz val="16"/>
        <rFont val="Arial"/>
        <family val="2"/>
      </rPr>
      <t xml:space="preserve">Photography </t>
    </r>
    <r>
      <rPr>
        <sz val="16"/>
        <rFont val="微软雅黑"/>
        <family val="2"/>
        <charset val="134"/>
      </rPr>
      <t>摄影费</t>
    </r>
  </si>
  <si>
    <t>60014720</t>
  </si>
  <si>
    <r>
      <rPr>
        <sz val="16"/>
        <rFont val="Arial"/>
        <family val="2"/>
      </rPr>
      <t xml:space="preserve">Production </t>
    </r>
    <r>
      <rPr>
        <sz val="16"/>
        <rFont val="微软雅黑"/>
        <family val="2"/>
        <charset val="134"/>
      </rPr>
      <t>制作费</t>
    </r>
  </si>
  <si>
    <t>60014731</t>
  </si>
  <si>
    <r>
      <rPr>
        <sz val="16"/>
        <rFont val="Arial"/>
        <family val="2"/>
      </rPr>
      <t xml:space="preserve">In-house Graphics </t>
    </r>
    <r>
      <rPr>
        <sz val="16"/>
        <rFont val="微软雅黑"/>
        <family val="2"/>
        <charset val="134"/>
      </rPr>
      <t>室内标牌制作费</t>
    </r>
  </si>
  <si>
    <t>60014732</t>
  </si>
  <si>
    <r>
      <rPr>
        <sz val="16"/>
        <rFont val="Arial"/>
        <family val="2"/>
      </rPr>
      <t xml:space="preserve">Out-door Signage </t>
    </r>
    <r>
      <rPr>
        <sz val="16"/>
        <rFont val="微软雅黑"/>
        <family val="2"/>
        <charset val="134"/>
      </rPr>
      <t>室外标牌制作费</t>
    </r>
  </si>
  <si>
    <t>60014751</t>
  </si>
  <si>
    <r>
      <rPr>
        <sz val="16"/>
        <rFont val="Arial"/>
        <family val="2"/>
      </rPr>
      <t xml:space="preserve">Advertising </t>
    </r>
    <r>
      <rPr>
        <sz val="16"/>
        <rFont val="微软雅黑"/>
        <family val="2"/>
        <charset val="134"/>
      </rPr>
      <t>广告</t>
    </r>
    <r>
      <rPr>
        <sz val="16"/>
        <rFont val="Arial"/>
        <family val="2"/>
      </rPr>
      <t xml:space="preserve"> - Brand </t>
    </r>
    <r>
      <rPr>
        <sz val="16"/>
        <rFont val="微软雅黑"/>
        <family val="2"/>
        <charset val="134"/>
      </rPr>
      <t>品牌广告</t>
    </r>
  </si>
  <si>
    <t>60014752</t>
  </si>
  <si>
    <r>
      <rPr>
        <sz val="16"/>
        <rFont val="Arial"/>
        <family val="2"/>
      </rPr>
      <t xml:space="preserve">Advertising </t>
    </r>
    <r>
      <rPr>
        <sz val="16"/>
        <rFont val="微软雅黑"/>
        <family val="2"/>
        <charset val="134"/>
      </rPr>
      <t>广告</t>
    </r>
    <r>
      <rPr>
        <sz val="16"/>
        <rFont val="Arial"/>
        <family val="2"/>
      </rPr>
      <t xml:space="preserve"> - Regional </t>
    </r>
    <r>
      <rPr>
        <sz val="16"/>
        <rFont val="微软雅黑"/>
        <family val="2"/>
        <charset val="134"/>
      </rPr>
      <t>区域广告</t>
    </r>
  </si>
  <si>
    <t>60014753</t>
  </si>
  <si>
    <r>
      <rPr>
        <sz val="16"/>
        <rFont val="Arial"/>
        <family val="2"/>
      </rPr>
      <t xml:space="preserve">Advertising </t>
    </r>
    <r>
      <rPr>
        <sz val="16"/>
        <rFont val="微软雅黑"/>
        <family val="2"/>
        <charset val="134"/>
      </rPr>
      <t>广告</t>
    </r>
    <r>
      <rPr>
        <sz val="16"/>
        <rFont val="Arial"/>
        <family val="2"/>
      </rPr>
      <t xml:space="preserve"> - Outdoor </t>
    </r>
    <r>
      <rPr>
        <sz val="16"/>
        <rFont val="微软雅黑"/>
        <family val="2"/>
        <charset val="134"/>
      </rPr>
      <t>户外广告</t>
    </r>
  </si>
  <si>
    <t>60014754</t>
  </si>
  <si>
    <r>
      <rPr>
        <sz val="16"/>
        <rFont val="Arial"/>
        <family val="2"/>
      </rPr>
      <t xml:space="preserve">Advertising </t>
    </r>
    <r>
      <rPr>
        <sz val="16"/>
        <rFont val="微软雅黑"/>
        <family val="2"/>
        <charset val="134"/>
      </rPr>
      <t>广告</t>
    </r>
    <r>
      <rPr>
        <sz val="16"/>
        <rFont val="Arial"/>
        <family val="2"/>
      </rPr>
      <t xml:space="preserve"> - Hotel </t>
    </r>
    <r>
      <rPr>
        <sz val="16"/>
        <rFont val="微软雅黑"/>
        <family val="2"/>
        <charset val="134"/>
      </rPr>
      <t>酒店广告费</t>
    </r>
  </si>
  <si>
    <t>60014755</t>
  </si>
  <si>
    <r>
      <rPr>
        <sz val="16"/>
        <rFont val="Arial"/>
        <family val="2"/>
      </rPr>
      <t xml:space="preserve">Media </t>
    </r>
    <r>
      <rPr>
        <sz val="16"/>
        <rFont val="微软雅黑"/>
        <family val="2"/>
        <charset val="134"/>
      </rPr>
      <t>媒体</t>
    </r>
    <r>
      <rPr>
        <sz val="16"/>
        <rFont val="Arial"/>
        <family val="2"/>
      </rPr>
      <t xml:space="preserve"> - Regional </t>
    </r>
    <r>
      <rPr>
        <sz val="16"/>
        <rFont val="微软雅黑"/>
        <family val="2"/>
        <charset val="134"/>
      </rPr>
      <t>区域</t>
    </r>
  </si>
  <si>
    <t>60014756</t>
  </si>
  <si>
    <r>
      <rPr>
        <sz val="16"/>
        <rFont val="Arial"/>
        <family val="2"/>
      </rPr>
      <t xml:space="preserve">Media </t>
    </r>
    <r>
      <rPr>
        <sz val="16"/>
        <rFont val="微软雅黑"/>
        <family val="2"/>
        <charset val="134"/>
      </rPr>
      <t>媒体</t>
    </r>
    <r>
      <rPr>
        <sz val="16"/>
        <rFont val="Arial"/>
        <family val="2"/>
      </rPr>
      <t xml:space="preserve"> - Hotel </t>
    </r>
    <r>
      <rPr>
        <sz val="16"/>
        <rFont val="微软雅黑"/>
        <family val="2"/>
        <charset val="134"/>
      </rPr>
      <t>酒店</t>
    </r>
  </si>
  <si>
    <t>60014757</t>
  </si>
  <si>
    <r>
      <rPr>
        <sz val="16"/>
        <rFont val="Arial"/>
        <family val="2"/>
      </rPr>
      <t xml:space="preserve">Media </t>
    </r>
    <r>
      <rPr>
        <sz val="16"/>
        <rFont val="微软雅黑"/>
        <family val="2"/>
        <charset val="134"/>
      </rPr>
      <t>媒体</t>
    </r>
    <r>
      <rPr>
        <sz val="16"/>
        <rFont val="Arial"/>
        <family val="2"/>
      </rPr>
      <t xml:space="preserve">- F&amp;B </t>
    </r>
    <r>
      <rPr>
        <sz val="16"/>
        <rFont val="微软雅黑"/>
        <family val="2"/>
        <charset val="134"/>
      </rPr>
      <t>餐饮</t>
    </r>
  </si>
  <si>
    <t>60014758</t>
  </si>
  <si>
    <r>
      <rPr>
        <sz val="16"/>
        <rFont val="Arial"/>
        <family val="2"/>
      </rPr>
      <t xml:space="preserve">Other Advertising </t>
    </r>
    <r>
      <rPr>
        <sz val="16"/>
        <rFont val="微软雅黑"/>
        <family val="2"/>
        <charset val="134"/>
      </rPr>
      <t>其他广告</t>
    </r>
  </si>
  <si>
    <t>60014760</t>
  </si>
  <si>
    <r>
      <rPr>
        <sz val="16"/>
        <rFont val="Arial"/>
        <family val="2"/>
      </rPr>
      <t xml:space="preserve">Brochures </t>
    </r>
    <r>
      <rPr>
        <sz val="16"/>
        <rFont val="微软雅黑"/>
        <family val="2"/>
        <charset val="134"/>
      </rPr>
      <t>宣传册</t>
    </r>
  </si>
  <si>
    <t>60014770</t>
  </si>
  <si>
    <r>
      <rPr>
        <sz val="16"/>
        <rFont val="Arial"/>
        <family val="2"/>
      </rPr>
      <t xml:space="preserve">Loyalty Program </t>
    </r>
    <r>
      <rPr>
        <sz val="16"/>
        <rFont val="微软雅黑"/>
        <family val="2"/>
        <charset val="134"/>
      </rPr>
      <t>常住客计划</t>
    </r>
  </si>
  <si>
    <t>60014780</t>
  </si>
  <si>
    <r>
      <rPr>
        <sz val="16"/>
        <rFont val="Arial"/>
        <family val="2"/>
      </rPr>
      <t xml:space="preserve">Public Relations Expenses </t>
    </r>
    <r>
      <rPr>
        <sz val="16"/>
        <rFont val="微软雅黑"/>
        <family val="2"/>
        <charset val="134"/>
      </rPr>
      <t>公共关系费用</t>
    </r>
  </si>
  <si>
    <t>60014790</t>
  </si>
  <si>
    <r>
      <rPr>
        <sz val="16"/>
        <rFont val="Arial"/>
        <family val="2"/>
      </rPr>
      <t xml:space="preserve">Trade Show </t>
    </r>
    <r>
      <rPr>
        <sz val="16"/>
        <rFont val="微软雅黑"/>
        <family val="2"/>
        <charset val="134"/>
      </rPr>
      <t>贸易展览</t>
    </r>
  </si>
  <si>
    <t>60014795</t>
  </si>
  <si>
    <r>
      <rPr>
        <sz val="16"/>
        <rFont val="Arial"/>
        <family val="2"/>
      </rPr>
      <t xml:space="preserve">Bater Agreement </t>
    </r>
    <r>
      <rPr>
        <sz val="16"/>
        <rFont val="微软雅黑"/>
        <family val="2"/>
        <charset val="134"/>
      </rPr>
      <t>易货协议</t>
    </r>
  </si>
  <si>
    <t>60014800</t>
  </si>
  <si>
    <r>
      <rPr>
        <sz val="16"/>
        <rFont val="Arial"/>
        <family val="2"/>
      </rPr>
      <t xml:space="preserve">Fam Trip </t>
    </r>
    <r>
      <rPr>
        <sz val="16"/>
        <rFont val="微软雅黑"/>
        <family val="2"/>
        <charset val="134"/>
      </rPr>
      <t>熟客旅行计划</t>
    </r>
  </si>
  <si>
    <t>60014810</t>
  </si>
  <si>
    <r>
      <rPr>
        <sz val="16"/>
        <rFont val="Arial"/>
        <family val="2"/>
      </rPr>
      <t xml:space="preserve">Marketing Fund </t>
    </r>
    <r>
      <rPr>
        <sz val="16"/>
        <rFont val="微软雅黑"/>
        <family val="2"/>
        <charset val="134"/>
      </rPr>
      <t>国际市场营销基金</t>
    </r>
  </si>
  <si>
    <t>60014820</t>
  </si>
  <si>
    <r>
      <rPr>
        <sz val="16"/>
        <rFont val="Arial"/>
        <family val="2"/>
      </rPr>
      <t>DMH Membership DMH</t>
    </r>
    <r>
      <rPr>
        <sz val="16"/>
        <rFont val="微软雅黑"/>
        <family val="2"/>
        <charset val="134"/>
      </rPr>
      <t>会员</t>
    </r>
  </si>
  <si>
    <t>60014830</t>
  </si>
  <si>
    <r>
      <rPr>
        <sz val="16"/>
        <rFont val="Arial"/>
        <family val="2"/>
      </rPr>
      <t xml:space="preserve">Club Assessments </t>
    </r>
    <r>
      <rPr>
        <sz val="16"/>
        <rFont val="微软雅黑"/>
        <family val="2"/>
        <charset val="134"/>
      </rPr>
      <t>俱乐部费</t>
    </r>
  </si>
  <si>
    <t>60015110</t>
  </si>
  <si>
    <r>
      <rPr>
        <sz val="16"/>
        <rFont val="Arial"/>
        <family val="2"/>
      </rPr>
      <t xml:space="preserve">Hardware Maintenance </t>
    </r>
    <r>
      <rPr>
        <sz val="16"/>
        <rFont val="微软雅黑"/>
        <family val="2"/>
        <charset val="134"/>
      </rPr>
      <t>电脑硬件维护</t>
    </r>
  </si>
  <si>
    <t>60015120</t>
  </si>
  <si>
    <r>
      <rPr>
        <sz val="16"/>
        <rFont val="Arial"/>
        <family val="2"/>
      </rPr>
      <t xml:space="preserve">Software Maintenance </t>
    </r>
    <r>
      <rPr>
        <sz val="16"/>
        <rFont val="微软雅黑"/>
        <family val="2"/>
        <charset val="134"/>
      </rPr>
      <t>电脑软件维护</t>
    </r>
  </si>
  <si>
    <t>60015130</t>
  </si>
  <si>
    <r>
      <rPr>
        <sz val="16"/>
        <rFont val="Arial"/>
        <family val="2"/>
      </rPr>
      <t xml:space="preserve">Internet Expenses </t>
    </r>
    <r>
      <rPr>
        <sz val="16"/>
        <rFont val="微软雅黑"/>
        <family val="2"/>
        <charset val="134"/>
      </rPr>
      <t>网络费用</t>
    </r>
  </si>
  <si>
    <t>Executive Office 行政办</t>
  </si>
  <si>
    <t>&lt;&lt;41001</t>
  </si>
  <si>
    <t>Finance 财务部</t>
  </si>
  <si>
    <t>&lt;&lt;41002</t>
  </si>
  <si>
    <t>Centralized Accounting Charges 集中化服务费用</t>
  </si>
  <si>
    <t>Human Recource 人力资源部</t>
  </si>
  <si>
    <t>&lt;&lt;41003</t>
  </si>
  <si>
    <t>Employee Relations 员工关系</t>
  </si>
  <si>
    <t>Security 保安部</t>
  </si>
  <si>
    <t>&lt;&lt;41004</t>
  </si>
  <si>
    <t>IT 技术部</t>
  </si>
  <si>
    <t>&lt;&lt;42004</t>
  </si>
  <si>
    <r>
      <rPr>
        <b/>
        <sz val="18"/>
        <rFont val="Arial"/>
        <family val="2"/>
      </rPr>
      <t xml:space="preserve">Repairs &amp; Maintenance </t>
    </r>
    <r>
      <rPr>
        <b/>
        <sz val="18"/>
        <rFont val="微软雅黑"/>
        <family val="2"/>
        <charset val="134"/>
      </rPr>
      <t>工程部</t>
    </r>
  </si>
  <si>
    <t>&lt;&lt;60014640</t>
  </si>
  <si>
    <r>
      <rPr>
        <sz val="16"/>
        <rFont val="Arial"/>
        <family val="2"/>
      </rPr>
      <t xml:space="preserve">Maintenance Contract </t>
    </r>
    <r>
      <rPr>
        <sz val="16"/>
        <rFont val="宋体"/>
        <family val="3"/>
        <charset val="134"/>
      </rPr>
      <t>维修合同</t>
    </r>
  </si>
  <si>
    <r>
      <rPr>
        <b/>
        <sz val="18"/>
        <rFont val="Arial"/>
        <family val="2"/>
      </rPr>
      <t xml:space="preserve">Utility </t>
    </r>
    <r>
      <rPr>
        <b/>
        <sz val="18"/>
        <rFont val="微软雅黑"/>
        <family val="2"/>
        <charset val="134"/>
      </rPr>
      <t>能源</t>
    </r>
  </si>
  <si>
    <r>
      <rPr>
        <b/>
        <sz val="16"/>
        <rFont val="Arial"/>
        <family val="2"/>
      </rPr>
      <t xml:space="preserve">Total Operating Expenses </t>
    </r>
    <r>
      <rPr>
        <b/>
        <sz val="16"/>
        <rFont val="宋体"/>
        <family val="3"/>
        <charset val="134"/>
      </rPr>
      <t>能源费用合计</t>
    </r>
  </si>
  <si>
    <r>
      <rPr>
        <b/>
        <sz val="16"/>
        <rFont val="Arial"/>
        <family val="2"/>
      </rPr>
      <t xml:space="preserve">STATISTIC </t>
    </r>
    <r>
      <rPr>
        <b/>
        <sz val="16"/>
        <rFont val="宋体"/>
        <family val="3"/>
        <charset val="134"/>
      </rPr>
      <t>统计信息</t>
    </r>
  </si>
  <si>
    <t>90020110</t>
  </si>
  <si>
    <r>
      <rPr>
        <sz val="16"/>
        <rFont val="Arial"/>
        <family val="2"/>
      </rPr>
      <t xml:space="preserve">Electricity </t>
    </r>
    <r>
      <rPr>
        <sz val="16"/>
        <rFont val="微软雅黑"/>
        <family val="2"/>
        <charset val="134"/>
      </rPr>
      <t>电费</t>
    </r>
    <r>
      <rPr>
        <sz val="16"/>
        <rFont val="Arial"/>
        <family val="2"/>
      </rPr>
      <t>（KWH）</t>
    </r>
  </si>
  <si>
    <t>90020120</t>
  </si>
  <si>
    <r>
      <rPr>
        <sz val="16"/>
        <rFont val="Arial"/>
        <family val="2"/>
      </rPr>
      <t xml:space="preserve">Gas </t>
    </r>
    <r>
      <rPr>
        <sz val="16"/>
        <rFont val="微软雅黑"/>
        <family val="2"/>
        <charset val="134"/>
      </rPr>
      <t>天然气</t>
    </r>
    <r>
      <rPr>
        <sz val="16"/>
        <rFont val="Arial"/>
        <family val="2"/>
      </rPr>
      <t>（立方米）</t>
    </r>
  </si>
  <si>
    <t>90020130</t>
  </si>
  <si>
    <t>90020140</t>
  </si>
  <si>
    <r>
      <rPr>
        <sz val="16"/>
        <rFont val="Arial"/>
        <family val="2"/>
      </rPr>
      <t xml:space="preserve">Water </t>
    </r>
    <r>
      <rPr>
        <sz val="16"/>
        <rFont val="微软雅黑"/>
        <family val="2"/>
        <charset val="134"/>
      </rPr>
      <t>水费</t>
    </r>
    <r>
      <rPr>
        <sz val="16"/>
        <rFont val="Arial"/>
        <family val="2"/>
      </rPr>
      <t xml:space="preserve">/ Sewer </t>
    </r>
    <r>
      <rPr>
        <sz val="16"/>
        <rFont val="微软雅黑"/>
        <family val="2"/>
        <charset val="134"/>
      </rPr>
      <t>排水费</t>
    </r>
    <r>
      <rPr>
        <sz val="16"/>
        <rFont val="Arial"/>
        <family val="2"/>
      </rPr>
      <t>（立方米）</t>
    </r>
  </si>
  <si>
    <t>90020150</t>
  </si>
  <si>
    <t>&lt;&lt;3..39999999</t>
  </si>
  <si>
    <r>
      <rPr>
        <sz val="16"/>
        <rFont val="Arial"/>
        <family val="2"/>
      </rPr>
      <t xml:space="preserve">Total Revenue </t>
    </r>
    <r>
      <rPr>
        <sz val="16"/>
        <rFont val="宋体"/>
        <family val="3"/>
        <charset val="134"/>
      </rPr>
      <t>总收入</t>
    </r>
  </si>
  <si>
    <t>电</t>
  </si>
  <si>
    <t>气</t>
  </si>
  <si>
    <t>水</t>
  </si>
  <si>
    <r>
      <rPr>
        <b/>
        <sz val="18"/>
        <rFont val="Arial"/>
        <family val="2"/>
      </rPr>
      <t xml:space="preserve">Sales &amp; Marketing </t>
    </r>
    <r>
      <rPr>
        <b/>
        <sz val="18"/>
        <rFont val="微软雅黑"/>
        <family val="2"/>
        <charset val="134"/>
      </rPr>
      <t>市场销售部</t>
    </r>
  </si>
  <si>
    <r>
      <rPr>
        <sz val="12"/>
        <rFont val="Arial"/>
        <family val="2"/>
      </rPr>
      <t xml:space="preserve">Total Revenue </t>
    </r>
    <r>
      <rPr>
        <sz val="12"/>
        <rFont val="宋体"/>
        <family val="3"/>
        <charset val="134"/>
      </rPr>
      <t>总收入</t>
    </r>
  </si>
  <si>
    <t>Laundry 洗衣</t>
  </si>
  <si>
    <t>&lt;&lt;52001</t>
  </si>
  <si>
    <t>60990010</t>
  </si>
  <si>
    <t>制服洗涤分摊费用</t>
  </si>
  <si>
    <t>部门</t>
  </si>
  <si>
    <t>人数</t>
  </si>
  <si>
    <t>前厅部</t>
  </si>
  <si>
    <t>电话房</t>
  </si>
  <si>
    <t>客房部</t>
  </si>
  <si>
    <t>主厨房</t>
  </si>
  <si>
    <t>西餐厅</t>
  </si>
  <si>
    <t>宴会</t>
  </si>
  <si>
    <t>管事部</t>
  </si>
  <si>
    <t>行政办</t>
  </si>
  <si>
    <t>财务部</t>
  </si>
  <si>
    <t>电脑部</t>
  </si>
  <si>
    <t>人力资源部</t>
  </si>
  <si>
    <t>安保部</t>
  </si>
  <si>
    <t>工程部</t>
  </si>
  <si>
    <t>市场销售部</t>
  </si>
  <si>
    <t>合计</t>
  </si>
  <si>
    <t>Staff Canteen 员工餐厅</t>
  </si>
  <si>
    <t>&lt;&lt;50031</t>
  </si>
  <si>
    <t>50031002</t>
  </si>
  <si>
    <t>Fixed Charge 固定支出</t>
  </si>
  <si>
    <t>LY %</t>
  </si>
  <si>
    <t>FIXED CHARGE</t>
  </si>
  <si>
    <t>Tax and Related Fees 税和相关附加费</t>
  </si>
  <si>
    <r>
      <rPr>
        <sz val="16"/>
        <rFont val="Arial"/>
        <family val="2"/>
      </rPr>
      <t xml:space="preserve"> Basic Management Fee</t>
    </r>
    <r>
      <rPr>
        <sz val="16"/>
        <rFont val="宋体"/>
        <family val="3"/>
        <charset val="134"/>
      </rPr>
      <t>基本管理费</t>
    </r>
  </si>
  <si>
    <t>Incentive Fee奖励管理费</t>
  </si>
  <si>
    <t>&lt;&lt;70010300</t>
  </si>
  <si>
    <t>Rental - Hotel Building 酒店建筑租金</t>
  </si>
  <si>
    <t>&lt;&lt;70010400</t>
  </si>
  <si>
    <t>Rental - Staff Dormitory 员工宿舍租金</t>
  </si>
  <si>
    <t>Amortn-Preoperating Exp摊销 - 开办费</t>
  </si>
  <si>
    <t>Amortn-Others摊销 - 其它</t>
  </si>
  <si>
    <t>Provn For F,F &amp; E固定资产储备</t>
  </si>
  <si>
    <t>&lt;&lt;70010800</t>
  </si>
  <si>
    <t>Insurance-Bldgs/Content保险费 - 建筑物</t>
  </si>
  <si>
    <t>&lt;&lt;70010900</t>
  </si>
  <si>
    <t>Insurance-Hotel保险费 - 酒店</t>
  </si>
  <si>
    <t>&lt;&lt;70011000</t>
  </si>
  <si>
    <t>Insurance-Others保险费 - 其他</t>
  </si>
  <si>
    <t>Other Non Operating (Income) Expenses 其他非营运费用</t>
  </si>
  <si>
    <t>Total Fixed Charge 固定费用支出合计</t>
  </si>
  <si>
    <t>Interest (Income) 利息收入</t>
  </si>
  <si>
    <r>
      <t xml:space="preserve">Rooms Profit </t>
    </r>
    <r>
      <rPr>
        <sz val="16"/>
        <rFont val="微软雅黑"/>
        <family val="2"/>
        <charset val="134"/>
      </rPr>
      <t>客房利润</t>
    </r>
    <phoneticPr fontId="57" type="noConversion"/>
  </si>
  <si>
    <r>
      <t xml:space="preserve">Utilities </t>
    </r>
    <r>
      <rPr>
        <sz val="16"/>
        <rFont val="微软雅黑"/>
        <family val="2"/>
        <charset val="134"/>
      </rPr>
      <t>能源</t>
    </r>
    <phoneticPr fontId="57" type="noConversion"/>
  </si>
  <si>
    <t>Total Salary</t>
  </si>
  <si>
    <t>DMH-MHUBNJ</t>
    <phoneticPr fontId="57" type="noConversion"/>
  </si>
  <si>
    <r>
      <t>OTA</t>
    </r>
    <r>
      <rPr>
        <sz val="16"/>
        <rFont val="宋体"/>
        <family val="3"/>
        <charset val="134"/>
      </rPr>
      <t>渠道收入</t>
    </r>
    <phoneticPr fontId="57" type="noConversion"/>
  </si>
  <si>
    <t>单价</t>
    <phoneticPr fontId="57" type="noConversion"/>
  </si>
  <si>
    <r>
      <t xml:space="preserve">Loyalty Program </t>
    </r>
    <r>
      <rPr>
        <sz val="16"/>
        <rFont val="微软雅黑"/>
        <family val="2"/>
        <charset val="134"/>
      </rPr>
      <t>常住客计划（</t>
    </r>
    <r>
      <rPr>
        <sz val="16"/>
        <rFont val="Arial"/>
        <family val="2"/>
      </rPr>
      <t>Mlife</t>
    </r>
    <r>
      <rPr>
        <sz val="16"/>
        <rFont val="微软雅黑"/>
        <family val="2"/>
        <charset val="134"/>
      </rPr>
      <t>积分）</t>
    </r>
    <phoneticPr fontId="57" type="noConversion"/>
  </si>
  <si>
    <t>检验</t>
    <phoneticPr fontId="57" type="noConversion"/>
  </si>
  <si>
    <r>
      <t xml:space="preserve">Contract Services </t>
    </r>
    <r>
      <rPr>
        <sz val="16"/>
        <rFont val="宋体"/>
        <family val="3"/>
        <charset val="134"/>
      </rPr>
      <t>服务合同</t>
    </r>
    <phoneticPr fontId="57" type="noConversion"/>
  </si>
  <si>
    <r>
      <t xml:space="preserve">Labor Cost </t>
    </r>
    <r>
      <rPr>
        <b/>
        <sz val="16"/>
        <rFont val="微软雅黑"/>
        <family val="2"/>
        <charset val="134"/>
      </rPr>
      <t>人工总成本</t>
    </r>
    <phoneticPr fontId="57" type="noConversion"/>
  </si>
  <si>
    <t>&lt;&lt;60014116</t>
    <phoneticPr fontId="57" type="noConversion"/>
  </si>
  <si>
    <t>EBIT</t>
    <phoneticPr fontId="57" type="noConversion"/>
  </si>
  <si>
    <t>&lt;&lt;50010100..50010200,50010500..50010700,50012500..50012600</t>
    <phoneticPr fontId="57" type="noConversion"/>
  </si>
  <si>
    <t>2024</t>
    <phoneticPr fontId="57" type="noConversion"/>
  </si>
  <si>
    <t>&lt;&lt;60014104</t>
    <phoneticPr fontId="57" type="noConversion"/>
  </si>
  <si>
    <t>50010600</t>
  </si>
  <si>
    <t>50010600</t>
    <phoneticPr fontId="57" type="noConversion"/>
  </si>
  <si>
    <r>
      <t>Salary &amp; Wage - Others</t>
    </r>
    <r>
      <rPr>
        <sz val="16"/>
        <rFont val="宋体"/>
        <family val="3"/>
        <charset val="134"/>
      </rPr>
      <t>工资</t>
    </r>
    <r>
      <rPr>
        <sz val="16"/>
        <rFont val="Arial"/>
        <family val="2"/>
      </rPr>
      <t>-</t>
    </r>
    <r>
      <rPr>
        <sz val="16"/>
        <rFont val="宋体"/>
        <family val="3"/>
        <charset val="134"/>
      </rPr>
      <t>其他</t>
    </r>
    <r>
      <rPr>
        <sz val="16"/>
        <rFont val="Arial"/>
        <family val="2"/>
      </rPr>
      <t>-</t>
    </r>
    <r>
      <rPr>
        <sz val="16"/>
        <rFont val="宋体"/>
        <family val="3"/>
        <charset val="134"/>
      </rPr>
      <t>中江</t>
    </r>
    <phoneticPr fontId="57" type="noConversion"/>
  </si>
  <si>
    <r>
      <t>Salary &amp; Wage - Others</t>
    </r>
    <r>
      <rPr>
        <sz val="16"/>
        <rFont val="宋体"/>
        <family val="3"/>
        <charset val="134"/>
      </rPr>
      <t>工资</t>
    </r>
    <r>
      <rPr>
        <sz val="16"/>
        <rFont val="Arial"/>
        <family val="2"/>
      </rPr>
      <t>-</t>
    </r>
    <r>
      <rPr>
        <sz val="16"/>
        <rFont val="宋体"/>
        <family val="3"/>
        <charset val="134"/>
      </rPr>
      <t>其他</t>
    </r>
    <r>
      <rPr>
        <sz val="16"/>
        <rFont val="Arial"/>
        <family val="2"/>
      </rPr>
      <t>-</t>
    </r>
    <r>
      <rPr>
        <sz val="16"/>
        <rFont val="宋体"/>
        <family val="3"/>
        <charset val="134"/>
      </rPr>
      <t>外包</t>
    </r>
    <phoneticPr fontId="57" type="noConversion"/>
  </si>
  <si>
    <t>Salary &amp; Wage - Others工资-其他-中江</t>
  </si>
  <si>
    <t>Salary &amp; Wage - Others工资-其他-外包</t>
  </si>
  <si>
    <r>
      <t xml:space="preserve">Outsourcing Contract </t>
    </r>
    <r>
      <rPr>
        <b/>
        <sz val="16"/>
        <rFont val="宋体"/>
        <family val="3"/>
        <charset val="134"/>
      </rPr>
      <t>中江外包</t>
    </r>
    <phoneticPr fontId="57" type="noConversion"/>
  </si>
  <si>
    <r>
      <t xml:space="preserve">Outsourcing Contract </t>
    </r>
    <r>
      <rPr>
        <b/>
        <sz val="16"/>
        <rFont val="宋体"/>
        <family val="3"/>
        <charset val="134"/>
      </rPr>
      <t>合同外包</t>
    </r>
    <phoneticPr fontId="57" type="noConversion"/>
  </si>
  <si>
    <r>
      <t xml:space="preserve">Total Rooms </t>
    </r>
    <r>
      <rPr>
        <b/>
        <sz val="16"/>
        <rFont val="微软雅黑"/>
        <family val="2"/>
        <charset val="134"/>
      </rPr>
      <t>总房间数</t>
    </r>
  </si>
  <si>
    <r>
      <t xml:space="preserve">FOOD REVENUE </t>
    </r>
    <r>
      <rPr>
        <b/>
        <sz val="16"/>
        <rFont val="宋体"/>
        <family val="3"/>
        <charset val="134"/>
      </rPr>
      <t>食品收入</t>
    </r>
  </si>
  <si>
    <r>
      <t xml:space="preserve">Total Food Revenue </t>
    </r>
    <r>
      <rPr>
        <b/>
        <sz val="16"/>
        <rFont val="宋体"/>
        <family val="3"/>
        <charset val="134"/>
      </rPr>
      <t>食品收入合计</t>
    </r>
  </si>
  <si>
    <r>
      <t xml:space="preserve">BEVERAGE REVENUE </t>
    </r>
    <r>
      <rPr>
        <b/>
        <sz val="16"/>
        <rFont val="宋体"/>
        <family val="3"/>
        <charset val="134"/>
      </rPr>
      <t>饮品收入</t>
    </r>
  </si>
  <si>
    <r>
      <t xml:space="preserve">Total Beverage Revenue </t>
    </r>
    <r>
      <rPr>
        <b/>
        <sz val="16"/>
        <rFont val="宋体"/>
        <family val="3"/>
        <charset val="134"/>
      </rPr>
      <t>饮品收入合计</t>
    </r>
  </si>
  <si>
    <r>
      <t xml:space="preserve">Meeting Rooms Rental </t>
    </r>
    <r>
      <rPr>
        <sz val="16"/>
        <rFont val="宋体"/>
        <family val="3"/>
        <charset val="134"/>
      </rPr>
      <t>会议室租赁</t>
    </r>
  </si>
  <si>
    <r>
      <t xml:space="preserve">Other Revenue </t>
    </r>
    <r>
      <rPr>
        <sz val="16"/>
        <rFont val="宋体"/>
        <family val="3"/>
        <charset val="134"/>
      </rPr>
      <t>其他餐饮收入</t>
    </r>
  </si>
  <si>
    <r>
      <t xml:space="preserve">Service Charge </t>
    </r>
    <r>
      <rPr>
        <sz val="16"/>
        <rFont val="宋体"/>
        <family val="3"/>
        <charset val="134"/>
      </rPr>
      <t>服务费</t>
    </r>
  </si>
  <si>
    <r>
      <t xml:space="preserve">Total F&amp;B Revenue </t>
    </r>
    <r>
      <rPr>
        <b/>
        <sz val="16"/>
        <rFont val="宋体"/>
        <family val="3"/>
        <charset val="134"/>
      </rPr>
      <t>餐饮收入合计</t>
    </r>
  </si>
  <si>
    <r>
      <t xml:space="preserve">Other Cost </t>
    </r>
    <r>
      <rPr>
        <sz val="16"/>
        <rFont val="宋体"/>
        <family val="3"/>
        <charset val="134"/>
      </rPr>
      <t>其他杂项成本</t>
    </r>
  </si>
  <si>
    <r>
      <t xml:space="preserve">Total Cost of Sales </t>
    </r>
    <r>
      <rPr>
        <b/>
        <sz val="16"/>
        <rFont val="宋体"/>
        <family val="3"/>
        <charset val="134"/>
      </rPr>
      <t>餐饮成本合计</t>
    </r>
  </si>
  <si>
    <r>
      <t xml:space="preserve">Total Labour Costs </t>
    </r>
    <r>
      <rPr>
        <b/>
        <sz val="16"/>
        <rFont val="宋体"/>
        <family val="3"/>
        <charset val="134"/>
      </rPr>
      <t>人工成本合计</t>
    </r>
  </si>
  <si>
    <r>
      <t xml:space="preserve">OPERATING EXPENSES </t>
    </r>
    <r>
      <rPr>
        <b/>
        <sz val="16"/>
        <rFont val="宋体"/>
        <family val="3"/>
        <charset val="134"/>
      </rPr>
      <t>营运费用</t>
    </r>
  </si>
  <si>
    <r>
      <t xml:space="preserve">Total Operating Expenses </t>
    </r>
    <r>
      <rPr>
        <b/>
        <sz val="16"/>
        <rFont val="宋体"/>
        <family val="3"/>
        <charset val="134"/>
      </rPr>
      <t>营运费用合计</t>
    </r>
  </si>
  <si>
    <r>
      <t xml:space="preserve">Department Profit/(Loss) </t>
    </r>
    <r>
      <rPr>
        <b/>
        <sz val="16"/>
        <rFont val="宋体"/>
        <family val="3"/>
        <charset val="134"/>
      </rPr>
      <t>部门利润（亏损）</t>
    </r>
  </si>
  <si>
    <r>
      <t xml:space="preserve">Department Profit/(Loss)% </t>
    </r>
    <r>
      <rPr>
        <b/>
        <sz val="16"/>
        <rFont val="宋体"/>
        <family val="3"/>
        <charset val="134"/>
      </rPr>
      <t>部门利润（亏损）率</t>
    </r>
    <r>
      <rPr>
        <b/>
        <sz val="16"/>
        <rFont val="Arial"/>
        <family val="2"/>
      </rPr>
      <t>%</t>
    </r>
  </si>
  <si>
    <r>
      <t xml:space="preserve">COVERS </t>
    </r>
    <r>
      <rPr>
        <b/>
        <sz val="16"/>
        <rFont val="宋体"/>
        <family val="3"/>
        <charset val="134"/>
      </rPr>
      <t>消费人数</t>
    </r>
  </si>
  <si>
    <r>
      <t xml:space="preserve">Total Covers </t>
    </r>
    <r>
      <rPr>
        <b/>
        <sz val="16"/>
        <rFont val="微软雅黑"/>
        <family val="2"/>
        <charset val="134"/>
      </rPr>
      <t>消费人数合计</t>
    </r>
  </si>
  <si>
    <r>
      <t xml:space="preserve">Average Check </t>
    </r>
    <r>
      <rPr>
        <b/>
        <sz val="16"/>
        <rFont val="宋体"/>
        <family val="3"/>
        <charset val="134"/>
      </rPr>
      <t>平均消费</t>
    </r>
  </si>
  <si>
    <r>
      <t xml:space="preserve">Average Check </t>
    </r>
    <r>
      <rPr>
        <b/>
        <sz val="16"/>
        <rFont val="微软雅黑"/>
        <family val="2"/>
        <charset val="134"/>
      </rPr>
      <t>平均消费</t>
    </r>
  </si>
  <si>
    <r>
      <t xml:space="preserve">Cost Per Cover </t>
    </r>
    <r>
      <rPr>
        <b/>
        <sz val="16"/>
        <rFont val="宋体"/>
        <family val="3"/>
        <charset val="134"/>
      </rPr>
      <t>人均成本</t>
    </r>
  </si>
  <si>
    <r>
      <t xml:space="preserve">LABOUR COST ANALYSIS </t>
    </r>
    <r>
      <rPr>
        <b/>
        <sz val="16"/>
        <rFont val="宋体"/>
        <family val="3"/>
        <charset val="134"/>
      </rPr>
      <t>人工成本费用</t>
    </r>
  </si>
  <si>
    <r>
      <t xml:space="preserve">Salary &amp; Wages </t>
    </r>
    <r>
      <rPr>
        <b/>
        <sz val="16"/>
        <rFont val="宋体"/>
        <family val="3"/>
        <charset val="134"/>
      </rPr>
      <t>工资费用</t>
    </r>
  </si>
  <si>
    <r>
      <t xml:space="preserve">Managers </t>
    </r>
    <r>
      <rPr>
        <sz val="16"/>
        <rFont val="微软雅黑"/>
        <family val="2"/>
        <charset val="134"/>
      </rPr>
      <t>经理</t>
    </r>
  </si>
  <si>
    <r>
      <t xml:space="preserve">Services </t>
    </r>
    <r>
      <rPr>
        <sz val="16"/>
        <rFont val="微软雅黑"/>
        <family val="2"/>
        <charset val="134"/>
      </rPr>
      <t>服务</t>
    </r>
  </si>
  <si>
    <r>
      <t xml:space="preserve">Kitchen </t>
    </r>
    <r>
      <rPr>
        <sz val="16"/>
        <rFont val="微软雅黑"/>
        <family val="2"/>
        <charset val="134"/>
      </rPr>
      <t>厨房</t>
    </r>
  </si>
  <si>
    <r>
      <t xml:space="preserve">Total Remuneration </t>
    </r>
    <r>
      <rPr>
        <b/>
        <sz val="16"/>
        <rFont val="宋体"/>
        <family val="3"/>
        <charset val="134"/>
      </rPr>
      <t>薪酬合计</t>
    </r>
  </si>
  <si>
    <r>
      <t xml:space="preserve">Overtime </t>
    </r>
    <r>
      <rPr>
        <sz val="16"/>
        <rFont val="微软雅黑"/>
        <family val="2"/>
        <charset val="134"/>
      </rPr>
      <t>加班</t>
    </r>
  </si>
  <si>
    <r>
      <t xml:space="preserve">Bonus </t>
    </r>
    <r>
      <rPr>
        <sz val="16"/>
        <rFont val="微软雅黑"/>
        <family val="2"/>
        <charset val="134"/>
      </rPr>
      <t>年终奖金</t>
    </r>
  </si>
  <si>
    <r>
      <t xml:space="preserve">Allowance </t>
    </r>
    <r>
      <rPr>
        <sz val="16"/>
        <rFont val="微软雅黑"/>
        <family val="2"/>
        <charset val="134"/>
      </rPr>
      <t>津贴</t>
    </r>
  </si>
  <si>
    <r>
      <t xml:space="preserve">Vacation Pay </t>
    </r>
    <r>
      <rPr>
        <sz val="16"/>
        <rFont val="微软雅黑"/>
        <family val="2"/>
        <charset val="134"/>
      </rPr>
      <t>假期工资</t>
    </r>
  </si>
  <si>
    <r>
      <t xml:space="preserve">Incentive </t>
    </r>
    <r>
      <rPr>
        <sz val="16"/>
        <rFont val="微软雅黑"/>
        <family val="2"/>
        <charset val="134"/>
      </rPr>
      <t>奖金</t>
    </r>
  </si>
  <si>
    <r>
      <t xml:space="preserve">Total Salary &amp; Wages </t>
    </r>
    <r>
      <rPr>
        <b/>
        <sz val="16"/>
        <rFont val="宋体"/>
        <family val="3"/>
        <charset val="134"/>
      </rPr>
      <t>工资合计</t>
    </r>
  </si>
  <si>
    <r>
      <t xml:space="preserve">PRC - Retirement Insurance </t>
    </r>
    <r>
      <rPr>
        <sz val="16"/>
        <rFont val="微软雅黑"/>
        <family val="2"/>
        <charset val="134"/>
      </rPr>
      <t>养老保险</t>
    </r>
  </si>
  <si>
    <r>
      <t xml:space="preserve">PRC - Basic Medical Insurance </t>
    </r>
    <r>
      <rPr>
        <sz val="16"/>
        <rFont val="微软雅黑"/>
        <family val="2"/>
        <charset val="134"/>
      </rPr>
      <t>医疗保险</t>
    </r>
  </si>
  <si>
    <r>
      <t xml:space="preserve">PRC - Unemployement fund </t>
    </r>
    <r>
      <rPr>
        <sz val="16"/>
        <rFont val="微软雅黑"/>
        <family val="2"/>
        <charset val="134"/>
      </rPr>
      <t>失业保险</t>
    </r>
  </si>
  <si>
    <r>
      <t xml:space="preserve">PRC - Employee Liability (Injury) </t>
    </r>
    <r>
      <rPr>
        <sz val="16"/>
        <rFont val="微软雅黑"/>
        <family val="2"/>
        <charset val="134"/>
      </rPr>
      <t>工伤保险</t>
    </r>
  </si>
  <si>
    <r>
      <t xml:space="preserve">PRC - Birth Insurance </t>
    </r>
    <r>
      <rPr>
        <sz val="16"/>
        <rFont val="微软雅黑"/>
        <family val="2"/>
        <charset val="134"/>
      </rPr>
      <t>生育保险</t>
    </r>
  </si>
  <si>
    <r>
      <t xml:space="preserve">PRC - Housing Fund </t>
    </r>
    <r>
      <rPr>
        <sz val="16"/>
        <rFont val="微软雅黑"/>
        <family val="2"/>
        <charset val="134"/>
      </rPr>
      <t>住房公积金</t>
    </r>
  </si>
  <si>
    <r>
      <t xml:space="preserve">PRC - Union Fee </t>
    </r>
    <r>
      <rPr>
        <sz val="16"/>
        <rFont val="微软雅黑"/>
        <family val="2"/>
        <charset val="134"/>
      </rPr>
      <t>工会经费</t>
    </r>
  </si>
  <si>
    <r>
      <t xml:space="preserve">PRC - Education Fund </t>
    </r>
    <r>
      <rPr>
        <sz val="16"/>
        <rFont val="微软雅黑"/>
        <family val="2"/>
        <charset val="134"/>
      </rPr>
      <t>教育经费</t>
    </r>
  </si>
  <si>
    <r>
      <t xml:space="preserve">Total Social Security  </t>
    </r>
    <r>
      <rPr>
        <b/>
        <sz val="16"/>
        <rFont val="宋体"/>
        <family val="3"/>
        <charset val="134"/>
      </rPr>
      <t>社保合计</t>
    </r>
    <r>
      <rPr>
        <b/>
        <sz val="16"/>
        <rFont val="Arial"/>
        <family val="2"/>
      </rPr>
      <t xml:space="preserve"> </t>
    </r>
  </si>
  <si>
    <r>
      <t xml:space="preserve">Expats - Insurance </t>
    </r>
    <r>
      <rPr>
        <sz val="16"/>
        <rFont val="微软雅黑"/>
        <family val="2"/>
        <charset val="134"/>
      </rPr>
      <t>外籍保险</t>
    </r>
  </si>
  <si>
    <r>
      <t xml:space="preserve">Expats - Medical Insurance </t>
    </r>
    <r>
      <rPr>
        <sz val="16"/>
        <rFont val="微软雅黑"/>
        <family val="2"/>
        <charset val="134"/>
      </rPr>
      <t>外籍医疗保险</t>
    </r>
  </si>
  <si>
    <r>
      <t xml:space="preserve">Expats - Benefits </t>
    </r>
    <r>
      <rPr>
        <sz val="16"/>
        <rFont val="微软雅黑"/>
        <family val="2"/>
        <charset val="134"/>
      </rPr>
      <t>外籍福利</t>
    </r>
  </si>
  <si>
    <r>
      <t xml:space="preserve">Local - Business Insurance </t>
    </r>
    <r>
      <rPr>
        <sz val="16"/>
        <rFont val="微软雅黑"/>
        <family val="2"/>
        <charset val="134"/>
      </rPr>
      <t>本地员工商业保险</t>
    </r>
  </si>
  <si>
    <r>
      <t xml:space="preserve">Other Benefits </t>
    </r>
    <r>
      <rPr>
        <sz val="16"/>
        <rFont val="微软雅黑"/>
        <family val="2"/>
        <charset val="134"/>
      </rPr>
      <t>其他福利</t>
    </r>
  </si>
  <si>
    <r>
      <t xml:space="preserve">Staff Dormitory &amp; Related Expenses </t>
    </r>
    <r>
      <rPr>
        <sz val="16"/>
        <rFont val="微软雅黑"/>
        <family val="2"/>
        <charset val="134"/>
      </rPr>
      <t>员工宿舍及相关费用</t>
    </r>
  </si>
  <si>
    <r>
      <t xml:space="preserve">Staff Cateen Allocation &amp; OC </t>
    </r>
    <r>
      <rPr>
        <sz val="16"/>
        <rFont val="微软雅黑"/>
        <family val="2"/>
        <charset val="134"/>
      </rPr>
      <t>员工餐费</t>
    </r>
  </si>
  <si>
    <r>
      <t xml:space="preserve">Total Benefits </t>
    </r>
    <r>
      <rPr>
        <b/>
        <sz val="16"/>
        <rFont val="宋体"/>
        <family val="3"/>
        <charset val="134"/>
      </rPr>
      <t>福利合计</t>
    </r>
  </si>
  <si>
    <r>
      <t xml:space="preserve">TOTAL LABOUR COST </t>
    </r>
    <r>
      <rPr>
        <b/>
        <sz val="16"/>
        <rFont val="宋体"/>
        <family val="3"/>
        <charset val="134"/>
      </rPr>
      <t>人工成本合计</t>
    </r>
  </si>
  <si>
    <r>
      <t xml:space="preserve">FTEs </t>
    </r>
    <r>
      <rPr>
        <b/>
        <sz val="16"/>
        <rFont val="宋体"/>
        <family val="3"/>
        <charset val="134"/>
      </rPr>
      <t>员工人数</t>
    </r>
  </si>
  <si>
    <t>差异值</t>
  </si>
  <si>
    <t>合计</t>
    <phoneticPr fontId="57" type="noConversion"/>
  </si>
  <si>
    <t>差异值</t>
    <phoneticPr fontId="57" type="noConversion"/>
  </si>
  <si>
    <t>Last Year Budget</t>
  </si>
  <si>
    <r>
      <t xml:space="preserve">Promotions </t>
    </r>
    <r>
      <rPr>
        <sz val="16"/>
        <rFont val="微软雅黑"/>
        <family val="2"/>
        <charset val="134"/>
      </rPr>
      <t>促销</t>
    </r>
  </si>
  <si>
    <t>调整去年账务16万</t>
    <phoneticPr fontId="57" type="noConversion"/>
  </si>
  <si>
    <t>LY Act 9 + Fcst 3</t>
    <phoneticPr fontId="57" type="noConversion"/>
  </si>
  <si>
    <r>
      <t xml:space="preserve">Photography </t>
    </r>
    <r>
      <rPr>
        <sz val="16"/>
        <rFont val="微软雅黑"/>
        <family val="2"/>
        <charset val="134"/>
      </rPr>
      <t>摄影费</t>
    </r>
  </si>
  <si>
    <r>
      <t xml:space="preserve">Fam Trip </t>
    </r>
    <r>
      <rPr>
        <sz val="16"/>
        <rFont val="微软雅黑"/>
        <family val="2"/>
        <charset val="134"/>
      </rPr>
      <t>熟客旅行计划</t>
    </r>
  </si>
  <si>
    <t>Labor Cost 人工总成本（不含外包）</t>
    <phoneticPr fontId="57" type="noConversion"/>
  </si>
  <si>
    <t>Other Operating Dept. Revenue 其他运营部门收入</t>
  </si>
  <si>
    <t>Other Operating Dept. Expenses 其他运营部门费用</t>
  </si>
  <si>
    <t>Other Operating Dept. Profit 其他运营部门利润</t>
  </si>
  <si>
    <t>Other Operating Supplies 其其他运营用品</t>
  </si>
  <si>
    <t>&lt;&lt;40200200</t>
    <phoneticPr fontId="57" type="noConversion"/>
  </si>
  <si>
    <t>&lt;&lt;70011100</t>
    <phoneticPr fontId="57" type="noConversion"/>
  </si>
  <si>
    <t>2025</t>
    <phoneticPr fontId="57" type="noConversion"/>
  </si>
  <si>
    <t>2025</t>
    <phoneticPr fontId="57" type="noConversion"/>
  </si>
  <si>
    <t>2025</t>
    <phoneticPr fontId="57" type="noConversion"/>
  </si>
  <si>
    <t>2025</t>
    <phoneticPr fontId="57" type="noConversion"/>
  </si>
  <si>
    <t>2025</t>
    <phoneticPr fontId="57" type="noConversion"/>
  </si>
  <si>
    <t>2025</t>
    <phoneticPr fontId="57" type="noConversion"/>
  </si>
  <si>
    <r>
      <t xml:space="preserve">Garage Parking </t>
    </r>
    <r>
      <rPr>
        <sz val="16"/>
        <rFont val="宋体"/>
        <family val="3"/>
        <charset val="134"/>
      </rPr>
      <t>停车场</t>
    </r>
    <phoneticPr fontId="57" type="noConversion"/>
  </si>
  <si>
    <r>
      <t xml:space="preserve">Garage Parking </t>
    </r>
    <r>
      <rPr>
        <b/>
        <sz val="18"/>
        <rFont val="宋体"/>
        <family val="3"/>
        <charset val="134"/>
      </rPr>
      <t>停车场</t>
    </r>
  </si>
  <si>
    <t>Casual Car Parking</t>
  </si>
  <si>
    <t>Contracted Car Parking</t>
  </si>
  <si>
    <t>Guest Car Parking</t>
  </si>
  <si>
    <t>Other Car Parking Charges</t>
  </si>
  <si>
    <t xml:space="preserve"> Service Charge</t>
  </si>
  <si>
    <t>36040300</t>
  </si>
  <si>
    <t>2901</t>
  </si>
  <si>
    <t>2902</t>
  </si>
  <si>
    <t>2903</t>
  </si>
  <si>
    <t>2904</t>
  </si>
  <si>
    <t>2025</t>
    <phoneticPr fontId="57" type="noConversion"/>
  </si>
  <si>
    <t>2025</t>
    <phoneticPr fontId="57" type="noConversion"/>
  </si>
  <si>
    <t>2025</t>
    <phoneticPr fontId="57" type="noConversion"/>
  </si>
  <si>
    <t>2025</t>
    <phoneticPr fontId="57" type="noConversion"/>
  </si>
  <si>
    <t>员餐餐次占比</t>
    <phoneticPr fontId="57" type="noConversion"/>
  </si>
  <si>
    <r>
      <t xml:space="preserve">Other Operating Supplies </t>
    </r>
    <r>
      <rPr>
        <sz val="16"/>
        <rFont val="宋体"/>
        <family val="3"/>
        <charset val="134"/>
      </rPr>
      <t>其他运营用品</t>
    </r>
    <phoneticPr fontId="57" type="noConversion"/>
  </si>
  <si>
    <t>清洁合同（康体浴巾）</t>
  </si>
  <si>
    <t>&lt;&lt;70020000</t>
    <phoneticPr fontId="57" type="noConversion"/>
  </si>
  <si>
    <r>
      <t xml:space="preserve">Other Operating Supplies </t>
    </r>
    <r>
      <rPr>
        <sz val="16"/>
        <rFont val="宋体"/>
        <family val="3"/>
        <charset val="134"/>
      </rPr>
      <t>其他运营用品</t>
    </r>
    <phoneticPr fontId="57" type="noConversion"/>
  </si>
  <si>
    <r>
      <t>Salary &amp; Wage - Others</t>
    </r>
    <r>
      <rPr>
        <sz val="16"/>
        <rFont val="宋体"/>
        <family val="3"/>
        <charset val="134"/>
      </rPr>
      <t>工资</t>
    </r>
    <r>
      <rPr>
        <sz val="16"/>
        <rFont val="Arial"/>
        <family val="2"/>
      </rPr>
      <t>-</t>
    </r>
    <r>
      <rPr>
        <sz val="16"/>
        <rFont val="宋体"/>
        <family val="3"/>
        <charset val="134"/>
      </rPr>
      <t>其他</t>
    </r>
    <r>
      <rPr>
        <sz val="16"/>
        <rFont val="Arial"/>
        <family val="2"/>
      </rPr>
      <t>-</t>
    </r>
    <r>
      <rPr>
        <sz val="16"/>
        <rFont val="宋体"/>
        <family val="3"/>
        <charset val="134"/>
      </rPr>
      <t>中江</t>
    </r>
    <phoneticPr fontId="57" type="noConversion"/>
  </si>
  <si>
    <r>
      <t xml:space="preserve">Other Operating Supplies </t>
    </r>
    <r>
      <rPr>
        <sz val="16"/>
        <rFont val="宋体"/>
        <family val="3"/>
        <charset val="134"/>
      </rPr>
      <t>其他运营用品</t>
    </r>
    <phoneticPr fontId="5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</si>
</sst>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 #,##0_ ;_ * \-#,##0_ ;_ * &quot;-&quot;_ ;_ @_ "/>
    <numFmt numFmtId="44" formatCode="_ &quot;¥&quot;* #,##0.00_ ;_ &quot;¥&quot;* \-#,##0.00_ ;_ &quot;¥&quot;* &quot;-&quot;??_ ;_ @_ "/>
    <numFmt numFmtId="43" formatCode="_ * #,##0.00_ ;_ * \-#,##0.00_ ;_ * &quot;-&quot;??_ ;_ @_ "/>
    <numFmt numFmtId="176" formatCode="_(* #,##0.00_);_(* \(#,##0.00\);_(* &quot;-&quot;??_);_(@_)"/>
    <numFmt numFmtId="177" formatCode="_ * #,##0_ ;_ * \-#,##0_ ;_ * &quot;-&quot;??_ ;_ @_ "/>
    <numFmt numFmtId="178" formatCode="_ * #,##0.000_ ;_ * \-#,##0.000_ ;_ * &quot;-&quot;??_ ;_ @_ "/>
    <numFmt numFmtId="179" formatCode="0.0%"/>
    <numFmt numFmtId="180" formatCode="_(* #,##0_);_(* \(#,##0\);_(* &quot;-&quot;??_);_(@_)"/>
    <numFmt numFmtId="181" formatCode="0.0"/>
    <numFmt numFmtId="182" formatCode="_(* #,##0.0_);_(* \(#,##0.0\);_(* &quot;-&quot;??_);_(@_)"/>
    <numFmt numFmtId="183" formatCode="_ \¥* #,##0.00_ ;_ \¥* \-#,##0.00_ ;_ \¥* &quot;-&quot;??_ ;_ @_ "/>
    <numFmt numFmtId="184" formatCode="0.000%"/>
    <numFmt numFmtId="185" formatCode="#,##0.00_ "/>
    <numFmt numFmtId="186" formatCode="#,##0.00_);\(#,##0.00\)"/>
    <numFmt numFmtId="187" formatCode="#,##0.00_);[Red]\(#,##0.00\)"/>
    <numFmt numFmtId="188" formatCode="_(* #,##0.000_);_(* \(#,##0.000\);_(* &quot;-&quot;??_);_(@_)"/>
    <numFmt numFmtId="189" formatCode="0.0_ "/>
    <numFmt numFmtId="190" formatCode="_(* #,##0.0000_);_(* \(#,##0.0000\);_(* &quot;-&quot;??_);_(@_)"/>
    <numFmt numFmtId="191" formatCode="_(* #,##0.00000_);_(* \(#,##0.00000\);_(* &quot;-&quot;??_);_(@_)"/>
  </numFmts>
  <fonts count="71">
    <font>
      <sz val="11"/>
      <color theme="1"/>
      <name val="宋体"/>
      <charset val="134"/>
      <scheme val="minor"/>
    </font>
    <font>
      <sz val="12"/>
      <name val="Arial"/>
      <family val="2"/>
    </font>
    <font>
      <sz val="18"/>
      <name val="Arial"/>
      <family val="2"/>
    </font>
    <font>
      <sz val="16"/>
      <name val="Arial"/>
      <family val="2"/>
    </font>
    <font>
      <b/>
      <sz val="18"/>
      <name val="微软雅黑"/>
      <family val="2"/>
      <charset val="134"/>
    </font>
    <font>
      <b/>
      <sz val="18"/>
      <name val="Arial"/>
      <family val="2"/>
    </font>
    <font>
      <b/>
      <sz val="12"/>
      <name val="Arial"/>
      <family val="2"/>
    </font>
    <font>
      <b/>
      <sz val="16"/>
      <name val="Arial"/>
      <family val="2"/>
    </font>
    <font>
      <b/>
      <u/>
      <sz val="16"/>
      <name val="Arial"/>
      <family val="2"/>
    </font>
    <font>
      <sz val="16"/>
      <name val="微软雅黑"/>
      <family val="2"/>
      <charset val="134"/>
    </font>
    <font>
      <i/>
      <sz val="16"/>
      <name val="Arial"/>
      <family val="2"/>
    </font>
    <font>
      <b/>
      <sz val="14"/>
      <name val="Arial"/>
      <family val="2"/>
    </font>
    <font>
      <b/>
      <i/>
      <sz val="16"/>
      <name val="Arial"/>
      <family val="2"/>
    </font>
    <font>
      <sz val="11"/>
      <name val="Arial"/>
      <family val="2"/>
    </font>
    <font>
      <sz val="12"/>
      <name val="宋体"/>
      <family val="3"/>
      <charset val="134"/>
    </font>
    <font>
      <i/>
      <sz val="14"/>
      <name val="Arial"/>
      <family val="2"/>
    </font>
    <font>
      <sz val="18"/>
      <name val="微软雅黑"/>
      <family val="2"/>
      <charset val="134"/>
    </font>
    <font>
      <sz val="11"/>
      <name val="微软雅黑"/>
      <family val="2"/>
      <charset val="134"/>
    </font>
    <font>
      <b/>
      <sz val="11"/>
      <name val="微软雅黑"/>
      <family val="2"/>
      <charset val="134"/>
    </font>
    <font>
      <b/>
      <sz val="16"/>
      <name val="微软雅黑"/>
      <family val="2"/>
      <charset val="134"/>
    </font>
    <font>
      <i/>
      <sz val="16"/>
      <color rgb="FFFF0000"/>
      <name val="Arial"/>
      <family val="2"/>
    </font>
    <font>
      <b/>
      <sz val="11"/>
      <name val="Arial"/>
      <family val="2"/>
    </font>
    <font>
      <b/>
      <i/>
      <sz val="12"/>
      <name val="Arial"/>
      <family val="2"/>
    </font>
    <font>
      <sz val="11"/>
      <color theme="1"/>
      <name val="Calibri"/>
      <family val="2"/>
    </font>
    <font>
      <b/>
      <sz val="12"/>
      <name val="Calibri"/>
      <family val="2"/>
    </font>
    <font>
      <b/>
      <sz val="16"/>
      <color theme="1"/>
      <name val="Calibri"/>
      <family val="2"/>
    </font>
    <font>
      <sz val="12"/>
      <name val="Calibri"/>
      <family val="2"/>
    </font>
    <font>
      <b/>
      <sz val="12"/>
      <color rgb="FFFF0000"/>
      <name val="宋体"/>
      <family val="3"/>
      <charset val="134"/>
    </font>
    <font>
      <sz val="12"/>
      <color theme="1"/>
      <name val="Calibri"/>
      <family val="2"/>
    </font>
    <font>
      <sz val="11"/>
      <color theme="1"/>
      <name val="Arial"/>
      <family val="2"/>
    </font>
    <font>
      <sz val="11"/>
      <color theme="1"/>
      <name val="Candara"/>
      <family val="2"/>
    </font>
    <font>
      <sz val="11"/>
      <color theme="1"/>
      <name val="宋体"/>
      <family val="2"/>
      <scheme val="minor"/>
    </font>
    <font>
      <sz val="11"/>
      <color indexed="8"/>
      <name val="Calibri"/>
      <family val="2"/>
    </font>
    <font>
      <sz val="10"/>
      <color theme="1"/>
      <name val="Arial"/>
      <family val="2"/>
    </font>
    <font>
      <sz val="10"/>
      <name val="Arial"/>
      <family val="2"/>
    </font>
    <font>
      <sz val="11"/>
      <color indexed="9"/>
      <name val="Calibri"/>
      <family val="2"/>
    </font>
    <font>
      <sz val="11"/>
      <color indexed="62"/>
      <name val="Calibri"/>
      <family val="2"/>
    </font>
    <font>
      <b/>
      <sz val="11"/>
      <color indexed="8"/>
      <name val="Calibri"/>
      <family val="2"/>
    </font>
    <font>
      <sz val="12"/>
      <name val="新細明體"/>
      <family val="1"/>
    </font>
    <font>
      <sz val="11"/>
      <color indexed="10"/>
      <name val="Calibri"/>
      <family val="2"/>
    </font>
    <font>
      <b/>
      <sz val="11"/>
      <color indexed="56"/>
      <name val="Calibri"/>
      <family val="2"/>
    </font>
    <font>
      <b/>
      <sz val="18"/>
      <color indexed="56"/>
      <name val="Cambria"/>
      <family val="1"/>
    </font>
    <font>
      <sz val="14"/>
      <name val="Terminal"/>
      <family val="3"/>
      <charset val="134"/>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sz val="11"/>
      <color indexed="52"/>
      <name val="Calibri"/>
      <family val="2"/>
    </font>
    <font>
      <sz val="11"/>
      <color indexed="60"/>
      <name val="Calibri"/>
      <family val="2"/>
    </font>
    <font>
      <sz val="11"/>
      <color theme="1"/>
      <name val="宋体"/>
      <family val="2"/>
      <scheme val="minor"/>
    </font>
    <font>
      <b/>
      <sz val="11"/>
      <color indexed="63"/>
      <name val="Calibri"/>
      <family val="2"/>
    </font>
    <font>
      <sz val="16"/>
      <name val="宋体"/>
      <family val="3"/>
      <charset val="134"/>
    </font>
    <font>
      <b/>
      <sz val="16"/>
      <name val="宋体"/>
      <family val="3"/>
      <charset val="134"/>
    </font>
    <font>
      <b/>
      <sz val="18"/>
      <name val="宋体"/>
      <family val="3"/>
      <charset val="134"/>
    </font>
    <font>
      <sz val="9"/>
      <name val="宋体"/>
      <family val="3"/>
      <charset val="134"/>
      <scheme val="minor"/>
    </font>
    <font>
      <sz val="16"/>
      <color rgb="FFFF0000"/>
      <name val="Arial"/>
      <family val="2"/>
    </font>
    <font>
      <b/>
      <sz val="16"/>
      <color rgb="FFFF0000"/>
      <name val="Arial"/>
      <family val="2"/>
    </font>
    <font>
      <b/>
      <sz val="16"/>
      <color theme="1"/>
      <name val="Arial"/>
      <family val="2"/>
    </font>
    <font>
      <b/>
      <sz val="9"/>
      <color indexed="81"/>
      <name val="宋体"/>
      <family val="3"/>
      <charset val="134"/>
    </font>
    <font>
      <sz val="9"/>
      <color indexed="81"/>
      <name val="宋体"/>
      <family val="3"/>
      <charset val="134"/>
    </font>
    <font>
      <sz val="18"/>
      <color rgb="FFFF0000"/>
      <name val="Arial"/>
      <family val="2"/>
    </font>
    <font>
      <sz val="11"/>
      <color rgb="FFFF0000"/>
      <name val="Arial"/>
      <family val="2"/>
    </font>
    <font>
      <sz val="12"/>
      <color rgb="FFFF0000"/>
      <name val="Arial"/>
      <family val="2"/>
    </font>
    <font>
      <b/>
      <sz val="18"/>
      <color rgb="FFFF0000"/>
      <name val="Arial"/>
      <family val="2"/>
    </font>
    <font>
      <sz val="16"/>
      <color theme="1"/>
      <name val="Arial"/>
      <family val="2"/>
    </font>
    <font>
      <sz val="18"/>
      <name val="宋体"/>
      <family val="3"/>
      <charset val="134"/>
    </font>
    <font>
      <sz val="14"/>
      <name val="Arial"/>
      <family val="2"/>
    </font>
    <font>
      <sz val="22"/>
      <name val="微软雅黑"/>
      <family val="2"/>
      <charset val="134"/>
    </font>
  </fonts>
  <fills count="33">
    <fill>
      <patternFill patternType="none"/>
    </fill>
    <fill>
      <patternFill patternType="gray125"/>
    </fill>
    <fill>
      <patternFill patternType="solid">
        <fgColor rgb="FFFFFF00"/>
        <bgColor indexed="64"/>
      </patternFill>
    </fill>
    <fill>
      <patternFill patternType="solid">
        <fgColor indexed="13"/>
        <bgColor indexed="64"/>
      </patternFill>
    </fill>
    <fill>
      <patternFill patternType="solid">
        <fgColor theme="0" tint="-0.249977111117893"/>
        <bgColor indexed="64"/>
      </patternFill>
    </fill>
    <fill>
      <patternFill patternType="solid">
        <fgColor indexed="31"/>
        <bgColor indexed="64"/>
      </patternFill>
    </fill>
    <fill>
      <patternFill patternType="solid">
        <fgColor indexed="51"/>
        <bgColor indexed="64"/>
      </patternFill>
    </fill>
    <fill>
      <patternFill patternType="solid">
        <fgColor indexed="11"/>
        <bgColor indexed="64"/>
      </patternFill>
    </fill>
    <fill>
      <patternFill patternType="solid">
        <fgColor indexed="47"/>
        <bgColor indexed="64"/>
      </patternFill>
    </fill>
    <fill>
      <patternFill patternType="solid">
        <fgColor indexed="45"/>
        <bgColor indexed="64"/>
      </patternFill>
    </fill>
    <fill>
      <patternFill patternType="solid">
        <fgColor indexed="26"/>
        <bgColor indexed="64"/>
      </patternFill>
    </fill>
    <fill>
      <patternFill patternType="solid">
        <fgColor indexed="53"/>
        <bgColor indexed="64"/>
      </patternFill>
    </fill>
    <fill>
      <patternFill patternType="solid">
        <fgColor indexed="44"/>
        <bgColor indexed="64"/>
      </patternFill>
    </fill>
    <fill>
      <patternFill patternType="solid">
        <fgColor indexed="42"/>
        <bgColor indexed="64"/>
      </patternFill>
    </fill>
    <fill>
      <patternFill patternType="solid">
        <fgColor indexed="30"/>
        <bgColor indexed="64"/>
      </patternFill>
    </fill>
    <fill>
      <patternFill patternType="solid">
        <fgColor indexed="27"/>
        <bgColor indexed="64"/>
      </patternFill>
    </fill>
    <fill>
      <patternFill patternType="solid">
        <fgColor indexed="29"/>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rgb="FF92D05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C000"/>
        <bgColor indexed="64"/>
      </patternFill>
    </fill>
  </fills>
  <borders count="20">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s>
  <cellStyleXfs count="117">
    <xf numFmtId="0" fontId="0" fillId="0" borderId="0"/>
    <xf numFmtId="0" fontId="36" fillId="8" borderId="11" applyNumberFormat="0" applyAlignment="0" applyProtection="0"/>
    <xf numFmtId="176" fontId="31" fillId="0" borderId="0" applyFont="0" applyFill="0" applyBorder="0" applyAlignment="0" applyProtection="0"/>
    <xf numFmtId="9" fontId="31" fillId="0" borderId="0" applyFont="0" applyFill="0" applyBorder="0" applyAlignment="0" applyProtection="0"/>
    <xf numFmtId="0" fontId="33" fillId="0" borderId="0"/>
    <xf numFmtId="0" fontId="32" fillId="12" borderId="0" applyNumberFormat="0" applyBorder="0" applyAlignment="0" applyProtection="0"/>
    <xf numFmtId="176" fontId="31" fillId="0" borderId="0" applyFont="0" applyFill="0" applyBorder="0" applyAlignment="0" applyProtection="0"/>
    <xf numFmtId="0" fontId="32" fillId="12" borderId="0" applyNumberFormat="0" applyBorder="0" applyAlignment="0" applyProtection="0"/>
    <xf numFmtId="0" fontId="33" fillId="0" borderId="0"/>
    <xf numFmtId="0" fontId="32" fillId="6"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2" fillId="15" borderId="0" applyNumberFormat="0" applyBorder="0" applyAlignment="0" applyProtection="0"/>
    <xf numFmtId="0" fontId="32" fillId="9" borderId="0" applyNumberFormat="0" applyBorder="0" applyAlignment="0" applyProtection="0"/>
    <xf numFmtId="0" fontId="32" fillId="13" borderId="0" applyNumberFormat="0" applyBorder="0" applyAlignment="0" applyProtection="0"/>
    <xf numFmtId="0" fontId="38" fillId="0" borderId="0">
      <alignment vertical="center"/>
    </xf>
    <xf numFmtId="0" fontId="35" fillId="16" borderId="0" applyNumberFormat="0" applyBorder="0" applyAlignment="0" applyProtection="0"/>
    <xf numFmtId="0" fontId="32" fillId="8" borderId="0" applyNumberFormat="0" applyBorder="0" applyAlignment="0" applyProtection="0"/>
    <xf numFmtId="0" fontId="32" fillId="7" borderId="0" applyNumberFormat="0" applyBorder="0" applyAlignment="0" applyProtection="0"/>
    <xf numFmtId="0" fontId="32" fillId="5" borderId="0" applyNumberFormat="0" applyBorder="0" applyAlignment="0" applyProtection="0"/>
    <xf numFmtId="0" fontId="32" fillId="16" borderId="0" applyNumberFormat="0" applyBorder="0" applyAlignment="0" applyProtection="0"/>
    <xf numFmtId="0" fontId="40" fillId="0" borderId="14" applyNumberFormat="0" applyFill="0" applyAlignment="0" applyProtection="0"/>
    <xf numFmtId="0" fontId="35" fillId="7" borderId="0" applyNumberFormat="0" applyBorder="0" applyAlignment="0" applyProtection="0"/>
    <xf numFmtId="0" fontId="34" fillId="0" borderId="0"/>
    <xf numFmtId="0" fontId="33" fillId="0" borderId="0"/>
    <xf numFmtId="0" fontId="32" fillId="18" borderId="0" applyNumberFormat="0" applyBorder="0" applyAlignment="0" applyProtection="0"/>
    <xf numFmtId="0" fontId="32" fillId="18" borderId="0" applyNumberFormat="0" applyBorder="0" applyAlignment="0" applyProtection="0"/>
    <xf numFmtId="0" fontId="35" fillId="17"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17" borderId="0" applyNumberFormat="0" applyBorder="0" applyAlignment="0" applyProtection="0"/>
    <xf numFmtId="0" fontId="35" fillId="19" borderId="0" applyNumberFormat="0" applyBorder="0" applyAlignment="0" applyProtection="0"/>
    <xf numFmtId="0" fontId="43" fillId="9" borderId="0" applyNumberFormat="0" applyBorder="0" applyAlignment="0" applyProtection="0"/>
    <xf numFmtId="0" fontId="44" fillId="24" borderId="11" applyNumberFormat="0" applyAlignment="0" applyProtection="0"/>
    <xf numFmtId="0" fontId="45" fillId="25" borderId="15" applyNumberFormat="0" applyAlignment="0" applyProtection="0"/>
    <xf numFmtId="0" fontId="34" fillId="0" borderId="0" applyFont="0" applyFill="0" applyBorder="0" applyAlignment="0" applyProtection="0">
      <alignment vertical="center"/>
    </xf>
    <xf numFmtId="0" fontId="46" fillId="0" borderId="0" applyNumberFormat="0" applyFill="0" applyBorder="0" applyAlignment="0" applyProtection="0"/>
    <xf numFmtId="0" fontId="47" fillId="13" borderId="0" applyNumberFormat="0" applyBorder="0" applyAlignment="0" applyProtection="0"/>
    <xf numFmtId="0" fontId="48" fillId="0" borderId="16" applyNumberFormat="0" applyFill="0" applyAlignment="0" applyProtection="0"/>
    <xf numFmtId="0" fontId="49" fillId="0" borderId="17" applyNumberFormat="0" applyFill="0" applyAlignment="0" applyProtection="0"/>
    <xf numFmtId="0" fontId="40" fillId="0" borderId="0" applyNumberFormat="0" applyFill="0" applyBorder="0" applyAlignment="0" applyProtection="0"/>
    <xf numFmtId="0" fontId="50" fillId="0" borderId="18" applyNumberFormat="0" applyFill="0" applyAlignment="0" applyProtection="0"/>
    <xf numFmtId="0" fontId="51" fillId="26" borderId="0" applyNumberFormat="0" applyBorder="0" applyAlignment="0" applyProtection="0"/>
    <xf numFmtId="0" fontId="34" fillId="0" borderId="0"/>
    <xf numFmtId="0" fontId="31" fillId="0" borderId="0"/>
    <xf numFmtId="0" fontId="34" fillId="0" borderId="0"/>
    <xf numFmtId="0" fontId="34" fillId="0" borderId="0"/>
    <xf numFmtId="0" fontId="34" fillId="0" borderId="0"/>
    <xf numFmtId="0" fontId="52" fillId="0" borderId="0">
      <alignment vertical="center"/>
    </xf>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4"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xf numFmtId="0" fontId="14" fillId="0" borderId="0"/>
    <xf numFmtId="0" fontId="14" fillId="0" borderId="0">
      <alignment vertical="center"/>
    </xf>
    <xf numFmtId="0" fontId="34" fillId="10" borderId="12" applyNumberFormat="0" applyFont="0" applyAlignment="0" applyProtection="0"/>
    <xf numFmtId="0" fontId="34" fillId="10" borderId="12" applyNumberFormat="0" applyFont="0" applyAlignment="0" applyProtection="0"/>
    <xf numFmtId="0" fontId="42" fillId="0" borderId="0"/>
    <xf numFmtId="0" fontId="34" fillId="10" borderId="12" applyNumberFormat="0" applyFont="0" applyAlignment="0" applyProtection="0"/>
    <xf numFmtId="0" fontId="14" fillId="0" borderId="0">
      <alignment vertical="center"/>
    </xf>
    <xf numFmtId="0" fontId="53" fillId="24" borderId="19" applyNumberFormat="0" applyAlignment="0" applyProtection="0"/>
    <xf numFmtId="9" fontId="31" fillId="0" borderId="0" applyFont="0" applyFill="0" applyBorder="0" applyAlignment="0" applyProtection="0"/>
    <xf numFmtId="0" fontId="14" fillId="0" borderId="0">
      <alignment vertical="center"/>
    </xf>
    <xf numFmtId="0" fontId="41" fillId="0" borderId="0" applyNumberFormat="0" applyFill="0" applyBorder="0" applyAlignment="0" applyProtection="0"/>
    <xf numFmtId="0" fontId="37" fillId="0" borderId="13" applyNumberFormat="0" applyFill="0" applyAlignment="0" applyProtection="0"/>
    <xf numFmtId="0" fontId="39" fillId="0" borderId="0" applyNumberFormat="0" applyFill="0" applyBorder="0" applyAlignment="0" applyProtection="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176" fontId="31" fillId="0" borderId="0" applyFont="0" applyFill="0" applyBorder="0" applyAlignment="0" applyProtection="0"/>
    <xf numFmtId="176" fontId="31" fillId="0" borderId="0" applyFont="0" applyFill="0" applyBorder="0" applyAlignment="0" applyProtection="0">
      <alignment vertical="center"/>
    </xf>
  </cellStyleXfs>
  <cellXfs count="416">
    <xf numFmtId="0" fontId="0" fillId="0" borderId="0" xfId="0"/>
    <xf numFmtId="0" fontId="1" fillId="0" borderId="0" xfId="47" applyFont="1" applyAlignment="1">
      <alignment horizontal="center" vertical="center"/>
    </xf>
    <xf numFmtId="176" fontId="2" fillId="0" borderId="0" xfId="47" applyNumberFormat="1" applyFont="1"/>
    <xf numFmtId="176" fontId="3" fillId="0" borderId="0" xfId="47" applyNumberFormat="1" applyFont="1"/>
    <xf numFmtId="176" fontId="3" fillId="0" borderId="0" xfId="47" applyNumberFormat="1" applyFont="1" applyAlignment="1">
      <alignment horizontal="center" vertical="center"/>
    </xf>
    <xf numFmtId="176" fontId="1" fillId="0" borderId="0" xfId="47" applyNumberFormat="1" applyFont="1"/>
    <xf numFmtId="176" fontId="1" fillId="0" borderId="0" xfId="47" applyNumberFormat="1" applyFont="1" applyAlignment="1">
      <alignment horizontal="center"/>
    </xf>
    <xf numFmtId="177" fontId="1" fillId="0" borderId="0" xfId="2" applyNumberFormat="1" applyFont="1" applyFill="1" applyAlignment="1">
      <alignment horizontal="center"/>
    </xf>
    <xf numFmtId="41" fontId="1" fillId="0" borderId="0" xfId="47" applyNumberFormat="1" applyFont="1"/>
    <xf numFmtId="0" fontId="1" fillId="0" borderId="0" xfId="2" applyNumberFormat="1" applyFont="1" applyFill="1" applyAlignment="1">
      <alignment horizontal="center" vertical="center"/>
    </xf>
    <xf numFmtId="0" fontId="4" fillId="0" borderId="0" xfId="47" applyFont="1" applyAlignment="1">
      <alignment horizontal="center" vertical="center" shrinkToFit="1"/>
    </xf>
    <xf numFmtId="177" fontId="5" fillId="0" borderId="0" xfId="2" applyNumberFormat="1" applyFont="1" applyFill="1" applyAlignment="1">
      <alignment horizontal="center"/>
    </xf>
    <xf numFmtId="176" fontId="5" fillId="0" borderId="0" xfId="89" applyNumberFormat="1" applyFont="1" applyFill="1" applyAlignment="1">
      <alignment horizontal="right"/>
    </xf>
    <xf numFmtId="177" fontId="2" fillId="0" borderId="0" xfId="2" applyNumberFormat="1" applyFont="1" applyFill="1" applyAlignment="1">
      <alignment horizontal="center"/>
    </xf>
    <xf numFmtId="0" fontId="5" fillId="0" borderId="0" xfId="47" applyFont="1" applyAlignment="1">
      <alignment horizontal="center" vertical="center" shrinkToFit="1"/>
    </xf>
    <xf numFmtId="49" fontId="5" fillId="0" borderId="0" xfId="0" applyNumberFormat="1" applyFont="1" applyAlignment="1">
      <alignment horizontal="center" shrinkToFit="1"/>
    </xf>
    <xf numFmtId="0" fontId="6" fillId="0" borderId="0" xfId="47" applyFont="1" applyAlignment="1">
      <alignment horizontal="center" vertical="center" shrinkToFit="1"/>
    </xf>
    <xf numFmtId="176" fontId="3" fillId="0" borderId="0" xfId="47" applyNumberFormat="1" applyFont="1" applyAlignment="1">
      <alignment horizontal="center"/>
    </xf>
    <xf numFmtId="0" fontId="3" fillId="0" borderId="1" xfId="0" applyFont="1" applyBorder="1" applyAlignment="1">
      <alignment horizontal="center"/>
    </xf>
    <xf numFmtId="176" fontId="7" fillId="0" borderId="0" xfId="47" applyNumberFormat="1" applyFont="1"/>
    <xf numFmtId="176" fontId="8" fillId="0" borderId="0" xfId="115" applyFont="1" applyFill="1" applyAlignment="1">
      <alignment horizontal="center"/>
    </xf>
    <xf numFmtId="176" fontId="7" fillId="0" borderId="0" xfId="47" applyNumberFormat="1" applyFont="1" applyAlignment="1">
      <alignment horizontal="left"/>
    </xf>
    <xf numFmtId="177" fontId="8" fillId="0" borderId="0" xfId="2" applyNumberFormat="1" applyFont="1" applyFill="1" applyBorder="1" applyAlignment="1">
      <alignment horizontal="right"/>
    </xf>
    <xf numFmtId="177" fontId="8" fillId="0" borderId="0" xfId="2" applyNumberFormat="1" applyFont="1" applyFill="1" applyBorder="1" applyAlignment="1">
      <alignment horizontal="center"/>
    </xf>
    <xf numFmtId="177" fontId="3" fillId="0" borderId="0" xfId="2" applyNumberFormat="1" applyFont="1" applyFill="1" applyBorder="1" applyAlignment="1">
      <alignment horizontal="right"/>
    </xf>
    <xf numFmtId="177" fontId="3" fillId="0" borderId="0" xfId="2" applyNumberFormat="1" applyFont="1" applyFill="1" applyAlignment="1">
      <alignment horizontal="center"/>
    </xf>
    <xf numFmtId="176" fontId="3" fillId="0" borderId="0" xfId="47" applyNumberFormat="1" applyFont="1" applyAlignment="1">
      <alignment horizontal="left"/>
    </xf>
    <xf numFmtId="43" fontId="3" fillId="0" borderId="0" xfId="2" applyNumberFormat="1" applyFont="1" applyFill="1" applyBorder="1" applyAlignment="1">
      <alignment horizontal="right"/>
    </xf>
    <xf numFmtId="14" fontId="3" fillId="0" borderId="0" xfId="48" applyNumberFormat="1" applyFont="1" applyAlignment="1">
      <alignment horizontal="left"/>
    </xf>
    <xf numFmtId="176" fontId="3" fillId="0" borderId="0" xfId="59" applyNumberFormat="1" applyFont="1" applyAlignment="1">
      <alignment horizontal="left"/>
    </xf>
    <xf numFmtId="43" fontId="7" fillId="0" borderId="2" xfId="2" applyNumberFormat="1" applyFont="1" applyFill="1" applyBorder="1" applyAlignment="1">
      <alignment horizontal="right"/>
    </xf>
    <xf numFmtId="178" fontId="1" fillId="0" borderId="0" xfId="2" applyNumberFormat="1" applyFont="1" applyFill="1" applyAlignment="1">
      <alignment horizontal="center"/>
    </xf>
    <xf numFmtId="41" fontId="1" fillId="0" borderId="0" xfId="47" applyNumberFormat="1" applyFont="1" applyAlignment="1">
      <alignment horizontal="center" vertical="center"/>
    </xf>
    <xf numFmtId="41" fontId="2" fillId="0" borderId="0" xfId="47" applyNumberFormat="1" applyFont="1"/>
    <xf numFmtId="176" fontId="3" fillId="0" borderId="0" xfId="47" applyNumberFormat="1" applyFont="1" applyAlignment="1">
      <alignment horizontal="right"/>
    </xf>
    <xf numFmtId="41" fontId="3" fillId="0" borderId="0" xfId="47" applyNumberFormat="1" applyFont="1"/>
    <xf numFmtId="41" fontId="3" fillId="2" borderId="0" xfId="47" applyNumberFormat="1" applyFont="1" applyFill="1" applyAlignment="1">
      <alignment horizontal="center"/>
    </xf>
    <xf numFmtId="179" fontId="3" fillId="2" borderId="0" xfId="47" applyNumberFormat="1" applyFont="1" applyFill="1" applyAlignment="1">
      <alignment horizontal="center"/>
    </xf>
    <xf numFmtId="176" fontId="7" fillId="0" borderId="0" xfId="2" applyFont="1" applyFill="1" applyBorder="1"/>
    <xf numFmtId="179" fontId="3" fillId="0" borderId="0" xfId="3" applyNumberFormat="1" applyFont="1" applyFill="1"/>
    <xf numFmtId="179" fontId="9" fillId="0" borderId="0" xfId="47" applyNumberFormat="1" applyFont="1"/>
    <xf numFmtId="176" fontId="3" fillId="0" borderId="0" xfId="2" applyFont="1" applyFill="1" applyBorder="1"/>
    <xf numFmtId="176" fontId="10" fillId="0" borderId="0" xfId="47" applyNumberFormat="1" applyFont="1"/>
    <xf numFmtId="176" fontId="3" fillId="0" borderId="0" xfId="2" applyFont="1" applyFill="1" applyBorder="1" applyAlignment="1">
      <alignment horizontal="right"/>
    </xf>
    <xf numFmtId="177" fontId="3" fillId="0" borderId="0" xfId="2" applyNumberFormat="1" applyFont="1" applyFill="1" applyBorder="1" applyAlignment="1">
      <alignment horizontal="center"/>
    </xf>
    <xf numFmtId="176" fontId="7" fillId="0" borderId="2" xfId="2" applyFont="1" applyFill="1" applyBorder="1" applyAlignment="1"/>
    <xf numFmtId="176" fontId="11" fillId="0" borderId="0" xfId="47" applyNumberFormat="1" applyFont="1"/>
    <xf numFmtId="177" fontId="12" fillId="0" borderId="0" xfId="2" applyNumberFormat="1" applyFont="1" applyFill="1" applyAlignment="1">
      <alignment horizontal="center"/>
    </xf>
    <xf numFmtId="177" fontId="7" fillId="0" borderId="0" xfId="2" applyNumberFormat="1" applyFont="1" applyFill="1" applyAlignment="1">
      <alignment horizontal="center"/>
    </xf>
    <xf numFmtId="0" fontId="3" fillId="0" borderId="0" xfId="47" applyFont="1"/>
    <xf numFmtId="176" fontId="3" fillId="0" borderId="0" xfId="47" applyNumberFormat="1" applyFont="1" applyAlignment="1">
      <alignment wrapText="1"/>
    </xf>
    <xf numFmtId="0" fontId="3" fillId="0" borderId="0" xfId="47" applyFont="1" applyAlignment="1">
      <alignment horizontal="left"/>
    </xf>
    <xf numFmtId="176" fontId="7" fillId="0" borderId="2" xfId="2" applyFont="1" applyFill="1" applyBorder="1" applyAlignment="1">
      <alignment horizontal="right"/>
    </xf>
    <xf numFmtId="177" fontId="7" fillId="0" borderId="0" xfId="2" applyNumberFormat="1" applyFont="1" applyFill="1" applyBorder="1" applyAlignment="1">
      <alignment horizontal="right"/>
    </xf>
    <xf numFmtId="0" fontId="3" fillId="0" borderId="0" xfId="47" applyFont="1" applyAlignment="1">
      <alignment wrapText="1"/>
    </xf>
    <xf numFmtId="177" fontId="7" fillId="0" borderId="0" xfId="2" applyNumberFormat="1" applyFont="1" applyFill="1" applyBorder="1" applyAlignment="1"/>
    <xf numFmtId="9" fontId="3" fillId="0" borderId="0" xfId="2" applyNumberFormat="1" applyFont="1" applyFill="1" applyBorder="1" applyAlignment="1">
      <alignment horizontal="right"/>
    </xf>
    <xf numFmtId="177" fontId="7" fillId="0" borderId="0" xfId="2" applyNumberFormat="1" applyFont="1" applyFill="1" applyBorder="1" applyAlignment="1">
      <alignment horizontal="center"/>
    </xf>
    <xf numFmtId="0" fontId="13" fillId="0" borderId="0" xfId="47" applyFont="1" applyAlignment="1">
      <alignment horizontal="left"/>
    </xf>
    <xf numFmtId="176" fontId="1" fillId="0" borderId="0" xfId="47" applyNumberFormat="1" applyFont="1" applyAlignment="1">
      <alignment horizontal="left"/>
    </xf>
    <xf numFmtId="176" fontId="3" fillId="0" borderId="0" xfId="2" applyFont="1" applyFill="1" applyAlignment="1">
      <alignment horizontal="center"/>
    </xf>
    <xf numFmtId="176" fontId="3" fillId="0" borderId="0" xfId="2" applyFont="1" applyFill="1"/>
    <xf numFmtId="176" fontId="7" fillId="0" borderId="0" xfId="2" applyFont="1" applyFill="1" applyBorder="1" applyAlignment="1"/>
    <xf numFmtId="176" fontId="3" fillId="0" borderId="0" xfId="2" applyFont="1" applyFill="1" applyBorder="1" applyAlignment="1"/>
    <xf numFmtId="177" fontId="6" fillId="0" borderId="0" xfId="2" applyNumberFormat="1" applyFont="1" applyFill="1" applyAlignment="1">
      <alignment horizontal="center"/>
    </xf>
    <xf numFmtId="176" fontId="14" fillId="0" borderId="0" xfId="47" applyNumberFormat="1" applyFont="1" applyAlignment="1">
      <alignment horizontal="center"/>
    </xf>
    <xf numFmtId="176" fontId="6" fillId="0" borderId="0" xfId="47" applyNumberFormat="1" applyFont="1" applyAlignment="1">
      <alignment horizontal="center" wrapText="1"/>
    </xf>
    <xf numFmtId="0" fontId="6" fillId="0" borderId="0" xfId="2" applyNumberFormat="1" applyFont="1" applyFill="1" applyAlignment="1">
      <alignment horizontal="center"/>
    </xf>
    <xf numFmtId="180" fontId="7" fillId="0" borderId="0" xfId="2" applyNumberFormat="1" applyFont="1" applyFill="1"/>
    <xf numFmtId="176" fontId="1" fillId="0" borderId="0" xfId="2" applyFont="1" applyFill="1"/>
    <xf numFmtId="176" fontId="1" fillId="2" borderId="0" xfId="47" applyNumberFormat="1" applyFont="1" applyFill="1"/>
    <xf numFmtId="176" fontId="6" fillId="0" borderId="0" xfId="47" applyNumberFormat="1" applyFont="1" applyAlignment="1">
      <alignment horizontal="right"/>
    </xf>
    <xf numFmtId="43" fontId="1" fillId="0" borderId="0" xfId="2" applyNumberFormat="1" applyFont="1" applyFill="1" applyAlignment="1">
      <alignment horizontal="center"/>
    </xf>
    <xf numFmtId="176" fontId="15" fillId="0" borderId="0" xfId="47" applyNumberFormat="1" applyFont="1"/>
    <xf numFmtId="176" fontId="7" fillId="0" borderId="0" xfId="2" applyFont="1" applyFill="1" applyBorder="1" applyAlignment="1">
      <alignment horizontal="right"/>
    </xf>
    <xf numFmtId="0" fontId="7" fillId="0" borderId="0" xfId="47" applyFont="1" applyAlignment="1">
      <alignment horizontal="left"/>
    </xf>
    <xf numFmtId="177" fontId="8" fillId="0" borderId="0" xfId="2" applyNumberFormat="1" applyFont="1" applyFill="1" applyAlignment="1">
      <alignment horizontal="right"/>
    </xf>
    <xf numFmtId="177" fontId="8" fillId="0" borderId="0" xfId="2" applyNumberFormat="1" applyFont="1" applyFill="1" applyAlignment="1">
      <alignment horizontal="center"/>
    </xf>
    <xf numFmtId="14" fontId="3" fillId="0" borderId="0" xfId="47" applyNumberFormat="1" applyFont="1" applyAlignment="1">
      <alignment horizontal="left"/>
    </xf>
    <xf numFmtId="180" fontId="7" fillId="0" borderId="0" xfId="2" applyNumberFormat="1" applyFont="1" applyFill="1" applyBorder="1" applyAlignment="1"/>
    <xf numFmtId="180" fontId="3" fillId="0" borderId="0" xfId="2" applyNumberFormat="1" applyFont="1" applyFill="1" applyBorder="1" applyAlignment="1">
      <alignment horizontal="right"/>
    </xf>
    <xf numFmtId="180" fontId="3" fillId="0" borderId="0" xfId="2" applyNumberFormat="1" applyFont="1" applyFill="1"/>
    <xf numFmtId="43" fontId="7" fillId="0" borderId="0" xfId="2" applyNumberFormat="1" applyFont="1" applyFill="1" applyBorder="1" applyAlignment="1">
      <alignment horizontal="right"/>
    </xf>
    <xf numFmtId="0" fontId="3" fillId="0" borderId="0" xfId="3" applyNumberFormat="1" applyFont="1" applyFill="1"/>
    <xf numFmtId="176" fontId="9" fillId="0" borderId="0" xfId="47" applyNumberFormat="1" applyFont="1"/>
    <xf numFmtId="1" fontId="7" fillId="0" borderId="0" xfId="47" applyNumberFormat="1" applyFont="1"/>
    <xf numFmtId="180" fontId="7" fillId="0" borderId="0" xfId="47" applyNumberFormat="1" applyFont="1"/>
    <xf numFmtId="177" fontId="1" fillId="0" borderId="0" xfId="2" applyNumberFormat="1" applyFont="1" applyFill="1" applyBorder="1" applyAlignment="1">
      <alignment horizontal="center"/>
    </xf>
    <xf numFmtId="176" fontId="6" fillId="0" borderId="0" xfId="47" applyNumberFormat="1" applyFont="1"/>
    <xf numFmtId="10" fontId="1" fillId="0" borderId="0" xfId="89" applyNumberFormat="1" applyFont="1" applyFill="1" applyAlignment="1">
      <alignment horizontal="center"/>
    </xf>
    <xf numFmtId="10" fontId="1" fillId="0" borderId="0" xfId="3" applyNumberFormat="1" applyFont="1" applyFill="1" applyAlignment="1">
      <alignment horizontal="center"/>
    </xf>
    <xf numFmtId="10" fontId="5" fillId="0" borderId="0" xfId="89" applyNumberFormat="1" applyFont="1" applyFill="1" applyAlignment="1">
      <alignment horizontal="center"/>
    </xf>
    <xf numFmtId="176" fontId="5" fillId="0" borderId="0" xfId="47" applyNumberFormat="1" applyFont="1" applyAlignment="1">
      <alignment horizontal="center"/>
    </xf>
    <xf numFmtId="10" fontId="2" fillId="0" borderId="0" xfId="89" applyNumberFormat="1" applyFont="1" applyFill="1" applyAlignment="1">
      <alignment horizontal="center"/>
    </xf>
    <xf numFmtId="176" fontId="2" fillId="0" borderId="0" xfId="47" applyNumberFormat="1" applyFont="1" applyAlignment="1">
      <alignment horizontal="center"/>
    </xf>
    <xf numFmtId="10" fontId="8" fillId="0" borderId="0" xfId="89" applyNumberFormat="1" applyFont="1" applyFill="1" applyAlignment="1">
      <alignment horizontal="center"/>
    </xf>
    <xf numFmtId="43" fontId="3" fillId="0" borderId="0" xfId="2" applyNumberFormat="1" applyFont="1" applyFill="1" applyBorder="1" applyAlignment="1">
      <alignment horizontal="center"/>
    </xf>
    <xf numFmtId="43" fontId="3" fillId="0" borderId="0" xfId="2" applyNumberFormat="1" applyFont="1" applyFill="1" applyBorder="1" applyAlignment="1"/>
    <xf numFmtId="43" fontId="7" fillId="0" borderId="2" xfId="2" applyNumberFormat="1" applyFont="1" applyFill="1" applyBorder="1" applyAlignment="1"/>
    <xf numFmtId="43" fontId="7" fillId="0" borderId="0" xfId="2" applyNumberFormat="1" applyFont="1" applyFill="1" applyBorder="1" applyAlignment="1"/>
    <xf numFmtId="9" fontId="5" fillId="0" borderId="0" xfId="89" applyFont="1" applyFill="1" applyAlignment="1">
      <alignment horizontal="center"/>
    </xf>
    <xf numFmtId="10" fontId="2" fillId="0" borderId="0" xfId="3" applyNumberFormat="1" applyFont="1" applyFill="1" applyAlignment="1">
      <alignment horizontal="center"/>
    </xf>
    <xf numFmtId="10" fontId="8" fillId="0" borderId="0" xfId="3" applyNumberFormat="1" applyFont="1" applyFill="1" applyAlignment="1">
      <alignment horizontal="center"/>
    </xf>
    <xf numFmtId="43" fontId="3" fillId="0" borderId="0" xfId="2" applyNumberFormat="1" applyFont="1" applyFill="1"/>
    <xf numFmtId="43" fontId="7" fillId="0" borderId="0" xfId="2" applyNumberFormat="1" applyFont="1" applyFill="1"/>
    <xf numFmtId="179" fontId="6" fillId="0" borderId="0" xfId="3" applyNumberFormat="1" applyFont="1" applyFill="1" applyAlignment="1">
      <alignment horizontal="right"/>
    </xf>
    <xf numFmtId="43" fontId="1" fillId="0" borderId="0" xfId="89" applyNumberFormat="1" applyFont="1" applyFill="1" applyAlignment="1">
      <alignment horizontal="center"/>
    </xf>
    <xf numFmtId="43" fontId="1" fillId="0" borderId="0" xfId="47" applyNumberFormat="1" applyFont="1" applyAlignment="1">
      <alignment horizontal="center"/>
    </xf>
    <xf numFmtId="43" fontId="3" fillId="0" borderId="1" xfId="2" applyNumberFormat="1" applyFont="1" applyFill="1" applyBorder="1" applyAlignment="1"/>
    <xf numFmtId="43" fontId="1" fillId="0" borderId="0" xfId="3" applyNumberFormat="1" applyFont="1" applyFill="1" applyAlignment="1">
      <alignment horizontal="center"/>
    </xf>
    <xf numFmtId="43" fontId="1" fillId="0" borderId="0" xfId="47" applyNumberFormat="1" applyFont="1"/>
    <xf numFmtId="43" fontId="3" fillId="0" borderId="1" xfId="2" applyNumberFormat="1" applyFont="1" applyFill="1" applyBorder="1"/>
    <xf numFmtId="43" fontId="7" fillId="0" borderId="3" xfId="2" applyNumberFormat="1" applyFont="1" applyFill="1" applyBorder="1" applyAlignment="1"/>
    <xf numFmtId="177" fontId="3" fillId="0" borderId="0" xfId="2" applyNumberFormat="1" applyFont="1" applyFill="1" applyBorder="1" applyAlignment="1"/>
    <xf numFmtId="179" fontId="3" fillId="0" borderId="0" xfId="3" applyNumberFormat="1" applyFont="1" applyFill="1" applyBorder="1" applyAlignment="1"/>
    <xf numFmtId="179" fontId="3" fillId="0" borderId="0" xfId="47" applyNumberFormat="1" applyFont="1"/>
    <xf numFmtId="41" fontId="3" fillId="0" borderId="0" xfId="47" applyNumberFormat="1" applyFont="1" applyAlignment="1">
      <alignment horizontal="center"/>
    </xf>
    <xf numFmtId="179" fontId="3" fillId="0" borderId="0" xfId="47" applyNumberFormat="1" applyFont="1" applyAlignment="1">
      <alignment horizontal="center"/>
    </xf>
    <xf numFmtId="43" fontId="7" fillId="0" borderId="2" xfId="2" applyNumberFormat="1" applyFont="1" applyFill="1" applyBorder="1"/>
    <xf numFmtId="43" fontId="3" fillId="0" borderId="3" xfId="2" applyNumberFormat="1" applyFont="1" applyFill="1" applyBorder="1" applyAlignment="1"/>
    <xf numFmtId="43" fontId="3" fillId="0" borderId="0" xfId="2" applyNumberFormat="1" applyFont="1" applyFill="1" applyBorder="1"/>
    <xf numFmtId="179" fontId="1" fillId="0" borderId="0" xfId="3" applyNumberFormat="1" applyFont="1" applyFill="1"/>
    <xf numFmtId="43" fontId="6" fillId="0" borderId="0" xfId="2" applyNumberFormat="1" applyFont="1" applyFill="1" applyAlignment="1">
      <alignment horizontal="center"/>
    </xf>
    <xf numFmtId="43" fontId="1" fillId="0" borderId="3" xfId="2" applyNumberFormat="1" applyFont="1" applyFill="1" applyBorder="1" applyAlignment="1">
      <alignment horizontal="center"/>
    </xf>
    <xf numFmtId="43" fontId="1" fillId="0" borderId="2" xfId="2" applyNumberFormat="1" applyFont="1" applyFill="1" applyBorder="1" applyAlignment="1">
      <alignment horizontal="center"/>
    </xf>
    <xf numFmtId="43" fontId="3" fillId="0" borderId="2" xfId="2" applyNumberFormat="1" applyFont="1" applyFill="1" applyBorder="1" applyAlignment="1"/>
    <xf numFmtId="43" fontId="3" fillId="0" borderId="3" xfId="2" applyNumberFormat="1" applyFont="1" applyFill="1" applyBorder="1" applyAlignment="1">
      <alignment horizontal="right"/>
    </xf>
    <xf numFmtId="43" fontId="3" fillId="0" borderId="3" xfId="2" applyNumberFormat="1" applyFont="1" applyFill="1" applyBorder="1"/>
    <xf numFmtId="43" fontId="6" fillId="0" borderId="2" xfId="2" applyNumberFormat="1" applyFont="1" applyFill="1" applyBorder="1" applyAlignment="1">
      <alignment horizontal="center"/>
    </xf>
    <xf numFmtId="176" fontId="3" fillId="0" borderId="1" xfId="2" applyFont="1" applyFill="1" applyBorder="1" applyAlignment="1">
      <alignment horizontal="right"/>
    </xf>
    <xf numFmtId="179" fontId="3" fillId="0" borderId="0" xfId="3" applyNumberFormat="1" applyFont="1" applyFill="1" applyBorder="1" applyAlignment="1">
      <alignment horizontal="center"/>
    </xf>
    <xf numFmtId="10" fontId="3" fillId="0" borderId="0" xfId="89" applyNumberFormat="1" applyFont="1" applyFill="1" applyAlignment="1">
      <alignment horizontal="center"/>
    </xf>
    <xf numFmtId="176" fontId="3" fillId="0" borderId="0" xfId="2" applyFont="1" applyFill="1" applyBorder="1" applyAlignment="1">
      <alignment horizontal="center"/>
    </xf>
    <xf numFmtId="179" fontId="7" fillId="0" borderId="0" xfId="3" applyNumberFormat="1" applyFont="1" applyFill="1" applyBorder="1" applyAlignment="1">
      <alignment horizontal="center"/>
    </xf>
    <xf numFmtId="179" fontId="7" fillId="0" borderId="0" xfId="3" applyNumberFormat="1" applyFont="1" applyFill="1" applyBorder="1" applyAlignment="1"/>
    <xf numFmtId="10" fontId="3" fillId="0" borderId="0" xfId="3" applyNumberFormat="1" applyFont="1" applyFill="1" applyAlignment="1">
      <alignment horizontal="center"/>
    </xf>
    <xf numFmtId="181" fontId="7" fillId="0" borderId="0" xfId="3" applyNumberFormat="1" applyFont="1" applyFill="1" applyBorder="1" applyAlignment="1">
      <alignment horizontal="center"/>
    </xf>
    <xf numFmtId="179" fontId="7" fillId="0" borderId="0" xfId="3" applyNumberFormat="1" applyFont="1" applyFill="1"/>
    <xf numFmtId="10" fontId="7" fillId="0" borderId="0" xfId="89" applyNumberFormat="1" applyFont="1" applyFill="1" applyBorder="1" applyAlignment="1">
      <alignment horizontal="center"/>
    </xf>
    <xf numFmtId="180" fontId="7" fillId="0" borderId="0" xfId="2" applyNumberFormat="1" applyFont="1" applyFill="1" applyBorder="1" applyAlignment="1">
      <alignment horizontal="center"/>
    </xf>
    <xf numFmtId="10" fontId="7" fillId="0" borderId="0" xfId="3" applyNumberFormat="1" applyFont="1" applyFill="1" applyBorder="1" applyAlignment="1">
      <alignment horizontal="center"/>
    </xf>
    <xf numFmtId="1" fontId="7" fillId="0" borderId="0" xfId="2" applyNumberFormat="1" applyFont="1" applyFill="1"/>
    <xf numFmtId="176" fontId="9" fillId="0" borderId="0" xfId="2" applyFont="1" applyFill="1"/>
    <xf numFmtId="10" fontId="3" fillId="0" borderId="0" xfId="2" applyNumberFormat="1" applyFont="1" applyFill="1" applyBorder="1" applyAlignment="1">
      <alignment horizontal="right"/>
    </xf>
    <xf numFmtId="43" fontId="3" fillId="0" borderId="0" xfId="2" applyNumberFormat="1" applyFont="1" applyFill="1" applyBorder="1" applyAlignment="1" applyProtection="1">
      <alignment horizontal="right"/>
      <protection locked="0"/>
    </xf>
    <xf numFmtId="43" fontId="3" fillId="0" borderId="0" xfId="47" applyNumberFormat="1" applyFont="1"/>
    <xf numFmtId="10" fontId="3" fillId="0" borderId="0" xfId="47" applyNumberFormat="1" applyFont="1"/>
    <xf numFmtId="176" fontId="16" fillId="0" borderId="0" xfId="47" applyNumberFormat="1" applyFont="1"/>
    <xf numFmtId="176" fontId="17" fillId="0" borderId="0" xfId="47" applyNumberFormat="1" applyFont="1"/>
    <xf numFmtId="41" fontId="17" fillId="0" borderId="0" xfId="47" applyNumberFormat="1" applyFont="1"/>
    <xf numFmtId="177" fontId="4" fillId="0" borderId="0" xfId="2" applyNumberFormat="1" applyFont="1" applyFill="1" applyAlignment="1">
      <alignment horizontal="center"/>
    </xf>
    <xf numFmtId="176" fontId="4" fillId="0" borderId="0" xfId="89" applyNumberFormat="1" applyFont="1" applyFill="1" applyAlignment="1">
      <alignment horizontal="right"/>
    </xf>
    <xf numFmtId="177" fontId="16" fillId="0" borderId="0" xfId="2" applyNumberFormat="1" applyFont="1" applyFill="1" applyAlignment="1">
      <alignment horizontal="center"/>
    </xf>
    <xf numFmtId="0" fontId="18" fillId="0" borderId="0" xfId="47" applyFont="1" applyAlignment="1">
      <alignment horizontal="center" vertical="center" shrinkToFit="1"/>
    </xf>
    <xf numFmtId="177" fontId="17" fillId="0" borderId="0" xfId="2" applyNumberFormat="1" applyFont="1" applyFill="1" applyAlignment="1">
      <alignment horizontal="center"/>
    </xf>
    <xf numFmtId="43" fontId="3" fillId="0" borderId="0" xfId="115" applyNumberFormat="1" applyFont="1" applyFill="1" applyBorder="1" applyAlignment="1">
      <alignment horizontal="right"/>
    </xf>
    <xf numFmtId="41" fontId="16" fillId="0" borderId="0" xfId="47" applyNumberFormat="1" applyFont="1"/>
    <xf numFmtId="41" fontId="9" fillId="0" borderId="0" xfId="47" applyNumberFormat="1" applyFont="1"/>
    <xf numFmtId="179" fontId="7" fillId="0" borderId="2" xfId="3" applyNumberFormat="1" applyFont="1" applyFill="1" applyBorder="1" applyAlignment="1"/>
    <xf numFmtId="176" fontId="9" fillId="0" borderId="1" xfId="47" applyNumberFormat="1" applyFont="1" applyBorder="1"/>
    <xf numFmtId="176" fontId="7" fillId="0" borderId="2" xfId="47" applyNumberFormat="1" applyFont="1" applyBorder="1"/>
    <xf numFmtId="1" fontId="3" fillId="0" borderId="0" xfId="2" applyNumberFormat="1" applyFont="1" applyFill="1"/>
    <xf numFmtId="176" fontId="9" fillId="0" borderId="0" xfId="2" applyFont="1" applyFill="1" applyBorder="1"/>
    <xf numFmtId="176" fontId="9" fillId="0" borderId="3" xfId="2" applyFont="1" applyFill="1" applyBorder="1"/>
    <xf numFmtId="176" fontId="9" fillId="0" borderId="2" xfId="2" applyFont="1" applyFill="1" applyBorder="1"/>
    <xf numFmtId="41" fontId="10" fillId="0" borderId="0" xfId="47" applyNumberFormat="1" applyFont="1"/>
    <xf numFmtId="1" fontId="19" fillId="0" borderId="0" xfId="2" applyNumberFormat="1" applyFont="1" applyFill="1"/>
    <xf numFmtId="180" fontId="19" fillId="0" borderId="0" xfId="2" applyNumberFormat="1" applyFont="1" applyFill="1"/>
    <xf numFmtId="179" fontId="9" fillId="0" borderId="0" xfId="3" applyNumberFormat="1" applyFont="1" applyFill="1"/>
    <xf numFmtId="180" fontId="7" fillId="0" borderId="2" xfId="2" applyNumberFormat="1" applyFont="1" applyFill="1" applyBorder="1"/>
    <xf numFmtId="176" fontId="7" fillId="0" borderId="2" xfId="2" applyFont="1" applyFill="1" applyBorder="1"/>
    <xf numFmtId="180" fontId="9" fillId="0" borderId="0" xfId="2" applyNumberFormat="1" applyFont="1" applyFill="1"/>
    <xf numFmtId="182" fontId="3" fillId="0" borderId="0" xfId="2" applyNumberFormat="1" applyFont="1" applyFill="1"/>
    <xf numFmtId="182" fontId="7" fillId="0" borderId="2" xfId="2" applyNumberFormat="1" applyFont="1" applyFill="1" applyBorder="1"/>
    <xf numFmtId="179" fontId="7" fillId="0" borderId="1" xfId="3" applyNumberFormat="1" applyFont="1" applyFill="1" applyBorder="1" applyAlignment="1"/>
    <xf numFmtId="179" fontId="17" fillId="0" borderId="0" xfId="47" applyNumberFormat="1" applyFont="1"/>
    <xf numFmtId="179" fontId="1" fillId="0" borderId="0" xfId="47" applyNumberFormat="1" applyFont="1" applyAlignment="1">
      <alignment horizontal="center" vertical="center"/>
    </xf>
    <xf numFmtId="179" fontId="16" fillId="0" borderId="0" xfId="47" applyNumberFormat="1" applyFont="1"/>
    <xf numFmtId="179" fontId="9" fillId="2" borderId="0" xfId="47" applyNumberFormat="1" applyFont="1" applyFill="1"/>
    <xf numFmtId="176" fontId="7" fillId="0" borderId="0" xfId="2" applyFont="1" applyFill="1"/>
    <xf numFmtId="176" fontId="19" fillId="0" borderId="0" xfId="47" applyNumberFormat="1" applyFont="1"/>
    <xf numFmtId="0" fontId="7" fillId="0" borderId="0" xfId="47" applyFont="1" applyAlignment="1">
      <alignment horizontal="left" wrapText="1"/>
    </xf>
    <xf numFmtId="10" fontId="9" fillId="0" borderId="0" xfId="47" applyNumberFormat="1" applyFont="1"/>
    <xf numFmtId="176" fontId="20" fillId="0" borderId="0" xfId="47" applyNumberFormat="1" applyFont="1"/>
    <xf numFmtId="176" fontId="13" fillId="0" borderId="0" xfId="47" applyNumberFormat="1" applyFont="1"/>
    <xf numFmtId="14" fontId="4" fillId="0" borderId="0" xfId="47" applyNumberFormat="1" applyFont="1" applyAlignment="1">
      <alignment horizontal="center" vertical="center" shrinkToFit="1"/>
    </xf>
    <xf numFmtId="0" fontId="21" fillId="0" borderId="0" xfId="47" applyFont="1" applyAlignment="1">
      <alignment horizontal="center" vertical="center" shrinkToFit="1"/>
    </xf>
    <xf numFmtId="177" fontId="13" fillId="0" borderId="0" xfId="2" applyNumberFormat="1" applyFont="1" applyFill="1" applyAlignment="1">
      <alignment horizontal="center"/>
    </xf>
    <xf numFmtId="176" fontId="8" fillId="0" borderId="0" xfId="115" applyFont="1" applyFill="1" applyAlignment="1">
      <alignment horizontal="center" wrapText="1"/>
    </xf>
    <xf numFmtId="0" fontId="3" fillId="0" borderId="0" xfId="0" applyFont="1" applyAlignment="1">
      <alignment horizontal="left" shrinkToFit="1"/>
    </xf>
    <xf numFmtId="41" fontId="13" fillId="0" borderId="0" xfId="47" applyNumberFormat="1" applyFont="1"/>
    <xf numFmtId="179" fontId="13" fillId="0" borderId="0" xfId="47" applyNumberFormat="1" applyFont="1"/>
    <xf numFmtId="49" fontId="4" fillId="0" borderId="0" xfId="47" applyNumberFormat="1" applyFont="1" applyAlignment="1">
      <alignment horizontal="center" vertical="center" shrinkToFit="1"/>
    </xf>
    <xf numFmtId="179" fontId="2" fillId="0" borderId="0" xfId="47" applyNumberFormat="1" applyFont="1"/>
    <xf numFmtId="176" fontId="3" fillId="2" borderId="0" xfId="47" applyNumberFormat="1" applyFont="1" applyFill="1" applyAlignment="1">
      <alignment horizontal="center"/>
    </xf>
    <xf numFmtId="179" fontId="3" fillId="0" borderId="0" xfId="3" applyNumberFormat="1" applyFont="1" applyFill="1" applyAlignment="1">
      <alignment horizontal="right"/>
    </xf>
    <xf numFmtId="179" fontId="7" fillId="0" borderId="0" xfId="3" applyNumberFormat="1" applyFont="1" applyFill="1" applyBorder="1"/>
    <xf numFmtId="176" fontId="7" fillId="0" borderId="0" xfId="2" applyFont="1" applyFill="1" applyAlignment="1">
      <alignment horizontal="left"/>
    </xf>
    <xf numFmtId="180" fontId="7" fillId="0" borderId="0" xfId="2" applyNumberFormat="1" applyFont="1" applyFill="1" applyAlignment="1">
      <alignment horizontal="center"/>
    </xf>
    <xf numFmtId="179" fontId="7" fillId="0" borderId="0" xfId="3" applyNumberFormat="1" applyFont="1" applyFill="1" applyAlignment="1">
      <alignment horizontal="right"/>
    </xf>
    <xf numFmtId="176" fontId="7" fillId="0" borderId="0" xfId="2" applyFont="1" applyFill="1" applyAlignment="1">
      <alignment horizontal="right"/>
    </xf>
    <xf numFmtId="182" fontId="7" fillId="0" borderId="0" xfId="2" applyNumberFormat="1" applyFont="1" applyFill="1" applyAlignment="1">
      <alignment horizontal="right"/>
    </xf>
    <xf numFmtId="0" fontId="3" fillId="0" borderId="0" xfId="0" applyFont="1"/>
    <xf numFmtId="0" fontId="7" fillId="0" borderId="0" xfId="0" applyFont="1"/>
    <xf numFmtId="0" fontId="1" fillId="0" borderId="0" xfId="0" applyFont="1" applyAlignment="1">
      <alignment horizontal="center" shrinkToFit="1"/>
    </xf>
    <xf numFmtId="0" fontId="1" fillId="0" borderId="0" xfId="0" applyFont="1" applyAlignment="1">
      <alignment horizontal="center"/>
    </xf>
    <xf numFmtId="9" fontId="1" fillId="0" borderId="0" xfId="3" applyFont="1" applyFill="1" applyAlignment="1">
      <alignment horizontal="center"/>
    </xf>
    <xf numFmtId="0" fontId="1" fillId="0" borderId="0" xfId="0" applyFont="1"/>
    <xf numFmtId="179" fontId="1" fillId="0" borderId="0" xfId="0" applyNumberFormat="1" applyFont="1"/>
    <xf numFmtId="0" fontId="6" fillId="0" borderId="0" xfId="47" applyFont="1" applyAlignment="1">
      <alignment horizontal="center" vertical="center"/>
    </xf>
    <xf numFmtId="0" fontId="6" fillId="0" borderId="0" xfId="0" applyFont="1" applyAlignment="1">
      <alignment horizontal="center" shrinkToFit="1"/>
    </xf>
    <xf numFmtId="0" fontId="5" fillId="0" borderId="0" xfId="0" applyFont="1" applyAlignment="1">
      <alignment horizontal="center" shrinkToFit="1"/>
    </xf>
    <xf numFmtId="0" fontId="6" fillId="0" borderId="0" xfId="0" applyFont="1" applyAlignment="1">
      <alignment horizontal="center"/>
    </xf>
    <xf numFmtId="0" fontId="4" fillId="0" borderId="0" xfId="0" applyFont="1" applyAlignment="1">
      <alignment horizontal="center" shrinkToFit="1"/>
    </xf>
    <xf numFmtId="9" fontId="6" fillId="0" borderId="0" xfId="3" applyFont="1" applyFill="1" applyAlignment="1">
      <alignment horizontal="right"/>
    </xf>
    <xf numFmtId="0" fontId="3" fillId="0" borderId="0" xfId="0" applyFont="1" applyAlignment="1">
      <alignment horizontal="center" shrinkToFit="1"/>
    </xf>
    <xf numFmtId="0" fontId="7" fillId="0" borderId="0" xfId="0" applyFont="1" applyAlignment="1">
      <alignment horizontal="center" shrinkToFit="1"/>
    </xf>
    <xf numFmtId="0" fontId="7" fillId="0" borderId="0" xfId="0" applyFont="1" applyAlignment="1">
      <alignment horizontal="left" shrinkToFit="1"/>
    </xf>
    <xf numFmtId="0" fontId="7" fillId="0" borderId="0" xfId="59" applyFont="1" applyAlignment="1">
      <alignment horizontal="left" shrinkToFit="1"/>
    </xf>
    <xf numFmtId="176" fontId="7" fillId="0" borderId="2" xfId="115" applyFont="1" applyFill="1" applyBorder="1" applyAlignment="1">
      <alignment horizontal="right"/>
    </xf>
    <xf numFmtId="176" fontId="3" fillId="0" borderId="0" xfId="115" applyFont="1" applyFill="1" applyAlignment="1">
      <alignment horizontal="right"/>
    </xf>
    <xf numFmtId="176" fontId="7" fillId="0" borderId="0" xfId="115" applyFont="1" applyFill="1" applyBorder="1" applyAlignment="1">
      <alignment horizontal="right"/>
    </xf>
    <xf numFmtId="0" fontId="7" fillId="0" borderId="0" xfId="46" applyFont="1" applyAlignment="1">
      <alignment horizontal="left" shrinkToFit="1"/>
    </xf>
    <xf numFmtId="179" fontId="7" fillId="0" borderId="0" xfId="3" applyNumberFormat="1" applyFont="1" applyFill="1" applyBorder="1" applyAlignment="1">
      <alignment horizontal="right"/>
    </xf>
    <xf numFmtId="176" fontId="3" fillId="0" borderId="0" xfId="115" applyFont="1" applyFill="1" applyBorder="1" applyAlignment="1">
      <alignment horizontal="right"/>
    </xf>
    <xf numFmtId="176" fontId="7" fillId="0" borderId="3" xfId="2" applyFont="1" applyFill="1" applyBorder="1" applyAlignment="1">
      <alignment horizontal="right"/>
    </xf>
    <xf numFmtId="0" fontId="3" fillId="0" borderId="0" xfId="46" applyFont="1" applyAlignment="1">
      <alignment horizontal="left" shrinkToFit="1"/>
    </xf>
    <xf numFmtId="176" fontId="7" fillId="0" borderId="4" xfId="2" applyFont="1" applyFill="1" applyBorder="1" applyAlignment="1">
      <alignment horizontal="right"/>
    </xf>
    <xf numFmtId="176" fontId="3" fillId="0" borderId="0" xfId="0" applyNumberFormat="1" applyFont="1" applyAlignment="1">
      <alignment horizontal="center"/>
    </xf>
    <xf numFmtId="0" fontId="3" fillId="0" borderId="0" xfId="0" applyFont="1" applyAlignment="1">
      <alignment horizontal="center"/>
    </xf>
    <xf numFmtId="9" fontId="3" fillId="0" borderId="0" xfId="3" applyFont="1" applyFill="1" applyAlignment="1">
      <alignment horizontal="center"/>
    </xf>
    <xf numFmtId="9" fontId="22" fillId="0" borderId="0" xfId="3" applyFont="1" applyFill="1" applyAlignment="1">
      <alignment horizontal="center"/>
    </xf>
    <xf numFmtId="176" fontId="3" fillId="0" borderId="0" xfId="2" applyFont="1" applyFill="1" applyAlignment="1"/>
    <xf numFmtId="179" fontId="3" fillId="0" borderId="0" xfId="0" applyNumberFormat="1" applyFont="1" applyAlignment="1">
      <alignment horizontal="center"/>
    </xf>
    <xf numFmtId="179" fontId="3" fillId="0" borderId="0" xfId="3" applyNumberFormat="1" applyFont="1" applyFill="1" applyAlignment="1"/>
    <xf numFmtId="183" fontId="3" fillId="0" borderId="0" xfId="0" applyNumberFormat="1" applyFont="1"/>
    <xf numFmtId="179" fontId="3" fillId="0" borderId="0" xfId="0" applyNumberFormat="1" applyFont="1"/>
    <xf numFmtId="176" fontId="3" fillId="0" borderId="0" xfId="0" applyNumberFormat="1" applyFont="1"/>
    <xf numFmtId="43" fontId="3" fillId="0" borderId="0" xfId="2" applyNumberFormat="1" applyFont="1" applyFill="1" applyAlignment="1"/>
    <xf numFmtId="10" fontId="7" fillId="0" borderId="0" xfId="3" applyNumberFormat="1" applyFont="1" applyFill="1" applyBorder="1" applyAlignment="1">
      <alignment horizontal="right"/>
    </xf>
    <xf numFmtId="180" fontId="3" fillId="0" borderId="0" xfId="2" applyNumberFormat="1" applyFont="1" applyFill="1" applyAlignment="1"/>
    <xf numFmtId="182" fontId="7" fillId="0" borderId="0" xfId="2" applyNumberFormat="1" applyFont="1" applyFill="1" applyBorder="1" applyAlignment="1">
      <alignment horizontal="right"/>
    </xf>
    <xf numFmtId="176" fontId="7" fillId="0" borderId="0" xfId="2" applyFont="1" applyFill="1" applyAlignment="1">
      <alignment horizontal="center"/>
    </xf>
    <xf numFmtId="180" fontId="7" fillId="0" borderId="0" xfId="2" applyNumberFormat="1" applyFont="1" applyFill="1" applyAlignment="1"/>
    <xf numFmtId="184" fontId="1" fillId="0" borderId="0" xfId="3" applyNumberFormat="1" applyFont="1" applyFill="1" applyAlignment="1">
      <alignment horizontal="center"/>
    </xf>
    <xf numFmtId="183" fontId="1" fillId="0" borderId="0" xfId="0" applyNumberFormat="1" applyFont="1"/>
    <xf numFmtId="176" fontId="7" fillId="0" borderId="0" xfId="2" applyFont="1" applyFill="1" applyAlignment="1"/>
    <xf numFmtId="1" fontId="7" fillId="0" borderId="0" xfId="2" applyNumberFormat="1" applyFont="1" applyFill="1" applyAlignment="1"/>
    <xf numFmtId="10" fontId="7" fillId="2" borderId="0" xfId="0" applyNumberFormat="1" applyFont="1" applyFill="1"/>
    <xf numFmtId="0" fontId="2" fillId="0" borderId="0" xfId="0" applyFont="1"/>
    <xf numFmtId="0" fontId="23" fillId="0" borderId="0" xfId="0" applyFont="1"/>
    <xf numFmtId="0" fontId="24" fillId="0" borderId="5" xfId="81" applyFont="1" applyBorder="1" applyAlignment="1">
      <alignment vertical="center"/>
    </xf>
    <xf numFmtId="0" fontId="24" fillId="0" borderId="6" xfId="82" applyFont="1" applyBorder="1" applyAlignment="1">
      <alignment horizontal="center"/>
    </xf>
    <xf numFmtId="0" fontId="25" fillId="0" borderId="0" xfId="0" applyFont="1"/>
    <xf numFmtId="0" fontId="24" fillId="0" borderId="7" xfId="81" applyFont="1" applyBorder="1" applyAlignment="1">
      <alignment vertical="center"/>
    </xf>
    <xf numFmtId="0" fontId="24" fillId="0" borderId="8" xfId="82" applyFont="1" applyBorder="1" applyAlignment="1">
      <alignment horizontal="center"/>
    </xf>
    <xf numFmtId="0" fontId="26" fillId="0" borderId="7" xfId="81" applyFont="1" applyBorder="1" applyAlignment="1">
      <alignment vertical="center"/>
    </xf>
    <xf numFmtId="0" fontId="26" fillId="0" borderId="8" xfId="81" applyFont="1" applyBorder="1" applyAlignment="1">
      <alignment horizontal="center" vertical="center"/>
    </xf>
    <xf numFmtId="0" fontId="24" fillId="0" borderId="7" xfId="81" applyFont="1" applyBorder="1"/>
    <xf numFmtId="0" fontId="26" fillId="3" borderId="8" xfId="81" applyFont="1" applyFill="1" applyBorder="1" applyAlignment="1">
      <alignment horizontal="center" vertical="center"/>
    </xf>
    <xf numFmtId="0" fontId="26" fillId="4" borderId="8" xfId="81" applyFont="1" applyFill="1" applyBorder="1" applyAlignment="1">
      <alignment horizontal="center" vertical="center"/>
    </xf>
    <xf numFmtId="0" fontId="27" fillId="0" borderId="0" xfId="0" applyFont="1"/>
    <xf numFmtId="0" fontId="28" fillId="0" borderId="0" xfId="0" applyFont="1"/>
    <xf numFmtId="0" fontId="24" fillId="0" borderId="9" xfId="81" applyFont="1" applyBorder="1" applyAlignment="1">
      <alignment vertical="center"/>
    </xf>
    <xf numFmtId="0" fontId="26" fillId="0" borderId="10" xfId="81" applyFont="1" applyBorder="1" applyAlignment="1">
      <alignment horizontal="center" vertical="center"/>
    </xf>
    <xf numFmtId="14" fontId="23" fillId="0" borderId="0" xfId="0" applyNumberFormat="1" applyFont="1"/>
    <xf numFmtId="0" fontId="29" fillId="0" borderId="0" xfId="0" applyFont="1"/>
    <xf numFmtId="0" fontId="30" fillId="0" borderId="0" xfId="0" applyFont="1"/>
    <xf numFmtId="14" fontId="30" fillId="0" borderId="0" xfId="0" applyNumberFormat="1" applyFont="1"/>
    <xf numFmtId="176" fontId="3" fillId="0" borderId="0" xfId="47" quotePrefix="1" applyNumberFormat="1" applyFont="1" applyAlignment="1">
      <alignment wrapText="1"/>
    </xf>
    <xf numFmtId="176" fontId="3" fillId="0" borderId="0" xfId="47" quotePrefix="1" applyNumberFormat="1" applyFont="1"/>
    <xf numFmtId="0" fontId="3" fillId="0" borderId="0" xfId="47" quotePrefix="1" applyFont="1" applyAlignment="1">
      <alignment wrapText="1"/>
    </xf>
    <xf numFmtId="0" fontId="7" fillId="0" borderId="0" xfId="47" quotePrefix="1" applyFont="1" applyAlignment="1">
      <alignment wrapText="1"/>
    </xf>
    <xf numFmtId="0" fontId="3" fillId="0" borderId="0" xfId="47" quotePrefix="1" applyFont="1"/>
    <xf numFmtId="0" fontId="13" fillId="0" borderId="0" xfId="47" quotePrefix="1" applyFont="1" applyAlignment="1">
      <alignment wrapText="1"/>
    </xf>
    <xf numFmtId="9" fontId="58" fillId="0" borderId="0" xfId="0" applyNumberFormat="1" applyFont="1"/>
    <xf numFmtId="0" fontId="59" fillId="0" borderId="0" xfId="0" applyFont="1"/>
    <xf numFmtId="179" fontId="60" fillId="0" borderId="0" xfId="3" applyNumberFormat="1" applyFont="1" applyFill="1" applyAlignment="1">
      <alignment horizontal="right"/>
    </xf>
    <xf numFmtId="176" fontId="3" fillId="27" borderId="0" xfId="47" applyNumberFormat="1" applyFont="1" applyFill="1" applyAlignment="1">
      <alignment horizontal="left"/>
    </xf>
    <xf numFmtId="176" fontId="3" fillId="27" borderId="0" xfId="2" applyFont="1" applyFill="1" applyBorder="1" applyAlignment="1"/>
    <xf numFmtId="176" fontId="3" fillId="27" borderId="0" xfId="47" applyNumberFormat="1" applyFont="1" applyFill="1"/>
    <xf numFmtId="176" fontId="14" fillId="0" borderId="0" xfId="47" applyNumberFormat="1" applyFont="1"/>
    <xf numFmtId="10" fontId="7" fillId="0" borderId="0" xfId="0" applyNumberFormat="1" applyFont="1"/>
    <xf numFmtId="0" fontId="7" fillId="27" borderId="0" xfId="0" applyFont="1" applyFill="1" applyAlignment="1">
      <alignment horizontal="left" shrinkToFit="1"/>
    </xf>
    <xf numFmtId="186" fontId="7" fillId="27" borderId="0" xfId="2" applyNumberFormat="1" applyFont="1" applyFill="1" applyAlignment="1"/>
    <xf numFmtId="185" fontId="7" fillId="27" borderId="0" xfId="0" applyNumberFormat="1" applyFont="1" applyFill="1"/>
    <xf numFmtId="0" fontId="55" fillId="28" borderId="0" xfId="0" applyFont="1" applyFill="1" applyAlignment="1">
      <alignment horizontal="left" shrinkToFit="1"/>
    </xf>
    <xf numFmtId="187" fontId="7" fillId="28" borderId="0" xfId="2" applyNumberFormat="1" applyFont="1" applyFill="1" applyAlignment="1"/>
    <xf numFmtId="187" fontId="7" fillId="28" borderId="0" xfId="0" applyNumberFormat="1" applyFont="1" applyFill="1"/>
    <xf numFmtId="41" fontId="3" fillId="0" borderId="0" xfId="2" applyNumberFormat="1" applyFont="1" applyFill="1" applyBorder="1" applyAlignment="1">
      <alignment horizontal="right"/>
    </xf>
    <xf numFmtId="180" fontId="7" fillId="29" borderId="0" xfId="2" applyNumberFormat="1" applyFont="1" applyFill="1" applyBorder="1" applyAlignment="1"/>
    <xf numFmtId="176" fontId="3" fillId="29" borderId="0" xfId="2" applyFont="1" applyFill="1" applyAlignment="1">
      <alignment horizontal="center"/>
    </xf>
    <xf numFmtId="10" fontId="7" fillId="0" borderId="0" xfId="3" applyNumberFormat="1" applyFont="1" applyFill="1" applyBorder="1"/>
    <xf numFmtId="176" fontId="3" fillId="30" borderId="0" xfId="2" applyFont="1" applyFill="1" applyBorder="1"/>
    <xf numFmtId="177" fontId="63" fillId="0" borderId="0" xfId="2" applyNumberFormat="1" applyFont="1" applyFill="1" applyAlignment="1">
      <alignment horizontal="center"/>
    </xf>
    <xf numFmtId="176" fontId="63" fillId="0" borderId="0" xfId="47" applyNumberFormat="1" applyFont="1"/>
    <xf numFmtId="177" fontId="64" fillId="0" borderId="0" xfId="2" applyNumberFormat="1" applyFont="1" applyFill="1" applyAlignment="1">
      <alignment horizontal="center"/>
    </xf>
    <xf numFmtId="176" fontId="64" fillId="0" borderId="0" xfId="47" applyNumberFormat="1" applyFont="1"/>
    <xf numFmtId="176" fontId="65" fillId="0" borderId="0" xfId="47" applyNumberFormat="1" applyFont="1"/>
    <xf numFmtId="177" fontId="66" fillId="0" borderId="0" xfId="2" applyNumberFormat="1" applyFont="1" applyFill="1" applyAlignment="1">
      <alignment horizontal="center"/>
    </xf>
    <xf numFmtId="176" fontId="66" fillId="0" borderId="0" xfId="89" applyNumberFormat="1" applyFont="1" applyFill="1" applyAlignment="1">
      <alignment horizontal="right"/>
    </xf>
    <xf numFmtId="176" fontId="20" fillId="0" borderId="0" xfId="2" applyFont="1" applyFill="1"/>
    <xf numFmtId="177" fontId="60" fillId="0" borderId="0" xfId="2" applyNumberFormat="1" applyFont="1" applyFill="1" applyBorder="1" applyAlignment="1">
      <alignment horizontal="right"/>
    </xf>
    <xf numFmtId="177" fontId="67" fillId="0" borderId="0" xfId="2" applyNumberFormat="1" applyFont="1" applyFill="1" applyBorder="1" applyAlignment="1">
      <alignment horizontal="right"/>
    </xf>
    <xf numFmtId="0" fontId="3" fillId="2" borderId="0" xfId="0" applyFont="1" applyFill="1"/>
    <xf numFmtId="0" fontId="7" fillId="2" borderId="0" xfId="0" applyFont="1" applyFill="1"/>
    <xf numFmtId="185" fontId="7" fillId="2" borderId="0" xfId="0" applyNumberFormat="1" applyFont="1" applyFill="1"/>
    <xf numFmtId="177" fontId="58" fillId="0" borderId="0" xfId="2" applyNumberFormat="1" applyFont="1" applyFill="1" applyBorder="1" applyAlignment="1">
      <alignment horizontal="right"/>
    </xf>
    <xf numFmtId="177" fontId="68" fillId="0" borderId="0" xfId="2" applyNumberFormat="1" applyFont="1" applyFill="1" applyAlignment="1">
      <alignment horizontal="center"/>
    </xf>
    <xf numFmtId="0" fontId="2" fillId="0" borderId="0" xfId="2" applyNumberFormat="1" applyFont="1" applyFill="1" applyAlignment="1">
      <alignment horizontal="left"/>
    </xf>
    <xf numFmtId="176" fontId="7" fillId="0" borderId="2" xfId="2" applyNumberFormat="1" applyFont="1" applyFill="1" applyBorder="1" applyAlignment="1"/>
    <xf numFmtId="188" fontId="7" fillId="0" borderId="2" xfId="2" applyNumberFormat="1" applyFont="1" applyFill="1" applyBorder="1" applyAlignment="1"/>
    <xf numFmtId="186" fontId="3" fillId="0" borderId="0" xfId="2" applyNumberFormat="1" applyFont="1" applyFill="1" applyBorder="1" applyAlignment="1"/>
    <xf numFmtId="176" fontId="7" fillId="2" borderId="2" xfId="2" applyNumberFormat="1" applyFont="1" applyFill="1" applyBorder="1" applyAlignment="1"/>
    <xf numFmtId="176" fontId="9" fillId="0" borderId="0" xfId="2" applyFont="1"/>
    <xf numFmtId="176" fontId="3" fillId="0" borderId="0" xfId="2" applyFont="1"/>
    <xf numFmtId="176" fontId="69" fillId="0" borderId="0" xfId="47" applyNumberFormat="1" applyFont="1"/>
    <xf numFmtId="176" fontId="69" fillId="0" borderId="0" xfId="47" applyNumberFormat="1" applyFont="1" applyAlignment="1">
      <alignment horizontal="center"/>
    </xf>
    <xf numFmtId="177" fontId="2" fillId="31" borderId="0" xfId="2" applyNumberFormat="1" applyFont="1" applyFill="1" applyAlignment="1">
      <alignment horizontal="center"/>
    </xf>
    <xf numFmtId="176" fontId="2" fillId="0" borderId="0" xfId="2" applyFont="1" applyFill="1" applyAlignment="1">
      <alignment horizontal="center"/>
    </xf>
    <xf numFmtId="176" fontId="2" fillId="0" borderId="0" xfId="2" applyFont="1"/>
    <xf numFmtId="185" fontId="12" fillId="0" borderId="0" xfId="2" applyNumberFormat="1" applyFont="1" applyFill="1" applyAlignment="1">
      <alignment horizontal="right"/>
    </xf>
    <xf numFmtId="176" fontId="69" fillId="0" borderId="0" xfId="2" applyFont="1" applyFill="1" applyAlignment="1">
      <alignment horizontal="center"/>
    </xf>
    <xf numFmtId="176" fontId="1" fillId="2" borderId="0" xfId="47" applyNumberFormat="1" applyFont="1" applyFill="1" applyAlignment="1">
      <alignment horizontal="center"/>
    </xf>
    <xf numFmtId="176" fontId="2" fillId="2" borderId="0" xfId="2" applyFont="1" applyFill="1" applyAlignment="1">
      <alignment horizontal="center"/>
    </xf>
    <xf numFmtId="41" fontId="3" fillId="2" borderId="0" xfId="47" applyNumberFormat="1" applyFont="1" applyFill="1"/>
    <xf numFmtId="176" fontId="2" fillId="0" borderId="0" xfId="47" applyNumberFormat="1" applyFont="1" applyFill="1"/>
    <xf numFmtId="0" fontId="3" fillId="0" borderId="0" xfId="47" applyFont="1" applyAlignment="1">
      <alignment horizontal="center" vertical="center"/>
    </xf>
    <xf numFmtId="0" fontId="3" fillId="0" borderId="0" xfId="2" applyNumberFormat="1" applyFont="1" applyFill="1" applyAlignment="1">
      <alignment horizontal="center" vertical="center"/>
    </xf>
    <xf numFmtId="0" fontId="19" fillId="0" borderId="0" xfId="47" applyFont="1" applyAlignment="1">
      <alignment horizontal="center" vertical="center" shrinkToFit="1"/>
    </xf>
    <xf numFmtId="177" fontId="19" fillId="0" borderId="0" xfId="2" applyNumberFormat="1" applyFont="1" applyFill="1" applyAlignment="1">
      <alignment horizontal="center"/>
    </xf>
    <xf numFmtId="176" fontId="19" fillId="0" borderId="0" xfId="89" applyNumberFormat="1" applyFont="1" applyFill="1" applyAlignment="1">
      <alignment horizontal="right"/>
    </xf>
    <xf numFmtId="177" fontId="9" fillId="0" borderId="0" xfId="2" applyNumberFormat="1" applyFont="1" applyFill="1" applyAlignment="1">
      <alignment horizontal="center"/>
    </xf>
    <xf numFmtId="49" fontId="7" fillId="0" borderId="0" xfId="0" applyNumberFormat="1" applyFont="1" applyAlignment="1">
      <alignment horizontal="center" shrinkToFit="1"/>
    </xf>
    <xf numFmtId="176" fontId="69" fillId="0" borderId="0" xfId="2" applyNumberFormat="1" applyFont="1"/>
    <xf numFmtId="176" fontId="69" fillId="0" borderId="0" xfId="2" applyFont="1"/>
    <xf numFmtId="176" fontId="9" fillId="0" borderId="0" xfId="2" applyNumberFormat="1" applyFont="1" applyFill="1"/>
    <xf numFmtId="176" fontId="1" fillId="0" borderId="0" xfId="2" applyFont="1" applyAlignment="1">
      <alignment horizontal="center" vertical="center"/>
    </xf>
    <xf numFmtId="176" fontId="1" fillId="0" borderId="0" xfId="2" applyFont="1"/>
    <xf numFmtId="176" fontId="3" fillId="0" borderId="0" xfId="2" applyFont="1" applyAlignment="1">
      <alignment horizontal="right"/>
    </xf>
    <xf numFmtId="176" fontId="3" fillId="2" borderId="0" xfId="2" applyFont="1" applyFill="1" applyAlignment="1">
      <alignment horizontal="right"/>
    </xf>
    <xf numFmtId="176" fontId="7" fillId="0" borderId="0" xfId="2" applyFont="1"/>
    <xf numFmtId="10" fontId="3" fillId="0" borderId="0" xfId="3" applyNumberFormat="1" applyFont="1"/>
    <xf numFmtId="10" fontId="7" fillId="0" borderId="0" xfId="3" applyNumberFormat="1" applyFont="1"/>
    <xf numFmtId="179" fontId="1" fillId="0" borderId="0" xfId="3" applyNumberFormat="1" applyFont="1"/>
    <xf numFmtId="10" fontId="1" fillId="0" borderId="0" xfId="3" applyNumberFormat="1" applyFont="1"/>
    <xf numFmtId="44" fontId="1" fillId="0" borderId="0" xfId="0" applyNumberFormat="1" applyFont="1"/>
    <xf numFmtId="0" fontId="70" fillId="0" borderId="0" xfId="0" applyFont="1" applyAlignment="1">
      <alignment horizontal="left"/>
    </xf>
    <xf numFmtId="0" fontId="70" fillId="0" borderId="0" xfId="0" applyFont="1"/>
    <xf numFmtId="176" fontId="2" fillId="2" borderId="0" xfId="2" applyNumberFormat="1" applyFont="1" applyFill="1" applyAlignment="1">
      <alignment horizontal="center"/>
    </xf>
    <xf numFmtId="176" fontId="7" fillId="0" borderId="2" xfId="2" applyNumberFormat="1" applyFont="1" applyFill="1" applyBorder="1" applyAlignment="1">
      <alignment horizontal="right"/>
    </xf>
    <xf numFmtId="176" fontId="7" fillId="0" borderId="0" xfId="2" applyNumberFormat="1" applyFont="1" applyFill="1" applyAlignment="1"/>
    <xf numFmtId="10" fontId="3" fillId="2" borderId="0" xfId="3" applyNumberFormat="1" applyFont="1" applyFill="1" applyAlignment="1"/>
    <xf numFmtId="176" fontId="9" fillId="0" borderId="0" xfId="47" applyNumberFormat="1" applyFont="1" applyFill="1"/>
    <xf numFmtId="176" fontId="3" fillId="0" borderId="0" xfId="2" applyFont="1" applyAlignment="1">
      <alignment horizontal="center"/>
    </xf>
    <xf numFmtId="176" fontId="3" fillId="0" borderId="0" xfId="2" applyNumberFormat="1" applyFont="1" applyFill="1"/>
    <xf numFmtId="189" fontId="3" fillId="0" borderId="0" xfId="3" applyNumberFormat="1" applyFont="1" applyFill="1"/>
    <xf numFmtId="2" fontId="7" fillId="0" borderId="0" xfId="47" applyNumberFormat="1" applyFont="1"/>
    <xf numFmtId="0" fontId="3" fillId="0" borderId="0" xfId="0" applyFont="1" applyFill="1" applyAlignment="1">
      <alignment horizontal="left" shrinkToFit="1"/>
    </xf>
    <xf numFmtId="0" fontId="3" fillId="0" borderId="0" xfId="0" applyFont="1" applyFill="1"/>
    <xf numFmtId="179" fontId="9" fillId="0" borderId="0" xfId="47" applyNumberFormat="1" applyFont="1" applyFill="1"/>
    <xf numFmtId="176" fontId="10" fillId="0" borderId="0" xfId="2" applyFont="1"/>
    <xf numFmtId="44" fontId="3" fillId="0" borderId="0" xfId="0" applyNumberFormat="1" applyFont="1"/>
    <xf numFmtId="44" fontId="1" fillId="0" borderId="0" xfId="0" applyNumberFormat="1" applyFont="1" applyAlignment="1">
      <alignment horizontal="center"/>
    </xf>
    <xf numFmtId="44" fontId="7" fillId="0" borderId="0" xfId="0" applyNumberFormat="1" applyFont="1"/>
    <xf numFmtId="176" fontId="7" fillId="0" borderId="4" xfId="2" applyNumberFormat="1" applyFont="1" applyFill="1" applyBorder="1" applyAlignment="1">
      <alignment horizontal="right"/>
    </xf>
    <xf numFmtId="176" fontId="3" fillId="0" borderId="0" xfId="2" applyNumberFormat="1" applyFont="1" applyFill="1" applyAlignment="1"/>
    <xf numFmtId="176" fontId="3" fillId="0" borderId="0" xfId="47" applyNumberFormat="1" applyFont="1" applyFill="1" applyAlignment="1">
      <alignment horizontal="left"/>
    </xf>
    <xf numFmtId="190" fontId="7" fillId="0" borderId="2" xfId="2" applyNumberFormat="1" applyFont="1" applyFill="1" applyBorder="1" applyAlignment="1">
      <alignment horizontal="right"/>
    </xf>
    <xf numFmtId="191" fontId="7" fillId="0" borderId="0" xfId="115" applyNumberFormat="1" applyFont="1" applyFill="1" applyBorder="1" applyAlignment="1">
      <alignment horizontal="right"/>
    </xf>
    <xf numFmtId="176" fontId="3" fillId="0" borderId="0" xfId="2" applyNumberFormat="1" applyFont="1" applyFill="1" applyBorder="1" applyAlignment="1">
      <alignment horizontal="right"/>
    </xf>
    <xf numFmtId="179" fontId="3" fillId="0" borderId="0" xfId="47" applyNumberFormat="1" applyFont="1" applyFill="1" applyAlignment="1">
      <alignment horizontal="center"/>
    </xf>
    <xf numFmtId="176" fontId="3" fillId="0" borderId="0" xfId="47" applyNumberFormat="1" applyFont="1" applyFill="1"/>
    <xf numFmtId="176" fontId="3" fillId="0" borderId="0" xfId="47" applyNumberFormat="1" applyFont="1" applyFill="1" applyAlignment="1">
      <alignment wrapText="1"/>
    </xf>
    <xf numFmtId="10" fontId="3" fillId="0" borderId="0" xfId="47" applyNumberFormat="1" applyFont="1" applyFill="1"/>
    <xf numFmtId="41" fontId="3" fillId="0" borderId="0" xfId="47" applyNumberFormat="1" applyFont="1" applyFill="1"/>
    <xf numFmtId="176" fontId="19" fillId="0" borderId="0" xfId="2" applyFont="1" applyFill="1"/>
    <xf numFmtId="176" fontId="54" fillId="0" borderId="0" xfId="47" applyNumberFormat="1" applyFont="1"/>
    <xf numFmtId="176" fontId="7" fillId="0" borderId="2" xfId="115" applyNumberFormat="1" applyFont="1" applyFill="1" applyBorder="1" applyAlignment="1">
      <alignment horizontal="right"/>
    </xf>
    <xf numFmtId="176" fontId="3" fillId="0" borderId="0" xfId="2" applyNumberFormat="1" applyFont="1" applyFill="1" applyBorder="1"/>
    <xf numFmtId="10" fontId="3" fillId="0" borderId="0" xfId="3" applyNumberFormat="1" applyFont="1" applyAlignment="1">
      <alignment horizontal="right"/>
    </xf>
    <xf numFmtId="176" fontId="1" fillId="0" borderId="0" xfId="2" applyFont="1" applyFill="1" applyAlignment="1">
      <alignment horizontal="center"/>
    </xf>
    <xf numFmtId="176" fontId="54" fillId="0" borderId="0" xfId="47" applyNumberFormat="1" applyFont="1" applyFill="1"/>
    <xf numFmtId="10" fontId="9" fillId="0" borderId="0" xfId="3" applyNumberFormat="1" applyFont="1"/>
    <xf numFmtId="0" fontId="3" fillId="0" borderId="0" xfId="0" applyFont="1" applyBorder="1" applyAlignment="1">
      <alignment horizontal="center"/>
    </xf>
    <xf numFmtId="176" fontId="7" fillId="0" borderId="0" xfId="47" applyNumberFormat="1" applyFont="1" applyBorder="1"/>
    <xf numFmtId="176" fontId="3" fillId="32" borderId="0" xfId="47" applyNumberFormat="1" applyFont="1" applyFill="1" applyAlignment="1">
      <alignment horizontal="left"/>
    </xf>
    <xf numFmtId="176" fontId="3" fillId="32" borderId="0" xfId="47" applyNumberFormat="1" applyFont="1" applyFill="1"/>
    <xf numFmtId="176" fontId="3" fillId="32" borderId="0" xfId="2" applyFont="1" applyFill="1"/>
    <xf numFmtId="43" fontId="3" fillId="0" borderId="0" xfId="0" applyNumberFormat="1" applyFont="1"/>
    <xf numFmtId="176" fontId="13" fillId="0" borderId="0" xfId="2" applyFont="1" applyFill="1" applyAlignment="1">
      <alignment horizontal="center"/>
    </xf>
    <xf numFmtId="10" fontId="3" fillId="0" borderId="0" xfId="3" applyNumberFormat="1" applyFont="1" applyFill="1"/>
    <xf numFmtId="0" fontId="7" fillId="0" borderId="0" xfId="0" applyFont="1" applyAlignment="1">
      <alignment horizontal="center"/>
    </xf>
    <xf numFmtId="176" fontId="3" fillId="0" borderId="0" xfId="47" applyNumberFormat="1" applyFont="1" applyAlignment="1">
      <alignment horizontal="center" vertical="center" wrapText="1"/>
    </xf>
    <xf numFmtId="176" fontId="3" fillId="0" borderId="0" xfId="2" applyFont="1" applyFill="1" applyAlignment="1">
      <alignment horizontal="center" wrapText="1"/>
    </xf>
    <xf numFmtId="176" fontId="3" fillId="0" borderId="0" xfId="2" applyFont="1" applyFill="1" applyAlignment="1">
      <alignment horizontal="center" vertical="center" wrapText="1"/>
    </xf>
    <xf numFmtId="176" fontId="16" fillId="0" borderId="0" xfId="2" applyFont="1"/>
    <xf numFmtId="176" fontId="17" fillId="0" borderId="0" xfId="2" applyFont="1"/>
    <xf numFmtId="176" fontId="3" fillId="0" borderId="0" xfId="2" applyFont="1" applyAlignment="1">
      <alignment horizontal="center" wrapText="1"/>
    </xf>
    <xf numFmtId="2" fontId="7" fillId="0" borderId="0" xfId="2" applyNumberFormat="1" applyFont="1" applyFill="1" applyBorder="1"/>
    <xf numFmtId="10" fontId="7" fillId="0" borderId="0" xfId="3" applyNumberFormat="1" applyFont="1" applyFill="1"/>
    <xf numFmtId="0" fontId="70" fillId="0" borderId="0" xfId="0" applyFont="1" applyAlignment="1"/>
    <xf numFmtId="0" fontId="54" fillId="0" borderId="0" xfId="0" applyFont="1"/>
    <xf numFmtId="43" fontId="3" fillId="0" borderId="0" xfId="0" applyNumberFormat="1" applyFont="1" applyFill="1"/>
    <xf numFmtId="176" fontId="54" fillId="0" borderId="0" xfId="47" applyNumberFormat="1" applyFont="1" applyFill="1" applyAlignment="1">
      <alignment horizontal="right"/>
    </xf>
    <xf numFmtId="176" fontId="69" fillId="0" borderId="0" xfId="47" applyNumberFormat="1" applyFont="1" applyFill="1" applyAlignment="1">
      <alignment horizontal="center"/>
    </xf>
    <xf numFmtId="176" fontId="69" fillId="0" borderId="0" xfId="47" applyNumberFormat="1" applyFont="1" applyFill="1"/>
    <xf numFmtId="176" fontId="1" fillId="0" borderId="0" xfId="47" applyNumberFormat="1" applyFont="1" applyFill="1"/>
    <xf numFmtId="41" fontId="1" fillId="0" borderId="0" xfId="47" applyNumberFormat="1" applyFont="1" applyFill="1"/>
    <xf numFmtId="176" fontId="69" fillId="0" borderId="0" xfId="2" applyNumberFormat="1" applyFont="1" applyFill="1"/>
    <xf numFmtId="0" fontId="1" fillId="0" borderId="0" xfId="47" applyFont="1" applyFill="1" applyAlignment="1">
      <alignment horizontal="center" vertical="center"/>
    </xf>
    <xf numFmtId="176" fontId="3" fillId="0" borderId="0" xfId="59" applyNumberFormat="1" applyFont="1" applyFill="1" applyAlignment="1">
      <alignment horizontal="left"/>
    </xf>
    <xf numFmtId="176" fontId="1" fillId="0" borderId="0" xfId="47" applyNumberFormat="1" applyFont="1" applyFill="1" applyAlignment="1">
      <alignment horizontal="center"/>
    </xf>
    <xf numFmtId="176" fontId="7" fillId="0" borderId="0" xfId="47" applyNumberFormat="1" applyFont="1" applyFill="1"/>
    <xf numFmtId="176" fontId="3" fillId="0" borderId="0" xfId="47" applyNumberFormat="1" applyFont="1" applyFill="1" applyAlignment="1">
      <alignment horizontal="center" vertical="center"/>
    </xf>
    <xf numFmtId="41" fontId="3" fillId="0" borderId="0" xfId="47" applyNumberFormat="1" applyFont="1" applyFill="1" applyAlignment="1">
      <alignment horizontal="center"/>
    </xf>
  </cellXfs>
  <cellStyles count="117">
    <cellStyle name="20% - Accent1 2" xfId="19"/>
    <cellStyle name="20% - Accent2 2" xfId="13"/>
    <cellStyle name="20% - Accent3 2" xfId="14"/>
    <cellStyle name="20% - Accent4 2" xfId="25"/>
    <cellStyle name="20% - Accent5 2" xfId="12"/>
    <cellStyle name="20% - Accent6 2" xfId="17"/>
    <cellStyle name="40% - Accent1 2" xfId="5"/>
    <cellStyle name="40% - Accent2 2" xfId="20"/>
    <cellStyle name="40% - Accent3 2" xfId="18"/>
    <cellStyle name="40% - Accent4 2" xfId="26"/>
    <cellStyle name="40% - Accent5 2" xfId="7"/>
    <cellStyle name="40% - Accent6 2" xfId="9"/>
    <cellStyle name="60% - Accent1 2" xfId="11"/>
    <cellStyle name="60% - Accent2 2" xfId="16"/>
    <cellStyle name="60% - Accent3 2" xfId="22"/>
    <cellStyle name="60% - Accent4 2" xfId="27"/>
    <cellStyle name="60% - Accent5 2" xfId="28"/>
    <cellStyle name="60% - Accent6 2" xfId="29"/>
    <cellStyle name="Accent1 2" xfId="30"/>
    <cellStyle name="Accent2 2" xfId="31"/>
    <cellStyle name="Accent3 2" xfId="32"/>
    <cellStyle name="Accent4 2" xfId="33"/>
    <cellStyle name="Accent5 2" xfId="34"/>
    <cellStyle name="Accent6 2" xfId="10"/>
    <cellStyle name="Bad 2" xfId="35"/>
    <cellStyle name="Calculation 2" xfId="36"/>
    <cellStyle name="Check Cell 2" xfId="37"/>
    <cellStyle name="Comma 15" xfId="38"/>
    <cellStyle name="Comma 2" xfId="6"/>
    <cellStyle name="Explanatory Text 2" xfId="39"/>
    <cellStyle name="Good 2" xfId="40"/>
    <cellStyle name="Heading 1 2" xfId="41"/>
    <cellStyle name="Heading 2 2" xfId="42"/>
    <cellStyle name="Heading 3 2" xfId="21"/>
    <cellStyle name="Heading 4 2" xfId="43"/>
    <cellStyle name="Input 2" xfId="1"/>
    <cellStyle name="Linked Cell 2" xfId="44"/>
    <cellStyle name="Neutral 2" xfId="45"/>
    <cellStyle name="Normal 2" xfId="46"/>
    <cellStyle name="Normal 2 2" xfId="47"/>
    <cellStyle name="Normal 2 2 2" xfId="48"/>
    <cellStyle name="Normal 2 3" xfId="49"/>
    <cellStyle name="Normal 3" xfId="50"/>
    <cellStyle name="Normal 3 2" xfId="51"/>
    <cellStyle name="Normal 3 3" xfId="52"/>
    <cellStyle name="Normal 3 3 2" xfId="53"/>
    <cellStyle name="Normal 4" xfId="54"/>
    <cellStyle name="Normal 4 2" xfId="55"/>
    <cellStyle name="Normal 4 3" xfId="56"/>
    <cellStyle name="Normal 5" xfId="57"/>
    <cellStyle name="Normal 5 2" xfId="58"/>
    <cellStyle name="Normal 6" xfId="59"/>
    <cellStyle name="Normal 6 10" xfId="60"/>
    <cellStyle name="Normal 6 11" xfId="61"/>
    <cellStyle name="Normal 6 12" xfId="62"/>
    <cellStyle name="Normal 6 13" xfId="63"/>
    <cellStyle name="Normal 6 14" xfId="64"/>
    <cellStyle name="Normal 6 15" xfId="66"/>
    <cellStyle name="Normal 6 16" xfId="68"/>
    <cellStyle name="Normal 6 17" xfId="70"/>
    <cellStyle name="Normal 6 18" xfId="72"/>
    <cellStyle name="Normal 6 19" xfId="74"/>
    <cellStyle name="Normal 6 2" xfId="75"/>
    <cellStyle name="Normal 6 20" xfId="65"/>
    <cellStyle name="Normal 6 21" xfId="67"/>
    <cellStyle name="Normal 6 22" xfId="69"/>
    <cellStyle name="Normal 6 23" xfId="71"/>
    <cellStyle name="Normal 6 24" xfId="73"/>
    <cellStyle name="Normal 6 3" xfId="76"/>
    <cellStyle name="Normal 6 4" xfId="77"/>
    <cellStyle name="Normal 6 5" xfId="24"/>
    <cellStyle name="Normal 6 6" xfId="78"/>
    <cellStyle name="Normal 6 7" xfId="4"/>
    <cellStyle name="Normal 6 8" xfId="79"/>
    <cellStyle name="Normal 6 9" xfId="8"/>
    <cellStyle name="Normal 7" xfId="80"/>
    <cellStyle name="Normal_BlueBook Hotel 2013 V12" xfId="81"/>
    <cellStyle name="Normal_FOS Hotel October 11-Draft" xfId="82"/>
    <cellStyle name="Note 2" xfId="83"/>
    <cellStyle name="Note 2 2" xfId="84"/>
    <cellStyle name="Note 3" xfId="86"/>
    <cellStyle name="Output 2" xfId="88"/>
    <cellStyle name="Percent 2" xfId="89"/>
    <cellStyle name="Title 2" xfId="91"/>
    <cellStyle name="Total 2" xfId="92"/>
    <cellStyle name="Warning Text 2" xfId="93"/>
    <cellStyle name="百分比" xfId="3" builtinId="5"/>
    <cellStyle name="標準_BS11" xfId="85"/>
    <cellStyle name="常规" xfId="0" builtinId="0"/>
    <cellStyle name="常规 2 10" xfId="87"/>
    <cellStyle name="常规 2 11" xfId="94"/>
    <cellStyle name="常规 2 12" xfId="95"/>
    <cellStyle name="常规 2 13" xfId="96"/>
    <cellStyle name="常规 2 14" xfId="97"/>
    <cellStyle name="常规 2 15" xfId="99"/>
    <cellStyle name="常规 2 16" xfId="101"/>
    <cellStyle name="常规 2 17" xfId="103"/>
    <cellStyle name="常规 2 18" xfId="105"/>
    <cellStyle name="常规 2 19" xfId="107"/>
    <cellStyle name="常规 2 2" xfId="90"/>
    <cellStyle name="常规 2 20" xfId="98"/>
    <cellStyle name="常规 2 21" xfId="100"/>
    <cellStyle name="常规 2 22" xfId="102"/>
    <cellStyle name="常规 2 23" xfId="104"/>
    <cellStyle name="常规 2 24" xfId="106"/>
    <cellStyle name="常规 2 3" xfId="108"/>
    <cellStyle name="常规 2 4" xfId="109"/>
    <cellStyle name="常规 2 5" xfId="110"/>
    <cellStyle name="常规 2 6" xfId="111"/>
    <cellStyle name="常规 2 7" xfId="112"/>
    <cellStyle name="常规 2 8" xfId="113"/>
    <cellStyle name="常规 2 9" xfId="114"/>
    <cellStyle name="常规 4" xfId="23"/>
    <cellStyle name="千位分隔" xfId="2" builtinId="3"/>
    <cellStyle name="千位分隔 2" xfId="115"/>
    <cellStyle name="千位分隔 3" xfId="116"/>
    <cellStyle name="一般_COA-GL" xfId="15"/>
  </cellStyles>
  <dxfs count="0"/>
  <tableStyles count="0" defaultTableStyle="TableStyleMedium2" defaultPivotStyle="PivotStyleLight16"/>
  <colors>
    <mruColors>
      <color rgb="FFFFCC66"/>
      <color rgb="FF66FF33"/>
      <color rgb="FFFFCC99"/>
      <color rgb="FFFFCC00"/>
      <color rgb="FFDCB9FF"/>
      <color rgb="FFCC99FF"/>
      <color rgb="FFCC66FF"/>
      <color rgb="FFD7C3F6"/>
      <color rgb="FFFFFF99"/>
      <color rgb="FF5E5E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externalLink" Target="externalLinks/externalLink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8" Type="http://schemas.openxmlformats.org/officeDocument/2006/relationships/worksheet" Target="worksheets/sheet8.xml"/><Relationship Id="rId51"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Finance\ADOF\Rolling%20Forecast\2018\2018008\Rolling%20Forecast%20Forma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Finance\ADOF\Rolling%20Forecast\2018\2018009\Forecast%20Format%20201800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Finance\ADOF\Month%20End\2018\2018008\DYTHZ%20P&amp;L%202018008-Hotel.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Finance\ADOF%20Tainee\Month%20End\2018\2018002\DYTHZ%20P&amp;L%202018002-Hotel.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Joseph%20Ji/2020%20Budget/FIN/Rolling%20Forecast%20Format%202019%20(9+3).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HUBNJ-LFINM\Documents\WeChat%20Files\wxid_1368573685922\FileStorage\File\2021-03\2021%20Budget%20-%20MhubNJ%20-%20&#26356;&#26032;%200314.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stevenliu\Desktop\Budget\2023%20Budget\V1\2023%20Budget%20P&amp;L%20MhubNJ-09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Summary"/>
      <sheetName val="Rooms Summary"/>
      <sheetName val="F&amp;B Summary"/>
      <sheetName val="OOD"/>
      <sheetName val="A&amp;G"/>
      <sheetName val="R&amp;M"/>
      <sheetName val="Utilities"/>
      <sheetName val="S&amp;M"/>
    </sheetNames>
    <sheetDataSet>
      <sheetData sheetId="0" refreshError="1"/>
      <sheetData sheetId="1" refreshError="1"/>
      <sheetData sheetId="2" refreshError="1"/>
      <sheetData sheetId="3">
        <row r="2">
          <cell r="C2" t="str">
            <v>The Diaoyutai Hotel Hangzhou</v>
          </cell>
        </row>
        <row r="5">
          <cell r="C5" t="str">
            <v>B31</v>
          </cell>
        </row>
        <row r="7">
          <cell r="C7">
            <v>2018009</v>
          </cell>
        </row>
        <row r="8">
          <cell r="C8" t="str">
            <v>2018</v>
          </cell>
        </row>
        <row r="15">
          <cell r="C15" t="str">
            <v>B</v>
          </cell>
        </row>
      </sheetData>
      <sheetData sheetId="4">
        <row r="4">
          <cell r="D4" t="str">
            <v>Hotel Profit &amp; Loss Monthly Report</v>
          </cell>
        </row>
        <row r="5">
          <cell r="D5" t="str">
            <v>酒店月度损益报表</v>
          </cell>
        </row>
        <row r="7">
          <cell r="D7">
            <v>43344</v>
          </cell>
        </row>
      </sheetData>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Summary"/>
      <sheetName val="Rooms Summary"/>
      <sheetName val="Front Office"/>
      <sheetName val="HSKP"/>
      <sheetName val="Reservation"/>
      <sheetName val="ROOMS Admin"/>
      <sheetName val="F&amp;B Summary"/>
      <sheetName val="The Lounge"/>
      <sheetName val="Pinju"/>
      <sheetName val="Royal Court"/>
      <sheetName val="MP Cafe"/>
      <sheetName val="MP Dining"/>
      <sheetName val="Room Service"/>
      <sheetName val="Banquet"/>
      <sheetName val="Minibar"/>
      <sheetName val="STW "/>
      <sheetName val="Main Kitchen"/>
      <sheetName val="F&amp;B Admin"/>
      <sheetName val="OOD"/>
      <sheetName val="Health Club"/>
      <sheetName val="Telephone"/>
      <sheetName val="Transportation"/>
      <sheetName val="Guest Laundry"/>
      <sheetName val="BC"/>
      <sheetName val="DYT Galleria"/>
      <sheetName val="Apartment"/>
      <sheetName val="A&amp;G"/>
      <sheetName val="EO"/>
      <sheetName val="Finance"/>
      <sheetName val="HR"/>
      <sheetName val="Security"/>
      <sheetName val="IT"/>
      <sheetName val="R&amp;M"/>
      <sheetName val="Utilities"/>
      <sheetName val="S&amp;M"/>
      <sheetName val="Laundry"/>
      <sheetName val="Staff Canteen"/>
      <sheetName val="Fixed Charge"/>
    </sheetNames>
    <sheetDataSet>
      <sheetData sheetId="0"/>
      <sheetData sheetId="1"/>
      <sheetData sheetId="2"/>
      <sheetData sheetId="3">
        <row r="5">
          <cell r="C5" t="str">
            <v>B31</v>
          </cell>
        </row>
        <row r="7">
          <cell r="C7">
            <v>2018003</v>
          </cell>
        </row>
        <row r="15">
          <cell r="C15" t="str">
            <v>B</v>
          </cell>
        </row>
      </sheetData>
      <sheetData sheetId="4">
        <row r="3">
          <cell r="E3" t="str">
            <v>A</v>
          </cell>
        </row>
      </sheetData>
      <sheetData sheetId="5">
        <row r="12">
          <cell r="E12">
            <v>215352.95999999999</v>
          </cell>
        </row>
      </sheetData>
      <sheetData sheetId="6"/>
      <sheetData sheetId="7">
        <row r="69">
          <cell r="E69">
            <v>47876.89</v>
          </cell>
        </row>
      </sheetData>
      <sheetData sheetId="8"/>
      <sheetData sheetId="9"/>
      <sheetData sheetId="10">
        <row r="1">
          <cell r="E1">
            <v>2018001</v>
          </cell>
        </row>
      </sheetData>
      <sheetData sheetId="11">
        <row r="12">
          <cell r="E12">
            <v>264750.68</v>
          </cell>
        </row>
      </sheetData>
      <sheetData sheetId="12"/>
      <sheetData sheetId="13"/>
      <sheetData sheetId="14"/>
      <sheetData sheetId="15"/>
      <sheetData sheetId="16"/>
      <sheetData sheetId="17"/>
      <sheetData sheetId="18"/>
      <sheetData sheetId="19"/>
      <sheetData sheetId="20"/>
      <sheetData sheetId="21"/>
      <sheetData sheetId="22">
        <row r="1">
          <cell r="E1">
            <v>2018001</v>
          </cell>
        </row>
      </sheetData>
      <sheetData sheetId="23"/>
      <sheetData sheetId="24">
        <row r="13">
          <cell r="E13">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row r="1">
          <cell r="E1">
            <v>2018001</v>
          </cell>
        </row>
      </sheetData>
      <sheetData sheetId="38"/>
      <sheetData sheetId="39"/>
      <sheetData sheetId="40"/>
      <sheetData sheetId="4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Check"/>
      <sheetName val="Summary"/>
      <sheetName val="Rooms Summary"/>
      <sheetName val="Rooms Per Rooms Sold"/>
      <sheetName val="Front Office"/>
      <sheetName val="HSKP"/>
      <sheetName val="Reservation"/>
      <sheetName val="Rooms Admin"/>
      <sheetName val="F&amp;B Summary"/>
      <sheetName val="F&amp;B Per Covers"/>
      <sheetName val="The Lounge"/>
      <sheetName val="Pinju"/>
      <sheetName val="Royal Court"/>
      <sheetName val="MP Cafe"/>
      <sheetName val="MP Dining"/>
      <sheetName val="Lobby Lounge"/>
      <sheetName val="Bar#1"/>
      <sheetName val="Room Service"/>
      <sheetName val="BQT"/>
      <sheetName val="BQT Statistic"/>
      <sheetName val="Minibar"/>
      <sheetName val="STW"/>
      <sheetName val="Main Kitchen"/>
      <sheetName val="F&amp;B Admin"/>
      <sheetName val="Recreation"/>
      <sheetName val="Health Club"/>
      <sheetName val="Pool"/>
      <sheetName val="Salon"/>
      <sheetName val="Kids Center"/>
      <sheetName val="SPA"/>
      <sheetName val="BC"/>
      <sheetName val="Telephone"/>
      <sheetName val="Transportation"/>
      <sheetName val="Garage"/>
      <sheetName val="Galleria"/>
      <sheetName val="Guest Laundry"/>
      <sheetName val="Apartment"/>
      <sheetName val="Other Income"/>
      <sheetName val="A&amp;G"/>
      <sheetName val="EO"/>
      <sheetName val="Finance"/>
      <sheetName val="HR"/>
      <sheetName val="Security"/>
      <sheetName val="IT"/>
      <sheetName val="R&amp;M"/>
      <sheetName val="Utilities"/>
      <sheetName val="S&amp;M"/>
      <sheetName val="PR"/>
      <sheetName val="ADV"/>
      <sheetName val="Sales"/>
      <sheetName val="Laundry"/>
      <sheetName val="Staff Canteen"/>
      <sheetName val="Dormitory&amp;Bus"/>
      <sheetName val="Fixed Charge"/>
      <sheetName val="BS"/>
    </sheetNames>
    <sheetDataSet>
      <sheetData sheetId="0"/>
      <sheetData sheetId="1"/>
      <sheetData sheetId="2"/>
      <sheetData sheetId="3">
        <row r="5">
          <cell r="C5" t="str">
            <v>B31</v>
          </cell>
        </row>
        <row r="6">
          <cell r="C6" t="str">
            <v>DHZ</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Check"/>
      <sheetName val="Summary"/>
      <sheetName val="Rooms Summary"/>
      <sheetName val="Front Office"/>
      <sheetName val="HSKP"/>
      <sheetName val="Reservation"/>
      <sheetName val="Rooms Admin"/>
      <sheetName val="F&amp;B Summary"/>
      <sheetName val="The Lounge"/>
      <sheetName val="Pinju"/>
      <sheetName val="Royal Court"/>
      <sheetName val="Cafe to go"/>
      <sheetName val="Casual Western Dining"/>
      <sheetName val="Lobby Lounge"/>
      <sheetName val="Bar#1"/>
      <sheetName val="Room Service"/>
      <sheetName val="BQT"/>
      <sheetName val="BQT Statistic"/>
      <sheetName val="Minibar"/>
      <sheetName val="STW"/>
      <sheetName val="Main Kitchen"/>
      <sheetName val="F&amp;B Admin"/>
      <sheetName val="Recreation"/>
      <sheetName val="Health Club"/>
      <sheetName val="Pool"/>
      <sheetName val="Salon"/>
      <sheetName val="Kids Center"/>
      <sheetName val="SPA"/>
      <sheetName val="BC"/>
      <sheetName val="Telephone"/>
      <sheetName val="Transportation"/>
      <sheetName val="Garage"/>
      <sheetName val="Retail#1"/>
      <sheetName val="Guest Laundry"/>
      <sheetName val="Apartment"/>
      <sheetName val="Other Income"/>
      <sheetName val="A&amp;G"/>
      <sheetName val="EO"/>
      <sheetName val="Finance"/>
      <sheetName val="HR"/>
      <sheetName val="Security"/>
      <sheetName val="IT"/>
      <sheetName val="R&amp;M"/>
      <sheetName val="Utilities"/>
      <sheetName val="S&amp;M"/>
      <sheetName val="PR"/>
      <sheetName val="ADV"/>
      <sheetName val="Sales"/>
      <sheetName val="Laundry"/>
      <sheetName val="Staff Canteen"/>
      <sheetName val="Dormitory&amp;Bus"/>
      <sheetName val="Fixed Charge"/>
      <sheetName val="BS"/>
    </sheetNames>
    <sheetDataSet>
      <sheetData sheetId="0"/>
      <sheetData sheetId="1"/>
      <sheetData sheetId="2"/>
      <sheetData sheetId="3">
        <row r="6">
          <cell r="C6" t="str">
            <v>DHZ</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Summary"/>
      <sheetName val="Rooms Summary-Bobby&amp;molly"/>
      <sheetName val="Front Office-molly"/>
      <sheetName val="HSKP-molly"/>
      <sheetName val="Reservation-bobby"/>
      <sheetName val="ROOMS Admin"/>
      <sheetName val="F&amp;B Summary-jacky"/>
      <sheetName val="The Lounge-jacky"/>
      <sheetName val="Pinju-jacky"/>
      <sheetName val="Royal Court-jacky"/>
      <sheetName val="MP Cafe-jacky"/>
      <sheetName val="MP Dining-jacky"/>
      <sheetName val="Room Service-jacky"/>
      <sheetName val="Banquet-jacky&amp;bobby"/>
      <sheetName val="Minibar-Jacky"/>
      <sheetName val="STW -David"/>
      <sheetName val="Main Kitchen-David"/>
      <sheetName val="F&amp;B Admin-Jacky"/>
      <sheetName val="OOD-molly"/>
      <sheetName val="Health Club-molly"/>
      <sheetName val="Telephone-molly"/>
      <sheetName val="Transportation-molly"/>
      <sheetName val="Guest Laundry-molly"/>
      <sheetName val="BC-molly"/>
      <sheetName val="DYT Galleria-molly"/>
      <sheetName val="Apartment-Bobby&amp;molly"/>
      <sheetName val="A&amp;G-Joseph&amp;Jon&amp;eric"/>
      <sheetName val="EO-Joseph"/>
      <sheetName val="Finance-Joseph"/>
      <sheetName val="HR-Jon"/>
      <sheetName val="Security-Eric"/>
      <sheetName val="IT"/>
      <sheetName val="R&amp;M-Bill"/>
      <sheetName val="Utilities-Bill"/>
      <sheetName val="S&amp;M-Bobby"/>
      <sheetName val="Laundry-Molly"/>
      <sheetName val="Staff Canteen-Jon"/>
      <sheetName val="Fixed Char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2">
          <cell r="Q12">
            <v>6985686.4499999993</v>
          </cell>
        </row>
        <row r="193">
          <cell r="Q193">
            <v>0</v>
          </cell>
        </row>
        <row r="194">
          <cell r="Q194">
            <v>0</v>
          </cell>
        </row>
        <row r="195">
          <cell r="Q195">
            <v>0</v>
          </cell>
        </row>
        <row r="196">
          <cell r="Q196">
            <v>0</v>
          </cell>
        </row>
        <row r="197">
          <cell r="Q197">
            <v>174025.91</v>
          </cell>
        </row>
        <row r="198">
          <cell r="Q198">
            <v>419651.61</v>
          </cell>
        </row>
        <row r="199">
          <cell r="Q199">
            <v>2117170.2187999999</v>
          </cell>
        </row>
        <row r="200">
          <cell r="Q200">
            <v>2710847.7387999999</v>
          </cell>
        </row>
        <row r="201">
          <cell r="Q201">
            <v>20053593.717256002</v>
          </cell>
        </row>
        <row r="203">
          <cell r="Q203">
            <v>169.08333333333334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12">
          <cell r="Q12">
            <v>0</v>
          </cell>
        </row>
      </sheetData>
      <sheetData sheetId="23" refreshError="1"/>
      <sheetData sheetId="24" refreshError="1"/>
      <sheetData sheetId="25" refreshError="1"/>
      <sheetData sheetId="26" refreshError="1">
        <row r="13">
          <cell r="Q13">
            <v>205255.72999999998</v>
          </cell>
        </row>
        <row r="104">
          <cell r="Q104">
            <v>0</v>
          </cell>
        </row>
        <row r="105">
          <cell r="Q105">
            <v>0</v>
          </cell>
        </row>
        <row r="106">
          <cell r="Q106">
            <v>0</v>
          </cell>
        </row>
        <row r="107">
          <cell r="Q107">
            <v>0</v>
          </cell>
        </row>
        <row r="108">
          <cell r="Q108">
            <v>0</v>
          </cell>
        </row>
        <row r="109">
          <cell r="Q109">
            <v>0</v>
          </cell>
        </row>
        <row r="110">
          <cell r="Q110">
            <v>0</v>
          </cell>
        </row>
        <row r="111">
          <cell r="Q111">
            <v>0</v>
          </cell>
        </row>
        <row r="112">
          <cell r="Q112">
            <v>0</v>
          </cell>
        </row>
        <row r="113">
          <cell r="Q113">
            <v>0</v>
          </cell>
        </row>
        <row r="114">
          <cell r="Q114">
            <v>0</v>
          </cell>
        </row>
        <row r="115">
          <cell r="Q115">
            <v>0</v>
          </cell>
        </row>
        <row r="116">
          <cell r="Q116">
            <v>0</v>
          </cell>
        </row>
        <row r="117">
          <cell r="Q117">
            <v>0</v>
          </cell>
        </row>
        <row r="118">
          <cell r="Q118">
            <v>0</v>
          </cell>
        </row>
        <row r="119">
          <cell r="Q119">
            <v>0</v>
          </cell>
        </row>
        <row r="120">
          <cell r="Q120">
            <v>0</v>
          </cell>
        </row>
        <row r="121">
          <cell r="Q121">
            <v>0</v>
          </cell>
        </row>
        <row r="122">
          <cell r="Q122">
            <v>0</v>
          </cell>
        </row>
        <row r="123">
          <cell r="Q123">
            <v>0</v>
          </cell>
        </row>
        <row r="124">
          <cell r="Q124">
            <v>0</v>
          </cell>
        </row>
        <row r="125">
          <cell r="Q125">
            <v>0</v>
          </cell>
        </row>
        <row r="126">
          <cell r="Q126">
            <v>0</v>
          </cell>
        </row>
        <row r="127">
          <cell r="Q127">
            <v>0</v>
          </cell>
        </row>
        <row r="128">
          <cell r="Q128">
            <v>0</v>
          </cell>
        </row>
        <row r="129">
          <cell r="Q129">
            <v>0</v>
          </cell>
        </row>
        <row r="130">
          <cell r="Q130">
            <v>0</v>
          </cell>
        </row>
        <row r="131">
          <cell r="Q131">
            <v>0</v>
          </cell>
        </row>
        <row r="132">
          <cell r="Q132">
            <v>0</v>
          </cell>
        </row>
        <row r="133">
          <cell r="Q133">
            <v>0</v>
          </cell>
        </row>
        <row r="134">
          <cell r="Q134">
            <v>0</v>
          </cell>
        </row>
        <row r="135">
          <cell r="Q135">
            <v>0</v>
          </cell>
        </row>
        <row r="136">
          <cell r="Q136">
            <v>0</v>
          </cell>
        </row>
        <row r="137">
          <cell r="Q137">
            <v>0</v>
          </cell>
        </row>
      </sheetData>
      <sheetData sheetId="27" refreshError="1"/>
      <sheetData sheetId="28" refreshError="1">
        <row r="12">
          <cell r="Q12">
            <v>44551.62</v>
          </cell>
        </row>
        <row r="95">
          <cell r="Q95">
            <v>0</v>
          </cell>
        </row>
        <row r="96">
          <cell r="Q96">
            <v>0</v>
          </cell>
        </row>
        <row r="97">
          <cell r="Q97">
            <v>0</v>
          </cell>
        </row>
        <row r="98">
          <cell r="Q98">
            <v>0</v>
          </cell>
        </row>
        <row r="99">
          <cell r="Q99">
            <v>0</v>
          </cell>
        </row>
        <row r="100">
          <cell r="Q100">
            <v>0</v>
          </cell>
        </row>
        <row r="101">
          <cell r="Q101">
            <v>0</v>
          </cell>
        </row>
        <row r="102">
          <cell r="Q102">
            <v>0</v>
          </cell>
        </row>
        <row r="103">
          <cell r="Q103">
            <v>0</v>
          </cell>
        </row>
        <row r="104">
          <cell r="Q104">
            <v>0</v>
          </cell>
        </row>
        <row r="105">
          <cell r="Q105">
            <v>0</v>
          </cell>
        </row>
        <row r="106">
          <cell r="Q106">
            <v>0</v>
          </cell>
        </row>
        <row r="107">
          <cell r="Q107">
            <v>0</v>
          </cell>
        </row>
        <row r="108">
          <cell r="Q108">
            <v>0</v>
          </cell>
        </row>
        <row r="109">
          <cell r="Q109">
            <v>0</v>
          </cell>
        </row>
        <row r="110">
          <cell r="Q110">
            <v>0</v>
          </cell>
        </row>
        <row r="111">
          <cell r="Q111">
            <v>0</v>
          </cell>
        </row>
        <row r="112">
          <cell r="Q112">
            <v>0</v>
          </cell>
        </row>
        <row r="113">
          <cell r="Q113">
            <v>0</v>
          </cell>
        </row>
        <row r="114">
          <cell r="Q114">
            <v>0</v>
          </cell>
        </row>
        <row r="115">
          <cell r="Q115">
            <v>0</v>
          </cell>
        </row>
        <row r="116">
          <cell r="Q116">
            <v>0</v>
          </cell>
        </row>
        <row r="117">
          <cell r="Q117">
            <v>0</v>
          </cell>
        </row>
        <row r="118">
          <cell r="Q118">
            <v>0</v>
          </cell>
        </row>
        <row r="119">
          <cell r="Q119">
            <v>0</v>
          </cell>
        </row>
        <row r="120">
          <cell r="Q120">
            <v>0</v>
          </cell>
        </row>
        <row r="121">
          <cell r="Q121">
            <v>0</v>
          </cell>
        </row>
        <row r="122">
          <cell r="Q122">
            <v>0</v>
          </cell>
        </row>
        <row r="123">
          <cell r="Q123">
            <v>0</v>
          </cell>
        </row>
        <row r="124">
          <cell r="Q124">
            <v>0</v>
          </cell>
        </row>
        <row r="125">
          <cell r="Q125">
            <v>0</v>
          </cell>
        </row>
        <row r="126">
          <cell r="Q126">
            <v>0</v>
          </cell>
        </row>
        <row r="127">
          <cell r="Q127">
            <v>0</v>
          </cell>
        </row>
        <row r="128">
          <cell r="Q128">
            <v>0</v>
          </cell>
        </row>
      </sheetData>
      <sheetData sheetId="29" refreshError="1"/>
      <sheetData sheetId="30" refreshError="1"/>
      <sheetData sheetId="31" refreshError="1"/>
      <sheetData sheetId="32" refreshError="1">
        <row r="12">
          <cell r="Q12">
            <v>3285693.330711111</v>
          </cell>
        </row>
        <row r="164">
          <cell r="Q164">
            <v>1049965.99</v>
          </cell>
        </row>
        <row r="165">
          <cell r="Q165">
            <v>782035.23</v>
          </cell>
        </row>
        <row r="166">
          <cell r="Q166">
            <v>1832001.22</v>
          </cell>
        </row>
        <row r="168">
          <cell r="Q168">
            <v>37970.189999999995</v>
          </cell>
        </row>
        <row r="169">
          <cell r="Q169">
            <v>311074.40999999997</v>
          </cell>
        </row>
        <row r="170">
          <cell r="Q170">
            <v>0</v>
          </cell>
        </row>
        <row r="171">
          <cell r="Q171">
            <v>0</v>
          </cell>
        </row>
        <row r="172">
          <cell r="Q172">
            <v>0</v>
          </cell>
        </row>
        <row r="173">
          <cell r="Q173">
            <v>349044.6</v>
          </cell>
        </row>
        <row r="175">
          <cell r="Q175">
            <v>206949.18</v>
          </cell>
        </row>
        <row r="176">
          <cell r="Q176">
            <v>155211.94</v>
          </cell>
        </row>
        <row r="177">
          <cell r="Q177">
            <v>7390.9000000000015</v>
          </cell>
        </row>
        <row r="178">
          <cell r="Q178">
            <v>3924.8700000000008</v>
          </cell>
        </row>
        <row r="179">
          <cell r="Q179">
            <v>17738.670000000002</v>
          </cell>
        </row>
        <row r="180">
          <cell r="Q180">
            <v>193889.75</v>
          </cell>
        </row>
        <row r="181">
          <cell r="Q181">
            <v>0</v>
          </cell>
        </row>
        <row r="182">
          <cell r="Q182">
            <v>0</v>
          </cell>
        </row>
        <row r="183">
          <cell r="Q183">
            <v>585105.31000000006</v>
          </cell>
        </row>
        <row r="185">
          <cell r="Q185">
            <v>0</v>
          </cell>
        </row>
        <row r="186">
          <cell r="Q186">
            <v>0</v>
          </cell>
        </row>
        <row r="187">
          <cell r="Q187">
            <v>0</v>
          </cell>
        </row>
        <row r="188">
          <cell r="Q188">
            <v>0</v>
          </cell>
        </row>
        <row r="189">
          <cell r="Q189">
            <v>17394.580000000002</v>
          </cell>
        </row>
        <row r="190">
          <cell r="Q190">
            <v>181296.77000000002</v>
          </cell>
        </row>
        <row r="191">
          <cell r="Q191">
            <v>320850.85071111115</v>
          </cell>
        </row>
        <row r="192">
          <cell r="Q192">
            <v>519542.20071111119</v>
          </cell>
        </row>
        <row r="193">
          <cell r="Q193">
            <v>3285693.330711111</v>
          </cell>
        </row>
        <row r="195">
          <cell r="Q195">
            <v>21.166666666666668</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row r="12">
          <cell r="Q12">
            <v>596802.3600000001</v>
          </cell>
          <cell r="S12">
            <v>4.3597577033727894E-3</v>
          </cell>
        </row>
      </sheetData>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Summary"/>
      <sheetName val="Rooms Summary"/>
      <sheetName val="Front Office"/>
      <sheetName val="HSKP"/>
      <sheetName val="Reservation"/>
      <sheetName val="ROOMS Admin"/>
      <sheetName val="F&amp;B Summary"/>
      <sheetName val="Lobby Lounge"/>
      <sheetName val="ADD-Mhub lounge"/>
      <sheetName val="Royal Court"/>
      <sheetName val="MP Cafe"/>
      <sheetName val="MP Dining"/>
      <sheetName val="Main Kitchen"/>
      <sheetName val="Room Service"/>
      <sheetName val="Banquet"/>
      <sheetName val="Minibar"/>
      <sheetName val="STW"/>
      <sheetName val="F&amp;B Admin"/>
      <sheetName val="OOD"/>
      <sheetName val="Health Club"/>
      <sheetName val="Telephone"/>
      <sheetName val="Transportation"/>
      <sheetName val="Guest Laundry"/>
      <sheetName val="BC"/>
      <sheetName val="DYT Galleria"/>
      <sheetName val="Apartment"/>
      <sheetName val="A&amp;G"/>
      <sheetName val="EO"/>
      <sheetName val="Finance"/>
      <sheetName val="HR"/>
      <sheetName val="Security"/>
      <sheetName val="IT"/>
      <sheetName val="R&amp;M"/>
      <sheetName val="Utilities"/>
      <sheetName val="S&amp;M"/>
      <sheetName val="Laundry"/>
      <sheetName val="Staff Canteen"/>
      <sheetName val="Fixed Charge"/>
    </sheetNames>
    <sheetDataSet>
      <sheetData sheetId="0"/>
      <sheetData sheetId="1"/>
      <sheetData sheetId="2"/>
      <sheetData sheetId="3"/>
      <sheetData sheetId="4">
        <row r="4">
          <cell r="D4" t="str">
            <v>Hotel Budget Report</v>
          </cell>
        </row>
        <row r="5">
          <cell r="D5" t="str">
            <v>酒店预算报表</v>
          </cell>
        </row>
      </sheetData>
      <sheetData sheetId="5"/>
      <sheetData sheetId="6"/>
      <sheetData sheetId="7"/>
      <sheetData sheetId="8"/>
      <sheetData sheetId="9"/>
      <sheetData sheetId="10">
        <row r="50">
          <cell r="Q50">
            <v>5270455.3</v>
          </cell>
        </row>
        <row r="148">
          <cell r="Q148">
            <v>39944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s_XLB_WorkbookFile"/>
      <sheetName val="Ls_AgXLB_WorkbookFile"/>
      <sheetName val="Version"/>
      <sheetName val="Parameter"/>
      <sheetName val="Summary"/>
      <sheetName val="Rooms Summary"/>
      <sheetName val="Front Office-D"/>
      <sheetName val="HSKP-D"/>
      <sheetName val="Reservation"/>
      <sheetName val="ROOMS Admin"/>
      <sheetName val="F&amp;B Summary"/>
      <sheetName val="Lobby Lounge"/>
      <sheetName val="Royal Court"/>
      <sheetName val="MP Cafe"/>
      <sheetName val="MP Dining"/>
      <sheetName val="ADD-Mhub lounge-D"/>
      <sheetName val="Banquet-D"/>
      <sheetName val="Main Kitchen-D"/>
      <sheetName val="Room Service"/>
      <sheetName val="Minibar"/>
      <sheetName val="STW-D"/>
      <sheetName val="F&amp;B Admin"/>
      <sheetName val="OOD"/>
      <sheetName val="Health Club"/>
      <sheetName val="Telephone-D"/>
      <sheetName val="Transportation"/>
      <sheetName val="Guest Laundry"/>
      <sheetName val="BC"/>
      <sheetName val="DYT Galleria"/>
      <sheetName val="Apartment"/>
      <sheetName val="A&amp;G"/>
      <sheetName val="EO-D"/>
      <sheetName val="Finance-D"/>
      <sheetName val="HR"/>
      <sheetName val="Security-D"/>
      <sheetName val="IT-D"/>
      <sheetName val="R&amp;M-D"/>
      <sheetName val="Utilities"/>
      <sheetName val="S&amp;M-D"/>
      <sheetName val="Laundry-D"/>
      <sheetName val="Staff Canteen"/>
      <sheetName val="Fixed Charge"/>
    </sheetNames>
    <sheetDataSet>
      <sheetData sheetId="0" refreshError="1"/>
      <sheetData sheetId="1" refreshError="1"/>
      <sheetData sheetId="2" refreshError="1"/>
      <sheetData sheetId="3" refreshError="1"/>
      <sheetData sheetId="4">
        <row r="4">
          <cell r="D4" t="str">
            <v>Hotel Budget Report</v>
          </cell>
        </row>
        <row r="5">
          <cell r="D5" t="str">
            <v>酒店预算报表</v>
          </cell>
        </row>
        <row r="16">
          <cell r="Q16">
            <v>18468269.3834862</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09">
          <cell r="E209">
            <v>0</v>
          </cell>
        </row>
      </sheetData>
      <sheetData sheetId="40" refreshError="1"/>
      <sheetData sheetId="4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6.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9.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21.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23.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
  <sheetViews>
    <sheetView workbookViewId="0"/>
  </sheetViews>
  <sheetFormatPr defaultColWidth="9" defaultRowHeight="13.5"/>
  <cols>
    <col min="1" max="1" width="9" customWidth="1"/>
  </cols>
  <sheetData/>
  <phoneticPr fontId="57"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
  <sheetViews>
    <sheetView workbookViewId="0"/>
  </sheetViews>
  <sheetFormatPr defaultColWidth="9" defaultRowHeight="13.5"/>
  <cols>
    <col min="1" max="1" width="9" customWidth="1"/>
  </cols>
  <sheetData/>
  <phoneticPr fontId="5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D1"/>
  <sheetViews>
    <sheetView workbookViewId="0">
      <selection activeCell="D6" sqref="D6"/>
    </sheetView>
  </sheetViews>
  <sheetFormatPr defaultColWidth="9" defaultRowHeight="15"/>
  <cols>
    <col min="1" max="1" width="4.5" style="267" customWidth="1"/>
    <col min="2" max="2" width="7.5" style="267" customWidth="1"/>
    <col min="3" max="3" width="7" style="267" customWidth="1"/>
    <col min="4" max="4" width="11.5" style="267" customWidth="1"/>
    <col min="5" max="16384" width="9" style="267"/>
  </cols>
  <sheetData>
    <row r="1" spans="1:4">
      <c r="A1" s="267" t="s">
        <v>0</v>
      </c>
      <c r="B1" s="268">
        <v>43136</v>
      </c>
      <c r="C1" s="267" t="s">
        <v>1</v>
      </c>
      <c r="D1" s="267" t="s">
        <v>2</v>
      </c>
    </row>
  </sheetData>
  <phoneticPr fontId="5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2:N171"/>
  <sheetViews>
    <sheetView zoomScale="75" zoomScaleNormal="75" workbookViewId="0">
      <selection activeCell="C2" sqref="C2"/>
    </sheetView>
  </sheetViews>
  <sheetFormatPr defaultColWidth="8.875" defaultRowHeight="15"/>
  <cols>
    <col min="1" max="1" width="9" style="250" customWidth="1"/>
    <col min="2" max="2" width="26.5" style="250" customWidth="1"/>
    <col min="3" max="3" width="39.5" style="250" customWidth="1"/>
    <col min="4" max="4" width="31" style="250" customWidth="1"/>
    <col min="5" max="5" width="13.5" style="250" customWidth="1"/>
    <col min="6" max="15" width="23.5" style="250" customWidth="1"/>
    <col min="16" max="16384" width="8.875" style="250"/>
  </cols>
  <sheetData>
    <row r="2" spans="2:14" ht="21.75" customHeight="1">
      <c r="B2" s="251" t="s">
        <v>3</v>
      </c>
      <c r="C2" s="252" t="e">
        <v>#NAME?</v>
      </c>
      <c r="E2" s="253"/>
    </row>
    <row r="3" spans="2:14" ht="21.75" customHeight="1">
      <c r="B3" s="254"/>
      <c r="C3" s="255" t="e">
        <v>#NAME?</v>
      </c>
    </row>
    <row r="4" spans="2:14" ht="21.75" customHeight="1">
      <c r="B4" s="256"/>
      <c r="C4" s="257"/>
    </row>
    <row r="5" spans="2:14" ht="21.75" customHeight="1">
      <c r="B5" s="258" t="s">
        <v>4</v>
      </c>
      <c r="C5" s="259" t="s">
        <v>5</v>
      </c>
    </row>
    <row r="6" spans="2:14" ht="21.75" customHeight="1">
      <c r="B6" s="258"/>
      <c r="C6" s="257"/>
    </row>
    <row r="7" spans="2:14" ht="21.75" customHeight="1">
      <c r="B7" s="258" t="s">
        <v>6</v>
      </c>
      <c r="C7" s="259">
        <v>2018003</v>
      </c>
    </row>
    <row r="8" spans="2:14" ht="21.75" customHeight="1">
      <c r="B8" s="254" t="s">
        <v>7</v>
      </c>
      <c r="C8" s="260" t="str">
        <f>LEFT(CP,4)</f>
        <v>2018</v>
      </c>
      <c r="D8" s="261" t="s">
        <v>8</v>
      </c>
    </row>
    <row r="9" spans="2:14" ht="21.75" customHeight="1">
      <c r="B9" s="254" t="s">
        <v>9</v>
      </c>
      <c r="C9" s="260" t="str">
        <f>LEFT(CP,4)&amp;"001"</f>
        <v>2018001</v>
      </c>
      <c r="D9" s="261" t="s">
        <v>8</v>
      </c>
      <c r="N9" s="265"/>
    </row>
    <row r="10" spans="2:14" ht="21.75" customHeight="1">
      <c r="B10" s="254"/>
      <c r="C10" s="257"/>
      <c r="D10" s="262"/>
    </row>
    <row r="11" spans="2:14" ht="21.75" customHeight="1">
      <c r="B11" s="254" t="s">
        <v>10</v>
      </c>
      <c r="C11" s="260">
        <f>CP-1000</f>
        <v>2017003</v>
      </c>
      <c r="D11" s="261" t="s">
        <v>8</v>
      </c>
    </row>
    <row r="12" spans="2:14" ht="21.75" customHeight="1">
      <c r="B12" s="254"/>
      <c r="C12" s="257"/>
      <c r="D12" s="262"/>
    </row>
    <row r="13" spans="2:14" ht="21.75" customHeight="1">
      <c r="B13" s="254" t="s">
        <v>11</v>
      </c>
      <c r="C13" s="260">
        <f>C9-1000</f>
        <v>2017001</v>
      </c>
      <c r="D13" s="261" t="s">
        <v>8</v>
      </c>
    </row>
    <row r="14" spans="2:14" ht="21.75" customHeight="1">
      <c r="B14" s="254"/>
      <c r="C14" s="257"/>
    </row>
    <row r="15" spans="2:14" ht="21.75" customHeight="1">
      <c r="B15" s="254" t="s">
        <v>12</v>
      </c>
      <c r="C15" s="257" t="s">
        <v>13</v>
      </c>
    </row>
    <row r="16" spans="2:14" ht="21.75" customHeight="1">
      <c r="B16" s="263"/>
      <c r="C16" s="264"/>
    </row>
    <row r="17" spans="13:13" ht="20.25" customHeight="1"/>
    <row r="18" spans="13:13" ht="20.25" customHeight="1"/>
    <row r="19" spans="13:13" ht="20.25" customHeight="1"/>
    <row r="20" spans="13:13" ht="20.25" customHeight="1"/>
    <row r="21" spans="13:13" ht="20.25" customHeight="1"/>
    <row r="22" spans="13:13" ht="20.25" customHeight="1"/>
    <row r="23" spans="13:13" ht="20.25" customHeight="1"/>
    <row r="24" spans="13:13" ht="20.25" customHeight="1"/>
    <row r="25" spans="13:13" ht="20.25" customHeight="1">
      <c r="M25" s="266"/>
    </row>
    <row r="26" spans="13:13" ht="20.25" customHeight="1"/>
    <row r="27" spans="13:13" ht="20.25" customHeight="1"/>
    <row r="28" spans="13:13" ht="20.25" customHeight="1"/>
    <row r="29" spans="13:13" ht="20.25" customHeight="1"/>
    <row r="30" spans="13:13" ht="20.25" customHeight="1"/>
    <row r="31" spans="13:13" ht="20.25" customHeight="1"/>
    <row r="32" spans="13:13" ht="20.25" customHeight="1"/>
    <row r="33" ht="20.25" customHeight="1"/>
    <row r="34" ht="20.25" customHeight="1"/>
    <row r="35" ht="20.25" customHeight="1"/>
    <row r="36" ht="20.25" customHeight="1"/>
    <row r="37" ht="20.25" customHeight="1"/>
    <row r="38" ht="20.25" customHeight="1"/>
    <row r="39" ht="20.25" customHeight="1"/>
    <row r="40" ht="20.25" customHeight="1"/>
    <row r="41" ht="20.25" customHeight="1"/>
    <row r="42" ht="20.25" customHeight="1"/>
    <row r="43" ht="20.25" customHeight="1"/>
    <row r="44" ht="20.25" customHeight="1"/>
    <row r="45" ht="20.25" customHeight="1"/>
    <row r="46" ht="20.25" customHeight="1"/>
    <row r="47" ht="20.25" customHeight="1"/>
    <row r="4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row r="89" ht="20.25" customHeight="1"/>
    <row r="90" ht="20.25" customHeight="1"/>
    <row r="91" ht="20.25" customHeight="1"/>
    <row r="92" ht="20.25" customHeight="1"/>
    <row r="93" ht="20.25" customHeight="1"/>
    <row r="94" ht="20.25" customHeight="1"/>
    <row r="95" ht="20.25" customHeight="1"/>
    <row r="96" ht="20.25" customHeight="1"/>
    <row r="97" ht="20.25" customHeight="1"/>
    <row r="98" ht="20.25" customHeight="1"/>
    <row r="99" ht="20.25" customHeight="1"/>
    <row r="100" ht="20.25" customHeight="1"/>
    <row r="101" ht="20.25" customHeight="1"/>
    <row r="102" ht="20.25" customHeight="1"/>
    <row r="103" ht="20.25" customHeight="1"/>
    <row r="104" ht="20.25" customHeight="1"/>
    <row r="105" ht="20.25" customHeight="1"/>
    <row r="106" ht="20.25" customHeight="1"/>
    <row r="107" ht="20.25" customHeight="1"/>
    <row r="108" ht="20.25" customHeight="1"/>
    <row r="109" ht="20.25" customHeight="1"/>
    <row r="110" ht="20.25" customHeight="1"/>
    <row r="111" ht="20.25" customHeight="1"/>
    <row r="112" ht="20.25" customHeight="1"/>
    <row r="113" ht="20.25" customHeight="1"/>
    <row r="114" ht="20.25" customHeight="1"/>
    <row r="115" ht="20.25" customHeight="1"/>
    <row r="116" ht="20.25" customHeight="1"/>
    <row r="117" ht="20.25" customHeight="1"/>
    <row r="118" ht="20.25" customHeight="1"/>
    <row r="119" ht="20.25" customHeight="1"/>
    <row r="120" ht="20.25" customHeight="1"/>
    <row r="121" ht="20.25" customHeight="1"/>
    <row r="122" ht="20.25" customHeight="1"/>
    <row r="123" ht="20.25" customHeight="1"/>
    <row r="124" ht="20.25" customHeight="1"/>
    <row r="125" ht="20.25" customHeight="1"/>
    <row r="126" ht="20.25" customHeight="1"/>
    <row r="127" ht="20.25" customHeight="1"/>
    <row r="128" ht="20.25" customHeight="1"/>
    <row r="129" ht="20.25" customHeight="1"/>
    <row r="130" ht="20.25" customHeight="1"/>
    <row r="131" ht="20.25" customHeight="1"/>
    <row r="132" ht="20.25" customHeight="1"/>
    <row r="133" ht="20.25" customHeight="1"/>
    <row r="134" ht="20.25" customHeight="1"/>
    <row r="135" ht="20.25" customHeight="1"/>
    <row r="136" ht="20.25" customHeight="1"/>
    <row r="137" ht="20.25" customHeight="1"/>
    <row r="138" ht="20.25" customHeight="1"/>
    <row r="139" ht="20.25" customHeight="1"/>
    <row r="140" ht="20.25" customHeight="1"/>
    <row r="141" ht="20.25" customHeight="1"/>
    <row r="142" ht="20.25" customHeight="1"/>
    <row r="143" ht="20.25" customHeight="1"/>
    <row r="144" ht="20.25" customHeight="1"/>
    <row r="145" ht="20.25" customHeight="1"/>
    <row r="146" ht="20.25" customHeight="1"/>
    <row r="147" ht="20.25" customHeight="1"/>
    <row r="148" ht="20.25" customHeight="1"/>
    <row r="149" ht="20.25" customHeight="1"/>
    <row r="150" ht="20.25" customHeight="1"/>
    <row r="151" ht="20.25" customHeight="1"/>
    <row r="152" ht="20.25" customHeight="1"/>
    <row r="153" ht="20.25" customHeight="1"/>
    <row r="154" ht="20.25" customHeight="1"/>
    <row r="155" ht="20.25" customHeight="1"/>
    <row r="156" ht="20.25" customHeight="1"/>
    <row r="157" ht="20.25" customHeight="1"/>
    <row r="158" ht="20.25" customHeight="1"/>
    <row r="159" ht="20.25" customHeight="1"/>
    <row r="160" ht="20.25" customHeight="1"/>
    <row r="161" ht="20.25" customHeight="1"/>
    <row r="162" ht="20.25" customHeight="1"/>
    <row r="163" ht="20.25" customHeight="1"/>
    <row r="164" ht="20.25" customHeight="1"/>
    <row r="165" ht="20.25" customHeight="1"/>
    <row r="166" ht="20.25" customHeight="1"/>
    <row r="167" ht="20.25" customHeight="1"/>
    <row r="168" ht="20.25" customHeight="1"/>
    <row r="169" ht="20.25" customHeight="1"/>
    <row r="170" ht="20.25" customHeight="1"/>
    <row r="171" ht="20.25" customHeight="1"/>
  </sheetData>
  <phoneticPr fontId="57" type="noConversion"/>
  <dataValidations count="2">
    <dataValidation type="textLength" errorStyle="information" allowBlank="1" showInputMessage="1" showErrorMessage="1" error="XLBVal:8=The Diaoyutai Hotel Hangzhou_x000d__x000a_" sqref="C2">
      <formula1>0</formula1>
      <formula2>300</formula2>
    </dataValidation>
    <dataValidation type="textLength" errorStyle="information" allowBlank="1" showInputMessage="1" showErrorMessage="1" error="XLBVal:8=杭州钓鱼台酒店_x000d__x000a_" sqref="C3">
      <formula1>0</formula1>
      <formula2>300</formula2>
    </dataValidation>
  </dataValidation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FFFF00"/>
    <pageSetUpPr fitToPage="1"/>
  </sheetPr>
  <dimension ref="A1:AD87"/>
  <sheetViews>
    <sheetView tabSelected="1" zoomScale="50" zoomScaleNormal="50" zoomScaleSheetLayoutView="44" workbookViewId="0">
      <pane xSplit="4" ySplit="10" topLeftCell="E11" activePane="bottomRight" state="frozen"/>
      <selection activeCell="D8" sqref="D8"/>
      <selection pane="topRight" activeCell="D8" sqref="D8"/>
      <selection pane="bottomLeft" activeCell="D8" sqref="D8"/>
      <selection pane="bottomRight" activeCell="AB44" sqref="AB44"/>
    </sheetView>
  </sheetViews>
  <sheetFormatPr defaultColWidth="9.125" defaultRowHeight="26.25" customHeight="1" outlineLevelRow="1" outlineLevelCol="1"/>
  <cols>
    <col min="1" max="2" width="15.5" style="204" hidden="1" customWidth="1" outlineLevel="1"/>
    <col min="3" max="3" width="15.875" style="204" hidden="1" customWidth="1" outlineLevel="1"/>
    <col min="4" max="4" width="63.875" style="204" customWidth="1" collapsed="1"/>
    <col min="5" max="7" width="22.375" style="205" customWidth="1"/>
    <col min="8" max="8" width="21.125" style="206" customWidth="1"/>
    <col min="9" max="9" width="22.125" style="206" customWidth="1"/>
    <col min="10" max="10" width="22.125" style="207" customWidth="1"/>
    <col min="11" max="11" width="23.25" style="207" customWidth="1"/>
    <col min="12" max="12" width="23.5" style="5" customWidth="1"/>
    <col min="13" max="13" width="22.75" style="207" customWidth="1"/>
    <col min="14" max="14" width="21.875" style="207" customWidth="1"/>
    <col min="15" max="15" width="22.75" style="207" customWidth="1"/>
    <col min="16" max="16" width="21.75" style="207" customWidth="1"/>
    <col min="17" max="17" width="24" style="207" customWidth="1"/>
    <col min="18" max="18" width="3" style="207" hidden="1" customWidth="1"/>
    <col min="19" max="19" width="14.125" style="207" customWidth="1"/>
    <col min="20" max="20" width="30" style="338" hidden="1" customWidth="1"/>
    <col min="21" max="21" width="29" style="338" hidden="1" customWidth="1"/>
    <col min="22" max="22" width="21.25" style="338" hidden="1" customWidth="1"/>
    <col min="23" max="23" width="22.5" style="208" hidden="1" customWidth="1"/>
    <col min="24" max="24" width="23.875" style="207" hidden="1" customWidth="1"/>
    <col min="25" max="25" width="26.5" style="207" hidden="1" customWidth="1"/>
    <col min="26" max="26" width="23.875" style="207" hidden="1" customWidth="1"/>
    <col min="27" max="27" width="24.5" style="207" bestFit="1" customWidth="1"/>
    <col min="28" max="28" width="23.125" style="207" bestFit="1" customWidth="1"/>
    <col min="29" max="29" width="20.875" style="207" customWidth="1"/>
    <col min="30" max="30" width="22.625" style="338" bestFit="1" customWidth="1"/>
    <col min="31" max="16384" width="9.125" style="207"/>
  </cols>
  <sheetData>
    <row r="1" spans="1:30" s="1" customFormat="1" ht="15" customHeight="1" outlineLevel="1">
      <c r="D1" s="209" t="s">
        <v>1097</v>
      </c>
      <c r="E1" s="9"/>
      <c r="F1" s="9"/>
      <c r="G1" s="9"/>
      <c r="H1" s="9"/>
      <c r="I1" s="9"/>
      <c r="J1" s="9"/>
      <c r="K1" s="9"/>
      <c r="L1" s="9"/>
      <c r="M1" s="9"/>
      <c r="N1" s="9"/>
      <c r="O1" s="9"/>
      <c r="P1" s="9"/>
      <c r="Q1" s="9"/>
      <c r="R1" s="9" t="s">
        <v>14</v>
      </c>
      <c r="T1" s="337"/>
      <c r="U1" s="337"/>
      <c r="V1" s="337"/>
      <c r="W1" s="176"/>
      <c r="AD1" s="337"/>
    </row>
    <row r="2" spans="1:30" s="1" customFormat="1" ht="15" hidden="1" customHeight="1" outlineLevel="1">
      <c r="E2" s="9"/>
      <c r="F2" s="9"/>
      <c r="G2" s="9"/>
      <c r="H2" s="9"/>
      <c r="I2" s="9"/>
      <c r="J2" s="9"/>
      <c r="K2" s="9"/>
      <c r="L2" s="9"/>
      <c r="M2" s="9"/>
      <c r="N2" s="9"/>
      <c r="O2" s="9"/>
      <c r="P2" s="9"/>
      <c r="Q2" s="9"/>
      <c r="R2" s="9" t="s">
        <v>15</v>
      </c>
      <c r="T2" s="337"/>
      <c r="U2" s="337"/>
      <c r="V2" s="337"/>
      <c r="W2" s="176"/>
      <c r="AD2" s="337"/>
    </row>
    <row r="3" spans="1:30" s="1" customFormat="1" ht="15" hidden="1" customHeight="1" outlineLevel="1">
      <c r="E3" s="9"/>
      <c r="F3" s="9"/>
      <c r="G3" s="9"/>
      <c r="H3" s="9"/>
      <c r="I3" s="9"/>
      <c r="J3" s="9"/>
      <c r="K3" s="9"/>
      <c r="L3" s="9"/>
      <c r="M3" s="9"/>
      <c r="N3" s="9"/>
      <c r="O3" s="9"/>
      <c r="P3" s="9"/>
      <c r="Q3" s="9"/>
      <c r="R3" s="9" t="s">
        <v>13</v>
      </c>
      <c r="T3" s="337"/>
      <c r="U3" s="337"/>
      <c r="V3" s="337"/>
      <c r="W3" s="176"/>
      <c r="AD3" s="337"/>
    </row>
    <row r="4" spans="1:30" ht="24.95" customHeight="1" collapsed="1">
      <c r="A4" s="210"/>
      <c r="B4" s="210"/>
      <c r="C4" s="210"/>
      <c r="D4" s="211" t="s">
        <v>16</v>
      </c>
      <c r="F4" s="212"/>
      <c r="G4" s="212"/>
    </row>
    <row r="5" spans="1:30" ht="24.95" customHeight="1">
      <c r="A5" s="210"/>
      <c r="B5" s="210"/>
      <c r="C5" s="210"/>
      <c r="D5" s="213" t="s">
        <v>17</v>
      </c>
      <c r="F5" s="212"/>
      <c r="G5" s="212"/>
    </row>
    <row r="6" spans="1:30" ht="24.95" customHeight="1">
      <c r="A6" s="210"/>
      <c r="B6" s="210"/>
      <c r="C6" s="210"/>
      <c r="D6" s="211" t="s">
        <v>18</v>
      </c>
      <c r="E6" s="212"/>
      <c r="F6" s="212"/>
      <c r="G6" s="214"/>
      <c r="H6" s="214"/>
      <c r="Q6" s="346"/>
    </row>
    <row r="7" spans="1:30" ht="24.95" customHeight="1">
      <c r="D7" s="15" t="s">
        <v>1187</v>
      </c>
    </row>
    <row r="8" spans="1:30" ht="24.95" hidden="1" customHeight="1">
      <c r="I8" s="231"/>
    </row>
    <row r="9" spans="1:30" s="202" customFormat="1" ht="24.95" customHeight="1">
      <c r="A9" s="215"/>
      <c r="B9" s="215"/>
      <c r="C9" s="216"/>
      <c r="D9" s="215"/>
      <c r="E9" s="18">
        <v>1</v>
      </c>
      <c r="F9" s="18">
        <v>2</v>
      </c>
      <c r="G9" s="18">
        <v>3</v>
      </c>
      <c r="H9" s="18">
        <v>4</v>
      </c>
      <c r="I9" s="18">
        <v>5</v>
      </c>
      <c r="J9" s="18">
        <v>6</v>
      </c>
      <c r="K9" s="18">
        <v>7</v>
      </c>
      <c r="L9" s="18">
        <v>8</v>
      </c>
      <c r="M9" s="18">
        <v>9</v>
      </c>
      <c r="N9" s="18">
        <v>10</v>
      </c>
      <c r="O9" s="18">
        <v>11</v>
      </c>
      <c r="P9" s="18">
        <v>12</v>
      </c>
      <c r="Q9" s="18">
        <v>2025</v>
      </c>
      <c r="R9" s="18">
        <v>2018</v>
      </c>
      <c r="T9" s="339"/>
      <c r="U9" s="339"/>
      <c r="V9" s="354"/>
      <c r="W9" s="233"/>
      <c r="AA9" s="229"/>
      <c r="AD9" s="315"/>
    </row>
    <row r="10" spans="1:30" s="203" customFormat="1" ht="39.950000000000003" customHeight="1">
      <c r="A10" s="216" t="s">
        <v>19</v>
      </c>
      <c r="B10" s="216" t="s">
        <v>20</v>
      </c>
      <c r="C10" s="216"/>
      <c r="D10" s="189"/>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22</v>
      </c>
      <c r="T10" s="340" t="s">
        <v>1172</v>
      </c>
      <c r="U10" s="340" t="s">
        <v>1175</v>
      </c>
      <c r="V10" s="354"/>
      <c r="W10" s="233"/>
      <c r="AA10" s="392"/>
      <c r="AD10" s="341"/>
    </row>
    <row r="11" spans="1:30" s="202" customFormat="1" ht="24.95" customHeight="1">
      <c r="A11" s="189" t="s">
        <v>26</v>
      </c>
      <c r="B11" s="189" t="s">
        <v>27</v>
      </c>
      <c r="C11" s="217"/>
      <c r="D11" s="189" t="s">
        <v>28</v>
      </c>
      <c r="E11" s="155">
        <f>'Rooms Summary'!E20</f>
        <v>1389650</v>
      </c>
      <c r="F11" s="155">
        <f>'Rooms Summary'!F20</f>
        <v>1221792.5</v>
      </c>
      <c r="G11" s="155">
        <f>'Rooms Summary'!G20</f>
        <v>1628432.5</v>
      </c>
      <c r="H11" s="155">
        <f>'Rooms Summary'!H20</f>
        <v>1851742.2</v>
      </c>
      <c r="I11" s="155">
        <f>'Rooms Summary'!I20</f>
        <v>1950237.3</v>
      </c>
      <c r="J11" s="155">
        <f>'Rooms Summary'!J20</f>
        <v>1741632.2</v>
      </c>
      <c r="K11" s="155">
        <f>'Rooms Summary'!K20</f>
        <v>1986262.3</v>
      </c>
      <c r="L11" s="155">
        <f>'Rooms Summary'!L20</f>
        <v>2036862.3</v>
      </c>
      <c r="M11" s="155">
        <f>'Rooms Summary'!M20</f>
        <v>2033352.2</v>
      </c>
      <c r="N11" s="155">
        <f>'Rooms Summary'!N20</f>
        <v>2149584.7999999998</v>
      </c>
      <c r="O11" s="155">
        <f>'Rooms Summary'!O20</f>
        <v>2043692.2</v>
      </c>
      <c r="P11" s="155">
        <f>'Rooms Summary'!P20</f>
        <v>1967232.3</v>
      </c>
      <c r="Q11" s="155">
        <f>SUM(E11:P11)</f>
        <v>22000472.800000001</v>
      </c>
      <c r="R11" s="155">
        <v>48895291.799999997</v>
      </c>
      <c r="S11" s="234">
        <f t="shared" ref="S11:S16" si="0">Q11/$Q$16</f>
        <v>0.6615133558420242</v>
      </c>
      <c r="T11" s="232">
        <v>20169263.549999997</v>
      </c>
      <c r="U11" s="232">
        <v>22316675.820000004</v>
      </c>
      <c r="V11" s="315">
        <f>Q11-U11</f>
        <v>-316203.02000000328</v>
      </c>
      <c r="W11" s="40"/>
      <c r="Y11" s="155"/>
      <c r="Z11" s="235"/>
      <c r="AA11" s="315"/>
      <c r="AB11" s="389"/>
      <c r="AC11" s="342"/>
      <c r="AD11" s="315"/>
    </row>
    <row r="12" spans="1:30" s="202" customFormat="1" ht="24.95" customHeight="1">
      <c r="A12" s="189" t="s">
        <v>29</v>
      </c>
      <c r="B12" s="189" t="s">
        <v>30</v>
      </c>
      <c r="C12" s="217"/>
      <c r="D12" s="189" t="s">
        <v>31</v>
      </c>
      <c r="E12" s="155">
        <f>+'F&amp;B Summary'!E50</f>
        <v>822696</v>
      </c>
      <c r="F12" s="155">
        <f>+'F&amp;B Summary'!F50</f>
        <v>547052</v>
      </c>
      <c r="G12" s="155">
        <f>+'F&amp;B Summary'!G50</f>
        <v>666028</v>
      </c>
      <c r="H12" s="155">
        <f>+'F&amp;B Summary'!H50</f>
        <v>872788</v>
      </c>
      <c r="I12" s="155">
        <f>+'F&amp;B Summary'!I50</f>
        <v>1098624</v>
      </c>
      <c r="J12" s="155">
        <f>+'F&amp;B Summary'!J50</f>
        <v>827168</v>
      </c>
      <c r="K12" s="155">
        <f>+'F&amp;B Summary'!K50</f>
        <v>934568</v>
      </c>
      <c r="L12" s="155">
        <f>+'F&amp;B Summary'!L50</f>
        <v>957208</v>
      </c>
      <c r="M12" s="155">
        <f>+'F&amp;B Summary'!M50</f>
        <v>1019848</v>
      </c>
      <c r="N12" s="155">
        <f>+'F&amp;B Summary'!N50</f>
        <v>1264508</v>
      </c>
      <c r="O12" s="155">
        <f>+'F&amp;B Summary'!O50</f>
        <v>849568</v>
      </c>
      <c r="P12" s="155">
        <f>+'F&amp;B Summary'!P50</f>
        <v>790008</v>
      </c>
      <c r="Q12" s="155">
        <f>SUM(E12:P12)</f>
        <v>10650064</v>
      </c>
      <c r="R12" s="155">
        <v>39757380.901000001</v>
      </c>
      <c r="S12" s="234">
        <f t="shared" si="0"/>
        <v>0.32022764422464284</v>
      </c>
      <c r="T12" s="232">
        <v>11086516.41</v>
      </c>
      <c r="U12" s="232">
        <v>10786584.68</v>
      </c>
      <c r="V12" s="315">
        <f t="shared" ref="V12:V16" si="1">Q12-U12</f>
        <v>-136520.6799999997</v>
      </c>
      <c r="W12" s="40"/>
      <c r="Y12" s="232"/>
      <c r="Z12" s="235"/>
      <c r="AA12" s="315"/>
      <c r="AB12" s="389"/>
      <c r="AC12" s="342"/>
      <c r="AD12" s="315"/>
    </row>
    <row r="13" spans="1:30" s="202" customFormat="1" ht="24.95" customHeight="1">
      <c r="A13" s="189" t="s">
        <v>32</v>
      </c>
      <c r="B13" s="189" t="s">
        <v>33</v>
      </c>
      <c r="C13" s="217"/>
      <c r="D13" s="202" t="s">
        <v>1179</v>
      </c>
      <c r="E13" s="155">
        <f>+SUM(OOD!E12:E26)</f>
        <v>8500</v>
      </c>
      <c r="F13" s="155">
        <f>+SUM(OOD!F12:F26)</f>
        <v>8500</v>
      </c>
      <c r="G13" s="155">
        <f>+SUM(OOD!G12:G26)</f>
        <v>7500</v>
      </c>
      <c r="H13" s="155">
        <f>+SUM(OOD!H12:H26)</f>
        <v>7500</v>
      </c>
      <c r="I13" s="155">
        <f>+SUM(OOD!I12:I26)</f>
        <v>8500</v>
      </c>
      <c r="J13" s="155">
        <f>+SUM(OOD!J12:J26)</f>
        <v>7500</v>
      </c>
      <c r="K13" s="155">
        <f>+SUM(OOD!K12:K26)</f>
        <v>7500</v>
      </c>
      <c r="L13" s="155">
        <f>+SUM(OOD!L12:L26)</f>
        <v>7500</v>
      </c>
      <c r="M13" s="155">
        <f>+SUM(OOD!M12:M26)</f>
        <v>7500</v>
      </c>
      <c r="N13" s="155">
        <f>+SUM(OOD!N12:N26)</f>
        <v>8500</v>
      </c>
      <c r="O13" s="155">
        <f>+SUM(OOD!O12:O26)</f>
        <v>8800</v>
      </c>
      <c r="P13" s="155">
        <f>+SUM(OOD!P12:P26)</f>
        <v>8800</v>
      </c>
      <c r="Q13" s="155">
        <f t="shared" ref="Q13:Q15" si="2">SUM(E13:P13)</f>
        <v>96600</v>
      </c>
      <c r="R13" s="155">
        <v>2231199.08</v>
      </c>
      <c r="S13" s="234">
        <f t="shared" si="0"/>
        <v>2.904582585804226E-3</v>
      </c>
      <c r="T13" s="232">
        <v>32134.9</v>
      </c>
      <c r="U13" s="232">
        <v>74640.429999999993</v>
      </c>
      <c r="V13" s="315">
        <f t="shared" si="1"/>
        <v>21959.570000000007</v>
      </c>
      <c r="W13" s="40"/>
      <c r="Y13" s="232"/>
      <c r="Z13" s="235"/>
      <c r="AA13" s="315"/>
      <c r="AB13" s="389"/>
      <c r="AC13" s="342"/>
      <c r="AD13" s="315"/>
    </row>
    <row r="14" spans="1:30" s="202" customFormat="1" ht="24.95" hidden="1" customHeight="1">
      <c r="A14" s="189" t="s">
        <v>34</v>
      </c>
      <c r="B14" s="189" t="s">
        <v>35</v>
      </c>
      <c r="C14" s="217"/>
      <c r="D14" s="189" t="s">
        <v>36</v>
      </c>
      <c r="E14" s="155"/>
      <c r="F14" s="155"/>
      <c r="G14" s="155"/>
      <c r="H14" s="155"/>
      <c r="I14" s="155"/>
      <c r="J14" s="155"/>
      <c r="K14" s="155"/>
      <c r="L14" s="155"/>
      <c r="M14" s="155"/>
      <c r="N14" s="155"/>
      <c r="O14" s="155"/>
      <c r="P14" s="155"/>
      <c r="Q14" s="155">
        <f t="shared" si="2"/>
        <v>0</v>
      </c>
      <c r="R14" s="155">
        <v>0</v>
      </c>
      <c r="S14" s="234">
        <f t="shared" si="0"/>
        <v>0</v>
      </c>
      <c r="T14" s="232">
        <v>0</v>
      </c>
      <c r="U14" s="232">
        <v>0</v>
      </c>
      <c r="V14" s="315">
        <f t="shared" si="1"/>
        <v>0</v>
      </c>
      <c r="W14" s="40"/>
      <c r="Y14" s="232"/>
      <c r="Z14" s="235"/>
      <c r="AA14" s="315"/>
      <c r="AB14" s="389"/>
      <c r="AC14" s="342"/>
      <c r="AD14" s="315"/>
    </row>
    <row r="15" spans="1:30" s="202" customFormat="1" ht="24.95" customHeight="1">
      <c r="A15" s="189" t="s">
        <v>37</v>
      </c>
      <c r="B15" s="189" t="s">
        <v>35</v>
      </c>
      <c r="C15" s="217"/>
      <c r="D15" s="189" t="s">
        <v>38</v>
      </c>
      <c r="E15" s="155">
        <v>39000</v>
      </c>
      <c r="F15" s="155">
        <v>39000</v>
      </c>
      <c r="G15" s="155">
        <v>39000</v>
      </c>
      <c r="H15" s="155">
        <v>39000</v>
      </c>
      <c r="I15" s="155">
        <v>39000</v>
      </c>
      <c r="J15" s="155">
        <f>30000+2522+10000</f>
        <v>42522</v>
      </c>
      <c r="K15" s="155">
        <f t="shared" ref="K15:P15" si="3">33000+2522+10000</f>
        <v>45522</v>
      </c>
      <c r="L15" s="155">
        <f t="shared" si="3"/>
        <v>45522</v>
      </c>
      <c r="M15" s="155">
        <f t="shared" si="3"/>
        <v>45522</v>
      </c>
      <c r="N15" s="155">
        <f t="shared" si="3"/>
        <v>45522</v>
      </c>
      <c r="O15" s="155">
        <f t="shared" si="3"/>
        <v>45522</v>
      </c>
      <c r="P15" s="155">
        <f t="shared" si="3"/>
        <v>45522</v>
      </c>
      <c r="Q15" s="155">
        <f t="shared" si="2"/>
        <v>510654</v>
      </c>
      <c r="R15" s="155">
        <v>44197.760000000002</v>
      </c>
      <c r="S15" s="234">
        <f t="shared" si="0"/>
        <v>1.5354417347528687E-2</v>
      </c>
      <c r="T15" s="232">
        <v>226064.48999999996</v>
      </c>
      <c r="U15" s="232">
        <v>297844.45999999996</v>
      </c>
      <c r="V15" s="315">
        <f t="shared" si="1"/>
        <v>212809.54000000004</v>
      </c>
      <c r="W15" s="40"/>
      <c r="Y15" s="232"/>
      <c r="Z15" s="235"/>
      <c r="AA15" s="315"/>
      <c r="AB15" s="389"/>
      <c r="AC15" s="342"/>
      <c r="AD15" s="315"/>
    </row>
    <row r="16" spans="1:30" s="202" customFormat="1" ht="24.95" customHeight="1">
      <c r="A16" s="189"/>
      <c r="B16" s="189"/>
      <c r="C16" s="218"/>
      <c r="D16" s="218" t="s">
        <v>39</v>
      </c>
      <c r="E16" s="219">
        <f>SUBTOTAL(9,E11:E15)</f>
        <v>2259846</v>
      </c>
      <c r="F16" s="219">
        <f t="shared" ref="F16:Q16" si="4">SUBTOTAL(9,F11:F15)</f>
        <v>1816344.5</v>
      </c>
      <c r="G16" s="219">
        <f t="shared" si="4"/>
        <v>2340960.5</v>
      </c>
      <c r="H16" s="219">
        <f t="shared" si="4"/>
        <v>2771030.2</v>
      </c>
      <c r="I16" s="219">
        <f t="shared" si="4"/>
        <v>3096361.3</v>
      </c>
      <c r="J16" s="219">
        <f t="shared" si="4"/>
        <v>2618822.2000000002</v>
      </c>
      <c r="K16" s="219">
        <f t="shared" si="4"/>
        <v>2973852.3</v>
      </c>
      <c r="L16" s="219">
        <f t="shared" si="4"/>
        <v>3047092.3</v>
      </c>
      <c r="M16" s="219">
        <f t="shared" si="4"/>
        <v>3106222.2</v>
      </c>
      <c r="N16" s="219">
        <f t="shared" si="4"/>
        <v>3468114.8</v>
      </c>
      <c r="O16" s="219">
        <f t="shared" si="4"/>
        <v>2947582.2</v>
      </c>
      <c r="P16" s="219">
        <f t="shared" si="4"/>
        <v>2811562.3</v>
      </c>
      <c r="Q16" s="378">
        <f t="shared" si="4"/>
        <v>33257790.800000001</v>
      </c>
      <c r="R16" s="219">
        <v>90928069.540999994</v>
      </c>
      <c r="S16" s="234">
        <f t="shared" si="0"/>
        <v>1</v>
      </c>
      <c r="T16" s="232">
        <f t="shared" ref="T16:U16" si="5">SUBTOTAL(9,T11:T15)</f>
        <v>31513979.349999994</v>
      </c>
      <c r="U16" s="232">
        <f t="shared" si="5"/>
        <v>33475745.390000004</v>
      </c>
      <c r="V16" s="315">
        <f t="shared" si="1"/>
        <v>-217954.59000000358</v>
      </c>
      <c r="W16" s="40"/>
      <c r="Y16" s="232">
        <v>34163000</v>
      </c>
      <c r="Z16" s="235"/>
      <c r="AA16" s="315"/>
      <c r="AB16" s="389"/>
      <c r="AD16" s="315"/>
    </row>
    <row r="17" spans="1:30" s="202" customFormat="1" ht="24.95" customHeight="1">
      <c r="A17" s="189"/>
      <c r="B17" s="189"/>
      <c r="C17" s="189"/>
      <c r="D17" s="189"/>
      <c r="E17" s="220"/>
      <c r="F17" s="220"/>
      <c r="G17" s="220"/>
      <c r="H17" s="220"/>
      <c r="I17" s="220"/>
      <c r="J17" s="220"/>
      <c r="K17" s="220"/>
      <c r="L17" s="220"/>
      <c r="M17" s="220"/>
      <c r="N17" s="220"/>
      <c r="O17" s="220"/>
      <c r="P17" s="220"/>
      <c r="Q17" s="362"/>
      <c r="S17" s="235"/>
      <c r="T17" s="315"/>
      <c r="U17" s="315"/>
      <c r="V17" s="315"/>
      <c r="W17" s="236"/>
      <c r="AA17" s="342"/>
      <c r="AB17" s="389"/>
      <c r="AD17" s="315"/>
    </row>
    <row r="18" spans="1:30" s="202" customFormat="1" ht="24.95" customHeight="1">
      <c r="A18" s="189" t="s">
        <v>40</v>
      </c>
      <c r="B18" s="189" t="s">
        <v>27</v>
      </c>
      <c r="C18" s="189"/>
      <c r="D18" s="189" t="s">
        <v>41</v>
      </c>
      <c r="E18" s="43">
        <f>'Rooms Summary'!E103+'Rooms Summary'!E156</f>
        <v>541450.15999999992</v>
      </c>
      <c r="F18" s="43">
        <f>'Rooms Summary'!F103+'Rooms Summary'!F156</f>
        <v>496938.39999999997</v>
      </c>
      <c r="G18" s="43">
        <f>'Rooms Summary'!G103+'Rooms Summary'!G156</f>
        <v>537739.87999999989</v>
      </c>
      <c r="H18" s="43">
        <f>'Rooms Summary'!H103+'Rooms Summary'!H156</f>
        <v>598657.39999999991</v>
      </c>
      <c r="I18" s="43">
        <f>'Rooms Summary'!I103+'Rooms Summary'!I156</f>
        <v>632966.84999999986</v>
      </c>
      <c r="J18" s="43">
        <f>'Rooms Summary'!J103+'Rooms Summary'!J156</f>
        <v>597130.8899999999</v>
      </c>
      <c r="K18" s="43">
        <f>'Rooms Summary'!K103+'Rooms Summary'!K156</f>
        <v>622141.86999999988</v>
      </c>
      <c r="L18" s="43">
        <f>'Rooms Summary'!L103+'Rooms Summary'!L156</f>
        <v>632662.15999999992</v>
      </c>
      <c r="M18" s="43">
        <f>'Rooms Summary'!M103+'Rooms Summary'!M156</f>
        <v>630606.56999999995</v>
      </c>
      <c r="N18" s="43">
        <f>'Rooms Summary'!N103+'Rooms Summary'!N156</f>
        <v>677551.22</v>
      </c>
      <c r="O18" s="43">
        <f>'Rooms Summary'!O103+'Rooms Summary'!O156</f>
        <v>619085.5</v>
      </c>
      <c r="P18" s="43">
        <f>'Rooms Summary'!P103+'Rooms Summary'!P156</f>
        <v>618356.93999999994</v>
      </c>
      <c r="Q18" s="366">
        <f>SUM(E18:P18)</f>
        <v>7205287.8399999999</v>
      </c>
      <c r="R18" s="232">
        <v>12968787.4891892</v>
      </c>
      <c r="S18" s="234">
        <f>Q18/Q11</f>
        <v>0.32750604523371879</v>
      </c>
      <c r="T18" s="232">
        <v>7681307.4199999999</v>
      </c>
      <c r="U18" s="232">
        <v>7436602.8889656933</v>
      </c>
      <c r="V18" s="315">
        <f>Q18-U18</f>
        <v>-231315.04896569345</v>
      </c>
      <c r="W18" s="314">
        <v>386561.22999999986</v>
      </c>
      <c r="X18" s="315">
        <f>V18-W18</f>
        <v>-617876.27896569332</v>
      </c>
      <c r="Y18" s="232"/>
      <c r="Z18" s="235"/>
      <c r="AA18" s="232"/>
      <c r="AB18" s="389"/>
      <c r="AD18" s="315"/>
    </row>
    <row r="19" spans="1:30" s="202" customFormat="1" ht="24.95" customHeight="1">
      <c r="A19" s="189" t="s">
        <v>40</v>
      </c>
      <c r="B19" s="189" t="s">
        <v>30</v>
      </c>
      <c r="C19" s="189"/>
      <c r="D19" s="189" t="s">
        <v>42</v>
      </c>
      <c r="E19" s="43">
        <f>+'F&amp;B Summary'!E57+'F&amp;B Summary'!E59+'F&amp;B Summary'!E130</f>
        <v>763779.0199999999</v>
      </c>
      <c r="F19" s="43">
        <f>+'F&amp;B Summary'!F57+'F&amp;B Summary'!F59+'F&amp;B Summary'!F130</f>
        <v>653185.82000000007</v>
      </c>
      <c r="G19" s="43">
        <f>+'F&amp;B Summary'!G57+'F&amp;B Summary'!G59+'F&amp;B Summary'!G130</f>
        <v>664869.72</v>
      </c>
      <c r="H19" s="43">
        <f>+'F&amp;B Summary'!H57+'F&amp;B Summary'!H59+'F&amp;B Summary'!H130</f>
        <v>777843.98</v>
      </c>
      <c r="I19" s="43">
        <f>+'F&amp;B Summary'!I57+'F&amp;B Summary'!I59+'F&amp;B Summary'!I130</f>
        <v>921193.79</v>
      </c>
      <c r="J19" s="43">
        <f>+'F&amp;B Summary'!J57+'F&amp;B Summary'!J59+'F&amp;B Summary'!J130</f>
        <v>773177.5</v>
      </c>
      <c r="K19" s="43">
        <f>+'F&amp;B Summary'!K57+'F&amp;B Summary'!K59+'F&amp;B Summary'!K130</f>
        <v>791615.43</v>
      </c>
      <c r="L19" s="43">
        <f>+'F&amp;B Summary'!L57+'F&amp;B Summary'!L59+'F&amp;B Summary'!L130</f>
        <v>791116.34</v>
      </c>
      <c r="M19" s="43">
        <f>+'F&amp;B Summary'!M57+'F&amp;B Summary'!M59+'F&amp;B Summary'!M130</f>
        <v>853839.97</v>
      </c>
      <c r="N19" s="43">
        <f>+'F&amp;B Summary'!N57+'F&amp;B Summary'!N59+'F&amp;B Summary'!N130</f>
        <v>1029156.11</v>
      </c>
      <c r="O19" s="43">
        <f>+'F&amp;B Summary'!O57+'F&amp;B Summary'!O59+'F&amp;B Summary'!O130</f>
        <v>740150.71</v>
      </c>
      <c r="P19" s="43">
        <f>+'F&amp;B Summary'!P57+'F&amp;B Summary'!P59+'F&amp;B Summary'!P130</f>
        <v>724153.27999999991</v>
      </c>
      <c r="Q19" s="366">
        <f>SUM(E19:P19)</f>
        <v>9484081.6699999999</v>
      </c>
      <c r="R19" s="232">
        <v>30954638.3495</v>
      </c>
      <c r="S19" s="234">
        <f>Q19/Q12</f>
        <v>0.89051874899531125</v>
      </c>
      <c r="T19" s="232">
        <v>10107967.48</v>
      </c>
      <c r="U19" s="232">
        <v>9985055.5254467167</v>
      </c>
      <c r="V19" s="315">
        <f>Q19-U19</f>
        <v>-500973.85544671677</v>
      </c>
      <c r="W19" s="40"/>
      <c r="Y19" s="232"/>
      <c r="Z19" s="235"/>
      <c r="AA19" s="232"/>
      <c r="AB19" s="403"/>
      <c r="AD19" s="315"/>
    </row>
    <row r="20" spans="1:30" s="202" customFormat="1" ht="24.95" customHeight="1">
      <c r="A20" s="189" t="s">
        <v>40</v>
      </c>
      <c r="B20" s="189" t="s">
        <v>33</v>
      </c>
      <c r="C20" s="189"/>
      <c r="D20" s="202" t="s">
        <v>1180</v>
      </c>
      <c r="E20" s="43">
        <f>+OOD!E98+OOD!E45</f>
        <v>33733.870000000003</v>
      </c>
      <c r="F20" s="43">
        <f>+OOD!F98+OOD!F45</f>
        <v>36033.65</v>
      </c>
      <c r="G20" s="43">
        <f>+OOD!G98+OOD!G45</f>
        <v>32376.28</v>
      </c>
      <c r="H20" s="43">
        <f>+OOD!H98+OOD!H45</f>
        <v>33877.53</v>
      </c>
      <c r="I20" s="43">
        <f>+OOD!I98+OOD!I45</f>
        <v>33895.840000000004</v>
      </c>
      <c r="J20" s="43">
        <f>+OOD!J98+OOD!J45</f>
        <v>33909.230000000003</v>
      </c>
      <c r="K20" s="43">
        <f>+OOD!K98+OOD!K45</f>
        <v>33741.78</v>
      </c>
      <c r="L20" s="43">
        <f>+OOD!L98+OOD!L45</f>
        <v>32548.82</v>
      </c>
      <c r="M20" s="43">
        <f>+OOD!M98+OOD!M45</f>
        <v>33993.730000000003</v>
      </c>
      <c r="N20" s="43">
        <f>+OOD!N98+OOD!N45</f>
        <v>36293.51</v>
      </c>
      <c r="O20" s="43">
        <f>+OOD!O98+OOD!O45</f>
        <v>32487.55</v>
      </c>
      <c r="P20" s="43">
        <f>+OOD!P98+OOD!P45</f>
        <v>32460.79</v>
      </c>
      <c r="Q20" s="366">
        <f>SUM(E20:P20)</f>
        <v>405352.57999999996</v>
      </c>
      <c r="R20" s="232">
        <v>1022491.63</v>
      </c>
      <c r="S20" s="234">
        <f>Q20/Q13</f>
        <v>4.1961964803312624</v>
      </c>
      <c r="T20" s="232">
        <v>355216.98</v>
      </c>
      <c r="U20" s="232">
        <v>252880.278318978</v>
      </c>
      <c r="V20" s="315">
        <f t="shared" ref="V20" si="6">Q20-U20</f>
        <v>152472.30168102196</v>
      </c>
      <c r="W20" s="40"/>
      <c r="Y20" s="232"/>
      <c r="Z20" s="235"/>
      <c r="AA20" s="232"/>
      <c r="AB20" s="389"/>
      <c r="AD20" s="315"/>
    </row>
    <row r="21" spans="1:30" s="202" customFormat="1" ht="24.95" customHeight="1">
      <c r="A21" s="189"/>
      <c r="B21" s="189"/>
      <c r="C21" s="218"/>
      <c r="D21" s="218" t="s">
        <v>43</v>
      </c>
      <c r="E21" s="350">
        <f>SUBTOTAL(9,E18:E20)</f>
        <v>1338963.0499999998</v>
      </c>
      <c r="F21" s="350">
        <f t="shared" ref="F21:Q21" si="7">SUBTOTAL(9,F18:F20)</f>
        <v>1186157.8699999999</v>
      </c>
      <c r="G21" s="350">
        <f t="shared" si="7"/>
        <v>1234985.8799999999</v>
      </c>
      <c r="H21" s="350">
        <f t="shared" si="7"/>
        <v>1410378.91</v>
      </c>
      <c r="I21" s="350">
        <f t="shared" si="7"/>
        <v>1588056.48</v>
      </c>
      <c r="J21" s="350">
        <f t="shared" si="7"/>
        <v>1404217.6199999999</v>
      </c>
      <c r="K21" s="350">
        <f t="shared" si="7"/>
        <v>1447499.0799999998</v>
      </c>
      <c r="L21" s="350">
        <f t="shared" si="7"/>
        <v>1456327.32</v>
      </c>
      <c r="M21" s="350">
        <f t="shared" si="7"/>
        <v>1518440.27</v>
      </c>
      <c r="N21" s="350">
        <f t="shared" si="7"/>
        <v>1743000.84</v>
      </c>
      <c r="O21" s="350">
        <f t="shared" si="7"/>
        <v>1391723.76</v>
      </c>
      <c r="P21" s="350">
        <f t="shared" si="7"/>
        <v>1374971.0099999998</v>
      </c>
      <c r="Q21" s="350">
        <f t="shared" si="7"/>
        <v>17094722.09</v>
      </c>
      <c r="R21" s="52">
        <v>44945917.468689203</v>
      </c>
      <c r="S21" s="234">
        <f>Q21/Q16</f>
        <v>0.51400654339313478</v>
      </c>
      <c r="T21" s="232">
        <f t="shared" ref="T21:U21" si="8">SUBTOTAL(9,T18:T20)</f>
        <v>18144491.879999999</v>
      </c>
      <c r="U21" s="232">
        <f t="shared" si="8"/>
        <v>17674538.692731388</v>
      </c>
      <c r="V21" s="315"/>
      <c r="W21" s="40"/>
      <c r="Y21" s="232"/>
      <c r="Z21" s="235"/>
      <c r="AA21" s="232"/>
      <c r="AB21" s="389"/>
      <c r="AD21" s="315"/>
    </row>
    <row r="22" spans="1:30" s="202" customFormat="1" ht="24.95" customHeight="1">
      <c r="A22" s="189"/>
      <c r="B22" s="189"/>
      <c r="C22" s="218"/>
      <c r="D22" s="218"/>
      <c r="E22" s="221"/>
      <c r="F22" s="369"/>
      <c r="G22" s="369"/>
      <c r="H22" s="369"/>
      <c r="I22" s="369"/>
      <c r="J22" s="369"/>
      <c r="K22" s="369"/>
      <c r="L22" s="369"/>
      <c r="M22" s="369"/>
      <c r="N22" s="369"/>
      <c r="O22" s="369"/>
      <c r="P22" s="369"/>
      <c r="Q22" s="237"/>
      <c r="T22" s="342"/>
      <c r="U22" s="315"/>
      <c r="V22" s="315"/>
      <c r="W22" s="236"/>
      <c r="AA22" s="232"/>
      <c r="AB22" s="389"/>
      <c r="AD22" s="315"/>
    </row>
    <row r="23" spans="1:30" s="202" customFormat="1" ht="24.95" customHeight="1">
      <c r="A23" s="189"/>
      <c r="B23" s="189"/>
      <c r="C23" s="189"/>
      <c r="D23" s="189" t="s">
        <v>1094</v>
      </c>
      <c r="E23" s="43">
        <f>E$11-E$18</f>
        <v>848199.84000000008</v>
      </c>
      <c r="F23" s="43">
        <f t="shared" ref="F23:O23" si="9">F$11-F$18</f>
        <v>724854.10000000009</v>
      </c>
      <c r="G23" s="43">
        <f t="shared" si="9"/>
        <v>1090692.6200000001</v>
      </c>
      <c r="H23" s="43">
        <f t="shared" si="9"/>
        <v>1253084.8</v>
      </c>
      <c r="I23" s="43">
        <f t="shared" si="9"/>
        <v>1317270.4500000002</v>
      </c>
      <c r="J23" s="43">
        <f t="shared" si="9"/>
        <v>1144501.31</v>
      </c>
      <c r="K23" s="43">
        <f t="shared" si="9"/>
        <v>1364120.4300000002</v>
      </c>
      <c r="L23" s="43">
        <f t="shared" si="9"/>
        <v>1404200.1400000001</v>
      </c>
      <c r="M23" s="43">
        <f t="shared" si="9"/>
        <v>1402745.63</v>
      </c>
      <c r="N23" s="43">
        <f t="shared" si="9"/>
        <v>1472033.5799999998</v>
      </c>
      <c r="O23" s="43">
        <f t="shared" si="9"/>
        <v>1424606.7</v>
      </c>
      <c r="P23" s="43">
        <f t="shared" ref="P23" si="10">P$11-P$18</f>
        <v>1348875.36</v>
      </c>
      <c r="Q23" s="366">
        <f>SUM(E23:P23)</f>
        <v>14795184.959999999</v>
      </c>
      <c r="R23" s="43">
        <v>35926504.310810797</v>
      </c>
      <c r="S23" s="234">
        <f t="shared" ref="S23:S28" si="11">Q23/Q11</f>
        <v>0.67249395476628115</v>
      </c>
      <c r="T23" s="232">
        <f>T11-T18</f>
        <v>12487956.129999997</v>
      </c>
      <c r="U23" s="232">
        <v>14880072.931034306</v>
      </c>
      <c r="V23" s="315"/>
      <c r="W23" s="40"/>
      <c r="Y23" s="232"/>
      <c r="Z23" s="235"/>
      <c r="AA23" s="232"/>
      <c r="AB23" s="389"/>
      <c r="AD23" s="315"/>
    </row>
    <row r="24" spans="1:30" s="202" customFormat="1" ht="24.95" customHeight="1">
      <c r="A24" s="189"/>
      <c r="B24" s="189"/>
      <c r="C24" s="189"/>
      <c r="D24" s="189" t="s">
        <v>44</v>
      </c>
      <c r="E24" s="43">
        <f>E$12-E$19</f>
        <v>58916.980000000098</v>
      </c>
      <c r="F24" s="43">
        <f t="shared" ref="F24:O24" si="12">F$12-F$19</f>
        <v>-106133.82000000007</v>
      </c>
      <c r="G24" s="43">
        <f t="shared" si="12"/>
        <v>1158.2800000000279</v>
      </c>
      <c r="H24" s="43">
        <f t="shared" si="12"/>
        <v>94944.020000000019</v>
      </c>
      <c r="I24" s="43">
        <f t="shared" si="12"/>
        <v>177430.20999999996</v>
      </c>
      <c r="J24" s="43">
        <f t="shared" si="12"/>
        <v>53990.5</v>
      </c>
      <c r="K24" s="43">
        <f t="shared" si="12"/>
        <v>142952.56999999995</v>
      </c>
      <c r="L24" s="43">
        <f t="shared" si="12"/>
        <v>166091.66000000003</v>
      </c>
      <c r="M24" s="43">
        <f t="shared" si="12"/>
        <v>166008.03000000003</v>
      </c>
      <c r="N24" s="43">
        <f t="shared" si="12"/>
        <v>235351.89</v>
      </c>
      <c r="O24" s="43">
        <f t="shared" si="12"/>
        <v>109417.29000000004</v>
      </c>
      <c r="P24" s="43">
        <f>P$12-P$19</f>
        <v>65854.720000000088</v>
      </c>
      <c r="Q24" s="366">
        <f>SUM(E24:P24)</f>
        <v>1165982.33</v>
      </c>
      <c r="R24" s="43">
        <v>8802742.5515000001</v>
      </c>
      <c r="S24" s="234">
        <f t="shared" si="11"/>
        <v>0.10948125100468881</v>
      </c>
      <c r="T24" s="232">
        <f t="shared" ref="T24:T25" si="13">T12-T19</f>
        <v>978548.9299999997</v>
      </c>
      <c r="U24" s="232">
        <v>801529.1545532837</v>
      </c>
      <c r="V24" s="315"/>
      <c r="W24" s="40"/>
      <c r="Y24" s="232"/>
      <c r="Z24" s="235"/>
      <c r="AA24" s="232"/>
      <c r="AB24" s="389"/>
      <c r="AD24" s="315"/>
    </row>
    <row r="25" spans="1:30" s="202" customFormat="1" ht="24.95" customHeight="1">
      <c r="A25" s="189"/>
      <c r="B25" s="189"/>
      <c r="C25" s="189"/>
      <c r="D25" s="189" t="s">
        <v>1181</v>
      </c>
      <c r="E25" s="43">
        <f>E$13-E$20</f>
        <v>-25233.870000000003</v>
      </c>
      <c r="F25" s="43">
        <f t="shared" ref="F25:O25" si="14">F$13-F$20</f>
        <v>-27533.65</v>
      </c>
      <c r="G25" s="43">
        <f t="shared" si="14"/>
        <v>-24876.28</v>
      </c>
      <c r="H25" s="43">
        <f t="shared" si="14"/>
        <v>-26377.53</v>
      </c>
      <c r="I25" s="43">
        <f t="shared" si="14"/>
        <v>-25395.840000000004</v>
      </c>
      <c r="J25" s="43">
        <f t="shared" si="14"/>
        <v>-26409.230000000003</v>
      </c>
      <c r="K25" s="43">
        <f t="shared" si="14"/>
        <v>-26241.78</v>
      </c>
      <c r="L25" s="43">
        <f t="shared" si="14"/>
        <v>-25048.82</v>
      </c>
      <c r="M25" s="43">
        <f t="shared" si="14"/>
        <v>-26493.730000000003</v>
      </c>
      <c r="N25" s="43">
        <f t="shared" si="14"/>
        <v>-27793.510000000002</v>
      </c>
      <c r="O25" s="43">
        <f t="shared" si="14"/>
        <v>-23687.55</v>
      </c>
      <c r="P25" s="43">
        <f t="shared" ref="P25" si="15">P$13-P$20</f>
        <v>-23660.79</v>
      </c>
      <c r="Q25" s="366">
        <f>SUM(E25:P25)</f>
        <v>-308752.58</v>
      </c>
      <c r="R25" s="43">
        <v>1208707.45</v>
      </c>
      <c r="S25" s="234">
        <f t="shared" si="11"/>
        <v>-3.1961964803312632</v>
      </c>
      <c r="T25" s="232">
        <f t="shared" si="13"/>
        <v>-323082.07999999996</v>
      </c>
      <c r="U25" s="232">
        <v>-178239.84831897801</v>
      </c>
      <c r="V25" s="315"/>
      <c r="W25" s="40"/>
      <c r="Y25" s="232"/>
      <c r="Z25" s="235"/>
      <c r="AA25" s="232"/>
      <c r="AB25" s="389"/>
      <c r="AD25" s="315"/>
    </row>
    <row r="26" spans="1:30" s="202" customFormat="1" ht="24.95" hidden="1" customHeight="1">
      <c r="A26" s="189"/>
      <c r="B26" s="189"/>
      <c r="C26" s="189"/>
      <c r="D26" s="189" t="s">
        <v>45</v>
      </c>
      <c r="E26" s="43">
        <f>E$14</f>
        <v>0</v>
      </c>
      <c r="F26" s="43">
        <f t="shared" ref="F26:P26" si="16">F$14</f>
        <v>0</v>
      </c>
      <c r="G26" s="43">
        <f t="shared" si="16"/>
        <v>0</v>
      </c>
      <c r="H26" s="43">
        <f t="shared" si="16"/>
        <v>0</v>
      </c>
      <c r="I26" s="43">
        <f t="shared" si="16"/>
        <v>0</v>
      </c>
      <c r="J26" s="43">
        <f t="shared" si="16"/>
        <v>0</v>
      </c>
      <c r="K26" s="43">
        <f t="shared" si="16"/>
        <v>0</v>
      </c>
      <c r="L26" s="43">
        <f t="shared" si="16"/>
        <v>0</v>
      </c>
      <c r="M26" s="43">
        <f t="shared" si="16"/>
        <v>0</v>
      </c>
      <c r="N26" s="43">
        <f t="shared" si="16"/>
        <v>0</v>
      </c>
      <c r="O26" s="43">
        <f t="shared" si="16"/>
        <v>0</v>
      </c>
      <c r="P26" s="43">
        <f t="shared" si="16"/>
        <v>0</v>
      </c>
      <c r="Q26" s="366">
        <f>SUM(E26:P26)</f>
        <v>0</v>
      </c>
      <c r="R26" s="43">
        <v>0</v>
      </c>
      <c r="S26" s="234" t="e">
        <f t="shared" si="11"/>
        <v>#DIV/0!</v>
      </c>
      <c r="T26" s="232"/>
      <c r="U26" s="232"/>
      <c r="V26" s="315"/>
      <c r="W26" s="40"/>
      <c r="Y26" s="232"/>
      <c r="Z26" s="235"/>
      <c r="AA26" s="232"/>
      <c r="AB26" s="389"/>
      <c r="AD26" s="315"/>
    </row>
    <row r="27" spans="1:30" s="202" customFormat="1" ht="24.95" customHeight="1">
      <c r="A27" s="189"/>
      <c r="B27" s="189"/>
      <c r="C27" s="189"/>
      <c r="D27" s="189" t="s">
        <v>46</v>
      </c>
      <c r="E27" s="43">
        <f>E15-HSKP!E123</f>
        <v>30504</v>
      </c>
      <c r="F27" s="43">
        <f>F15-HSKP!F123</f>
        <v>31271</v>
      </c>
      <c r="G27" s="43">
        <f>G15-HSKP!G123</f>
        <v>28837.25</v>
      </c>
      <c r="H27" s="43">
        <f>H15-HSKP!H123</f>
        <v>27058.400000000001</v>
      </c>
      <c r="I27" s="43">
        <f>I15-HSKP!I123</f>
        <v>26674.9</v>
      </c>
      <c r="J27" s="43">
        <f>J15-HSKP!J123</f>
        <v>31022.9</v>
      </c>
      <c r="K27" s="43">
        <f>K15-HSKP!K123</f>
        <v>32518.400000000001</v>
      </c>
      <c r="L27" s="43">
        <f>L15-HSKP!L123</f>
        <v>32367.949999999997</v>
      </c>
      <c r="M27" s="43">
        <f>M15-HSKP!M123</f>
        <v>32252.9</v>
      </c>
      <c r="N27" s="43">
        <f>N15-HSKP!N123</f>
        <v>32002.15</v>
      </c>
      <c r="O27" s="43">
        <f>O15-HSKP!O123</f>
        <v>32547.9</v>
      </c>
      <c r="P27" s="43">
        <f>P15-HSKP!P123</f>
        <v>33108.400000000001</v>
      </c>
      <c r="Q27" s="370">
        <f>SUM(E27:P27)</f>
        <v>370166.15000000008</v>
      </c>
      <c r="R27" s="43">
        <v>44197.760000000002</v>
      </c>
      <c r="S27" s="234">
        <f t="shared" si="11"/>
        <v>0.72488642015924698</v>
      </c>
      <c r="T27" s="232">
        <f>T15</f>
        <v>226064.48999999996</v>
      </c>
      <c r="U27" s="232">
        <v>242169.26</v>
      </c>
      <c r="V27" s="315"/>
      <c r="W27" s="40"/>
      <c r="Y27" s="232"/>
      <c r="Z27" s="235"/>
      <c r="AA27" s="232"/>
      <c r="AB27" s="389"/>
      <c r="AD27" s="315"/>
    </row>
    <row r="28" spans="1:30" s="202" customFormat="1" ht="24.95" customHeight="1">
      <c r="A28" s="189"/>
      <c r="B28" s="189"/>
      <c r="C28" s="218"/>
      <c r="D28" s="218" t="s">
        <v>47</v>
      </c>
      <c r="E28" s="52">
        <f t="shared" ref="E28:Q28" si="17">SUBTOTAL(9,E23:E27)</f>
        <v>912386.95000000019</v>
      </c>
      <c r="F28" s="52">
        <f t="shared" si="17"/>
        <v>622457.63</v>
      </c>
      <c r="G28" s="52">
        <f t="shared" si="17"/>
        <v>1095811.8700000001</v>
      </c>
      <c r="H28" s="52">
        <f t="shared" si="17"/>
        <v>1348709.69</v>
      </c>
      <c r="I28" s="52">
        <f t="shared" si="17"/>
        <v>1495979.72</v>
      </c>
      <c r="J28" s="52">
        <f t="shared" si="17"/>
        <v>1203105.48</v>
      </c>
      <c r="K28" s="52">
        <f t="shared" si="17"/>
        <v>1513349.6199999999</v>
      </c>
      <c r="L28" s="52">
        <f t="shared" si="17"/>
        <v>1577610.9300000002</v>
      </c>
      <c r="M28" s="52">
        <f t="shared" si="17"/>
        <v>1574512.8299999998</v>
      </c>
      <c r="N28" s="52">
        <f t="shared" si="17"/>
        <v>1711594.1099999996</v>
      </c>
      <c r="O28" s="52">
        <f t="shared" si="17"/>
        <v>1542884.3399999999</v>
      </c>
      <c r="P28" s="52">
        <f t="shared" si="17"/>
        <v>1424177.69</v>
      </c>
      <c r="Q28" s="350">
        <f t="shared" si="17"/>
        <v>16022580.859999999</v>
      </c>
      <c r="R28" s="52">
        <v>45982152.072310798</v>
      </c>
      <c r="S28" s="234">
        <f t="shared" si="11"/>
        <v>0.48176924788401759</v>
      </c>
      <c r="T28" s="232">
        <f>SUM(T23:T27)</f>
        <v>13369487.469999997</v>
      </c>
      <c r="U28" s="232">
        <f>SUM(U23:U27)</f>
        <v>15745531.497268612</v>
      </c>
      <c r="V28" s="315"/>
      <c r="W28" s="40"/>
      <c r="Y28" s="232"/>
      <c r="Z28" s="235"/>
      <c r="AA28" s="232"/>
      <c r="AB28" s="389"/>
      <c r="AD28" s="315"/>
    </row>
    <row r="29" spans="1:30" s="202" customFormat="1" ht="24.95" customHeight="1">
      <c r="A29" s="189"/>
      <c r="B29" s="189"/>
      <c r="C29" s="189"/>
      <c r="D29" s="189"/>
      <c r="E29" s="220"/>
      <c r="F29" s="220"/>
      <c r="G29" s="220"/>
      <c r="H29" s="220"/>
      <c r="I29" s="220"/>
      <c r="J29" s="220"/>
      <c r="K29" s="220"/>
      <c r="L29" s="220"/>
      <c r="M29" s="220"/>
      <c r="N29" s="220"/>
      <c r="O29" s="220"/>
      <c r="P29" s="220"/>
      <c r="Q29" s="237"/>
      <c r="T29" s="315"/>
      <c r="U29" s="315"/>
      <c r="V29" s="315"/>
      <c r="W29" s="236"/>
      <c r="AA29" s="232"/>
      <c r="AB29" s="389"/>
      <c r="AD29" s="315"/>
    </row>
    <row r="30" spans="1:30" s="202" customFormat="1" ht="24.95" customHeight="1">
      <c r="A30" s="189" t="s">
        <v>48</v>
      </c>
      <c r="B30" s="189" t="s">
        <v>49</v>
      </c>
      <c r="C30" s="189"/>
      <c r="D30" s="189" t="s">
        <v>50</v>
      </c>
      <c r="E30" s="370">
        <f>+'A&amp;G'!E159</f>
        <v>488036.86</v>
      </c>
      <c r="F30" s="370">
        <f>+'A&amp;G'!F159</f>
        <v>518783.80000000005</v>
      </c>
      <c r="G30" s="370">
        <f>+'A&amp;G'!G159</f>
        <v>494381.92</v>
      </c>
      <c r="H30" s="370">
        <f>+'A&amp;G'!H159</f>
        <v>520105.02999999997</v>
      </c>
      <c r="I30" s="370">
        <f>+'A&amp;G'!I159</f>
        <v>504714.39</v>
      </c>
      <c r="J30" s="370">
        <f>+'A&amp;G'!J159</f>
        <v>545160.24</v>
      </c>
      <c r="K30" s="370">
        <f>+'A&amp;G'!K159</f>
        <v>504363.39</v>
      </c>
      <c r="L30" s="370">
        <f>+'A&amp;G'!L159</f>
        <v>524041.70999999996</v>
      </c>
      <c r="M30" s="370">
        <f>+'A&amp;G'!M159</f>
        <v>511595.29</v>
      </c>
      <c r="N30" s="370">
        <f>+'A&amp;G'!N159</f>
        <v>530700.03</v>
      </c>
      <c r="O30" s="370">
        <f>+'A&amp;G'!O159</f>
        <v>504458.20999999996</v>
      </c>
      <c r="P30" s="370">
        <f>+'A&amp;G'!P159</f>
        <v>496536.75</v>
      </c>
      <c r="Q30" s="366">
        <f>SUM(E30:P30)</f>
        <v>6142877.6200000001</v>
      </c>
      <c r="R30" s="232">
        <v>12763695.470000001</v>
      </c>
      <c r="S30" s="234">
        <f>Q30/$Q$16</f>
        <v>0.18470492092938415</v>
      </c>
      <c r="T30" s="232">
        <v>6365185.75</v>
      </c>
      <c r="U30" s="232">
        <v>5799160.4735978246</v>
      </c>
      <c r="V30" s="315">
        <f>Q30-U30</f>
        <v>343717.14640217554</v>
      </c>
      <c r="W30" s="40"/>
      <c r="Y30" s="232"/>
      <c r="Z30" s="235"/>
      <c r="AA30" s="232"/>
      <c r="AB30" s="403"/>
      <c r="AC30" s="402"/>
      <c r="AD30" s="315"/>
    </row>
    <row r="31" spans="1:30" s="202" customFormat="1" ht="24.75" customHeight="1">
      <c r="A31" s="189" t="s">
        <v>51</v>
      </c>
      <c r="B31" s="189" t="s">
        <v>52</v>
      </c>
      <c r="C31" s="189"/>
      <c r="D31" s="189" t="s">
        <v>53</v>
      </c>
      <c r="E31" s="370">
        <f>+'S&amp;M'!E158-'S&amp;M'!E150</f>
        <v>126187.50000000001</v>
      </c>
      <c r="F31" s="370">
        <f>+'S&amp;M'!F158-'S&amp;M'!F150</f>
        <v>126694.10000000002</v>
      </c>
      <c r="G31" s="370">
        <f>+'S&amp;M'!G158-'S&amp;M'!G150</f>
        <v>132507.71</v>
      </c>
      <c r="H31" s="370">
        <f>+'S&amp;M'!H158-'S&amp;M'!H150</f>
        <v>150859.90000000002</v>
      </c>
      <c r="I31" s="370">
        <f>+'S&amp;M'!I158-'S&amp;M'!I150</f>
        <v>273881.87</v>
      </c>
      <c r="J31" s="370">
        <f>+'S&amp;M'!J158-'S&amp;M'!J150</f>
        <v>154897.92000000001</v>
      </c>
      <c r="K31" s="370">
        <f>+'S&amp;M'!K158-'S&amp;M'!K150</f>
        <v>145706.31</v>
      </c>
      <c r="L31" s="370">
        <f>+'S&amp;M'!L158-'S&amp;M'!L150</f>
        <v>150214.75999999998</v>
      </c>
      <c r="M31" s="370">
        <f>+'S&amp;M'!M158-'S&amp;M'!M150</f>
        <v>140499.33000000005</v>
      </c>
      <c r="N31" s="370">
        <f>+'S&amp;M'!N158-'S&amp;M'!N150</f>
        <v>156005.93000000002</v>
      </c>
      <c r="O31" s="370">
        <f>+'S&amp;M'!O158-'S&amp;M'!O150</f>
        <v>140141.22999999998</v>
      </c>
      <c r="P31" s="370">
        <f>+'S&amp;M'!P158-'S&amp;M'!P150</f>
        <v>127109.12</v>
      </c>
      <c r="Q31" s="366">
        <f>SUM(E31:P31)</f>
        <v>1824705.6800000002</v>
      </c>
      <c r="R31" s="232">
        <v>4610708.6399999997</v>
      </c>
      <c r="S31" s="234">
        <f t="shared" ref="S31:S36" si="18">Q31/$Q$16</f>
        <v>5.4865510790331876E-2</v>
      </c>
      <c r="T31" s="232">
        <v>3142924.6500000008</v>
      </c>
      <c r="U31" s="232">
        <v>2798099.1451978097</v>
      </c>
      <c r="V31" s="315">
        <f t="shared" ref="V31:V34" si="19">Q31-U31</f>
        <v>-973393.46519780951</v>
      </c>
      <c r="W31" s="40"/>
      <c r="X31" s="235"/>
      <c r="Y31" s="232"/>
      <c r="Z31" s="235"/>
      <c r="AA31" s="232"/>
      <c r="AB31" s="403"/>
      <c r="AC31" s="402"/>
      <c r="AD31" s="315"/>
    </row>
    <row r="32" spans="1:30" s="202" customFormat="1" ht="24.75" customHeight="1">
      <c r="A32" s="189" t="s">
        <v>54</v>
      </c>
      <c r="B32" s="189" t="s">
        <v>52</v>
      </c>
      <c r="C32" s="189"/>
      <c r="D32" s="189" t="s">
        <v>55</v>
      </c>
      <c r="E32" s="370">
        <f>+'S&amp;M'!E150</f>
        <v>34123.67</v>
      </c>
      <c r="F32" s="370">
        <f>+'S&amp;M'!F150</f>
        <v>27426.799999999999</v>
      </c>
      <c r="G32" s="370">
        <f>+'S&amp;M'!G150</f>
        <v>35348.5</v>
      </c>
      <c r="H32" s="370">
        <f>+'S&amp;M'!H150</f>
        <v>41842.559999999998</v>
      </c>
      <c r="I32" s="370">
        <f>+'S&amp;M'!I150</f>
        <v>46755.06</v>
      </c>
      <c r="J32" s="370">
        <f>+'S&amp;M'!J150</f>
        <v>39544.22</v>
      </c>
      <c r="K32" s="370">
        <f>+'S&amp;M'!K150</f>
        <v>44905.17</v>
      </c>
      <c r="L32" s="370">
        <f>+'S&amp;M'!L150</f>
        <v>46011.09</v>
      </c>
      <c r="M32" s="370">
        <f>+'S&amp;M'!M150</f>
        <v>46903.96</v>
      </c>
      <c r="N32" s="370">
        <f>+'S&amp;M'!N150</f>
        <v>52368.53</v>
      </c>
      <c r="O32" s="370">
        <f>+'S&amp;M'!O150</f>
        <v>44508.49</v>
      </c>
      <c r="P32" s="370">
        <f>+'S&amp;M'!P150</f>
        <v>42454.59</v>
      </c>
      <c r="Q32" s="366">
        <f>SUM(E32:P32)</f>
        <v>502192.6399999999</v>
      </c>
      <c r="R32" s="232">
        <v>1402591.0799</v>
      </c>
      <c r="S32" s="234">
        <f t="shared" si="18"/>
        <v>1.5099999967526402E-2</v>
      </c>
      <c r="T32" s="232">
        <v>472927.29000000004</v>
      </c>
      <c r="U32" s="232">
        <v>505777.72452860593</v>
      </c>
      <c r="V32" s="315">
        <f t="shared" si="19"/>
        <v>-3585.0845286060357</v>
      </c>
      <c r="W32" s="40"/>
      <c r="Y32" s="232"/>
      <c r="Z32" s="235"/>
      <c r="AA32" s="232"/>
      <c r="AB32" s="403"/>
      <c r="AC32" s="402"/>
      <c r="AD32" s="315"/>
    </row>
    <row r="33" spans="1:30" s="202" customFormat="1" ht="24.95" customHeight="1">
      <c r="A33" s="189" t="s">
        <v>48</v>
      </c>
      <c r="B33" s="189" t="s">
        <v>56</v>
      </c>
      <c r="C33" s="189"/>
      <c r="D33" s="189" t="s">
        <v>57</v>
      </c>
      <c r="E33" s="370">
        <f>+'R&amp;M'!E159</f>
        <v>202071.78999999998</v>
      </c>
      <c r="F33" s="370">
        <f>+'R&amp;M'!F159</f>
        <v>205822.81</v>
      </c>
      <c r="G33" s="370">
        <f>+'R&amp;M'!G159</f>
        <v>200794.3</v>
      </c>
      <c r="H33" s="370">
        <f>+'R&amp;M'!H159</f>
        <v>222627.25</v>
      </c>
      <c r="I33" s="370">
        <f>+'R&amp;M'!I159</f>
        <v>221656.53999999998</v>
      </c>
      <c r="J33" s="370">
        <f>+'R&amp;M'!J159</f>
        <v>217677.95</v>
      </c>
      <c r="K33" s="370">
        <f>+'R&amp;M'!K159</f>
        <v>254659.08</v>
      </c>
      <c r="L33" s="370">
        <f>+'R&amp;M'!L159</f>
        <v>219670.35</v>
      </c>
      <c r="M33" s="370">
        <f>+'R&amp;M'!M159</f>
        <v>214213.16</v>
      </c>
      <c r="N33" s="370">
        <f>+'R&amp;M'!N159</f>
        <v>225215.38</v>
      </c>
      <c r="O33" s="370">
        <f>+'R&amp;M'!O159</f>
        <v>212572.32</v>
      </c>
      <c r="P33" s="370">
        <f>+'R&amp;M'!P159</f>
        <v>212529.51</v>
      </c>
      <c r="Q33" s="366">
        <f>SUM(E33:P33)</f>
        <v>2609510.4399999995</v>
      </c>
      <c r="R33" s="232">
        <v>3141774.97</v>
      </c>
      <c r="S33" s="234">
        <f t="shared" si="18"/>
        <v>7.8463132313647224E-2</v>
      </c>
      <c r="T33" s="232">
        <v>2550762.5500000003</v>
      </c>
      <c r="U33" s="232">
        <v>2334948.7934978097</v>
      </c>
      <c r="V33" s="315">
        <f t="shared" si="19"/>
        <v>274561.6465021898</v>
      </c>
      <c r="W33" s="40"/>
      <c r="X33" s="237"/>
      <c r="Y33" s="232"/>
      <c r="Z33" s="235"/>
      <c r="AA33" s="232"/>
      <c r="AB33" s="403"/>
      <c r="AD33" s="315"/>
    </row>
    <row r="34" spans="1:30" s="202" customFormat="1" ht="24.95" customHeight="1">
      <c r="A34" s="189" t="s">
        <v>48</v>
      </c>
      <c r="B34" s="189" t="s">
        <v>58</v>
      </c>
      <c r="C34" s="189"/>
      <c r="D34" s="189" t="s">
        <v>1095</v>
      </c>
      <c r="E34" s="370">
        <f>+Utilities!E18</f>
        <v>346395.51000000007</v>
      </c>
      <c r="F34" s="370">
        <f>+Utilities!F18</f>
        <v>308736.68</v>
      </c>
      <c r="G34" s="370">
        <f>+Utilities!G18</f>
        <v>224020.55</v>
      </c>
      <c r="H34" s="370">
        <f>+Utilities!H18</f>
        <v>173824.99</v>
      </c>
      <c r="I34" s="370">
        <f>+Utilities!I18</f>
        <v>211381.13</v>
      </c>
      <c r="J34" s="370">
        <f>+Utilities!J18</f>
        <v>234786.52000000002</v>
      </c>
      <c r="K34" s="370">
        <f>+Utilities!K18</f>
        <v>285463.78000000003</v>
      </c>
      <c r="L34" s="370">
        <f>+Utilities!L18</f>
        <v>295559.08</v>
      </c>
      <c r="M34" s="370">
        <f>+Utilities!M18</f>
        <v>245408</v>
      </c>
      <c r="N34" s="370">
        <f>+Utilities!N18</f>
        <v>221645</v>
      </c>
      <c r="O34" s="370">
        <f>+Utilities!O18</f>
        <v>213835</v>
      </c>
      <c r="P34" s="370">
        <f>+Utilities!P18</f>
        <v>361014</v>
      </c>
      <c r="Q34" s="366">
        <f>SUM(E34:P34)</f>
        <v>3122070.24</v>
      </c>
      <c r="R34" s="232">
        <v>8485679.3100000005</v>
      </c>
      <c r="S34" s="234">
        <f t="shared" si="18"/>
        <v>9.3874853527553009E-2</v>
      </c>
      <c r="T34" s="232">
        <v>3440499.1399999997</v>
      </c>
      <c r="U34" s="232">
        <v>3084420.55</v>
      </c>
      <c r="V34" s="315">
        <f t="shared" si="19"/>
        <v>37649.69000000041</v>
      </c>
      <c r="W34" s="40" t="s">
        <v>1174</v>
      </c>
      <c r="X34" s="202">
        <f>U34/U16</f>
        <v>9.2138965512666052E-2</v>
      </c>
      <c r="Y34" s="232"/>
      <c r="Z34" s="235"/>
      <c r="AA34" s="232"/>
      <c r="AB34" s="389"/>
      <c r="AD34" s="315"/>
    </row>
    <row r="35" spans="1:30" s="202" customFormat="1" ht="24.95" customHeight="1">
      <c r="A35" s="189"/>
      <c r="B35" s="189"/>
      <c r="C35" s="218"/>
      <c r="D35" s="218" t="s">
        <v>59</v>
      </c>
      <c r="E35" s="52">
        <f>SUBTOTAL(9,E30:E34)</f>
        <v>1196815.33</v>
      </c>
      <c r="F35" s="52">
        <f t="shared" ref="F35:Q35" si="20">SUBTOTAL(9,F30:F34)</f>
        <v>1187464.19</v>
      </c>
      <c r="G35" s="52">
        <f t="shared" si="20"/>
        <v>1087052.98</v>
      </c>
      <c r="H35" s="52">
        <f t="shared" si="20"/>
        <v>1109259.73</v>
      </c>
      <c r="I35" s="52">
        <f t="shared" si="20"/>
        <v>1258388.9900000002</v>
      </c>
      <c r="J35" s="52">
        <f t="shared" si="20"/>
        <v>1192066.8500000001</v>
      </c>
      <c r="K35" s="52">
        <f t="shared" si="20"/>
        <v>1235097.73</v>
      </c>
      <c r="L35" s="52">
        <f t="shared" si="20"/>
        <v>1235496.99</v>
      </c>
      <c r="M35" s="52">
        <f t="shared" si="20"/>
        <v>1158619.74</v>
      </c>
      <c r="N35" s="52">
        <f t="shared" si="20"/>
        <v>1185934.8700000001</v>
      </c>
      <c r="O35" s="52">
        <f t="shared" si="20"/>
        <v>1115515.25</v>
      </c>
      <c r="P35" s="52">
        <f t="shared" si="20"/>
        <v>1239643.97</v>
      </c>
      <c r="Q35" s="52">
        <f t="shared" si="20"/>
        <v>14201356.620000001</v>
      </c>
      <c r="R35" s="52">
        <v>30404449.469900001</v>
      </c>
      <c r="S35" s="234">
        <f t="shared" si="18"/>
        <v>0.42700841752844271</v>
      </c>
      <c r="T35" s="232">
        <f t="shared" ref="T35" si="21">SUBTOTAL(9,T30:T34)</f>
        <v>15972299.380000003</v>
      </c>
      <c r="U35" s="232">
        <f>SUBTOTAL(9,U30:U34)</f>
        <v>14522406.686822049</v>
      </c>
      <c r="V35" s="315"/>
      <c r="W35" s="40"/>
      <c r="Y35" s="232"/>
      <c r="Z35" s="235"/>
      <c r="AA35" s="232"/>
      <c r="AB35" s="389"/>
      <c r="AD35" s="315"/>
    </row>
    <row r="36" spans="1:30" s="202" customFormat="1" ht="24.95" customHeight="1">
      <c r="A36" s="189"/>
      <c r="B36" s="189"/>
      <c r="C36" s="222"/>
      <c r="D36" s="222" t="s">
        <v>60</v>
      </c>
      <c r="E36" s="52">
        <f>E28-E35</f>
        <v>-284428.37999999989</v>
      </c>
      <c r="F36" s="52">
        <f t="shared" ref="F36:Q36" si="22">F28-F35</f>
        <v>-565006.55999999994</v>
      </c>
      <c r="G36" s="52">
        <f t="shared" si="22"/>
        <v>8758.8900000001304</v>
      </c>
      <c r="H36" s="52">
        <f t="shared" si="22"/>
        <v>239449.95999999996</v>
      </c>
      <c r="I36" s="52">
        <f t="shared" si="22"/>
        <v>237590.72999999975</v>
      </c>
      <c r="J36" s="52">
        <f t="shared" si="22"/>
        <v>11038.629999999888</v>
      </c>
      <c r="K36" s="52">
        <f t="shared" si="22"/>
        <v>278251.8899999999</v>
      </c>
      <c r="L36" s="52">
        <f t="shared" si="22"/>
        <v>342113.94000000018</v>
      </c>
      <c r="M36" s="52">
        <f t="shared" si="22"/>
        <v>415893.08999999985</v>
      </c>
      <c r="N36" s="52">
        <f t="shared" si="22"/>
        <v>525659.23999999953</v>
      </c>
      <c r="O36" s="52">
        <f t="shared" si="22"/>
        <v>427369.08999999985</v>
      </c>
      <c r="P36" s="52">
        <f t="shared" si="22"/>
        <v>184533.71999999997</v>
      </c>
      <c r="Q36" s="350">
        <f t="shared" si="22"/>
        <v>1821224.2399999984</v>
      </c>
      <c r="R36" s="52">
        <v>15577702.602410801</v>
      </c>
      <c r="S36" s="234">
        <f t="shared" si="18"/>
        <v>5.4760830355574858E-2</v>
      </c>
      <c r="T36" s="232">
        <f t="shared" ref="T36" si="23">T28-T35</f>
        <v>-2602811.9100000057</v>
      </c>
      <c r="U36" s="232">
        <f>U28-U35</f>
        <v>1223124.8104465622</v>
      </c>
      <c r="V36" s="315"/>
      <c r="W36" s="40"/>
      <c r="Y36" s="232">
        <v>1723000</v>
      </c>
      <c r="Z36" s="235">
        <f>Q36-Y36</f>
        <v>98224.239999998361</v>
      </c>
      <c r="AA36" s="232"/>
      <c r="AB36" s="389"/>
      <c r="AC36" s="315"/>
      <c r="AD36" s="342"/>
    </row>
    <row r="37" spans="1:30" s="202" customFormat="1" ht="24.95" customHeight="1">
      <c r="A37" s="189"/>
      <c r="B37" s="189"/>
      <c r="C37" s="222"/>
      <c r="D37" s="222" t="s">
        <v>61</v>
      </c>
      <c r="E37" s="239">
        <f>IF(E36=0,0,E36/E16)</f>
        <v>-0.12586184191312147</v>
      </c>
      <c r="F37" s="239">
        <f t="shared" ref="F37:Q37" si="24">IF(F36=0,0,F36/F16)</f>
        <v>-0.31106794994011322</v>
      </c>
      <c r="G37" s="239">
        <f t="shared" si="24"/>
        <v>3.7415795781262137E-3</v>
      </c>
      <c r="H37" s="239">
        <f t="shared" si="24"/>
        <v>8.6411891144311581E-2</v>
      </c>
      <c r="I37" s="239">
        <f t="shared" si="24"/>
        <v>7.6732237287683372E-2</v>
      </c>
      <c r="J37" s="239">
        <f t="shared" si="24"/>
        <v>4.2151124272582869E-3</v>
      </c>
      <c r="K37" s="239">
        <f t="shared" si="24"/>
        <v>9.3566143147055386E-2</v>
      </c>
      <c r="L37" s="239">
        <f t="shared" si="24"/>
        <v>0.11227554216194902</v>
      </c>
      <c r="M37" s="239">
        <f t="shared" si="24"/>
        <v>0.13389032181921814</v>
      </c>
      <c r="N37" s="239">
        <f t="shared" si="24"/>
        <v>0.15156915797596998</v>
      </c>
      <c r="O37" s="239">
        <f t="shared" si="24"/>
        <v>0.14498971054988724</v>
      </c>
      <c r="P37" s="239">
        <f t="shared" si="24"/>
        <v>6.5633871957950202E-2</v>
      </c>
      <c r="Q37" s="239">
        <f t="shared" si="24"/>
        <v>5.4760830355574858E-2</v>
      </c>
      <c r="R37" s="223">
        <v>0.17131896323155499</v>
      </c>
      <c r="T37" s="342">
        <f t="shared" ref="T37:U37" si="25">IF(T36=0,0,T36/T16)</f>
        <v>-8.2592295980545738E-2</v>
      </c>
      <c r="U37" s="342">
        <f t="shared" si="25"/>
        <v>3.6537642289869325E-2</v>
      </c>
      <c r="V37" s="315"/>
      <c r="W37" s="40"/>
      <c r="X37" s="235"/>
      <c r="Y37" s="362"/>
      <c r="AC37" s="315"/>
      <c r="AD37" s="315"/>
    </row>
    <row r="38" spans="1:30" s="202" customFormat="1" ht="24.75" customHeight="1">
      <c r="A38" s="189"/>
      <c r="B38" s="189"/>
      <c r="C38" s="222"/>
      <c r="D38" s="222"/>
      <c r="E38" s="224"/>
      <c r="F38" s="224"/>
      <c r="G38" s="224"/>
      <c r="H38" s="224"/>
      <c r="I38" s="224"/>
      <c r="J38" s="237"/>
      <c r="L38" s="161"/>
      <c r="M38" s="237"/>
      <c r="P38" s="237"/>
      <c r="Q38" s="362"/>
      <c r="T38" s="315"/>
      <c r="U38" s="315"/>
      <c r="V38" s="315"/>
      <c r="W38" s="236"/>
      <c r="X38" s="235"/>
      <c r="AC38" s="342"/>
      <c r="AD38" s="315"/>
    </row>
    <row r="39" spans="1:30" s="202" customFormat="1" ht="24.95" customHeight="1">
      <c r="A39" s="189" t="s">
        <v>62</v>
      </c>
      <c r="B39" s="189" t="s">
        <v>63</v>
      </c>
      <c r="C39" s="222"/>
      <c r="D39" s="189" t="s">
        <v>64</v>
      </c>
      <c r="E39" s="43">
        <f>'Fixed Charge'!E14</f>
        <v>42638.6</v>
      </c>
      <c r="F39" s="43">
        <f>'Fixed Charge'!F14</f>
        <v>34270.65</v>
      </c>
      <c r="G39" s="43">
        <f>'Fixed Charge'!G14</f>
        <v>44169.07</v>
      </c>
      <c r="H39" s="43">
        <f>'Fixed Charge'!H14</f>
        <v>52283.59</v>
      </c>
      <c r="I39" s="43">
        <f>'Fixed Charge'!I14</f>
        <v>58421.91</v>
      </c>
      <c r="J39" s="43">
        <f>'Fixed Charge'!J14</f>
        <v>49411.74</v>
      </c>
      <c r="K39" s="43">
        <f>'Fixed Charge'!K14</f>
        <v>56110.42</v>
      </c>
      <c r="L39" s="43">
        <f>'Fixed Charge'!L14</f>
        <v>57492.31</v>
      </c>
      <c r="M39" s="43">
        <f>'Fixed Charge'!M14</f>
        <v>58607.97</v>
      </c>
      <c r="N39" s="43">
        <f>'Fixed Charge'!N14</f>
        <v>65436.13</v>
      </c>
      <c r="O39" s="43">
        <f>'Fixed Charge'!O14</f>
        <v>55614.76</v>
      </c>
      <c r="P39" s="43">
        <f>'Fixed Charge'!P14</f>
        <v>53048.35</v>
      </c>
      <c r="Q39" s="232">
        <f>SUM(E39:P39)</f>
        <v>627505.5</v>
      </c>
      <c r="R39" s="232">
        <v>1756590.62842</v>
      </c>
      <c r="S39" s="234">
        <f>Q39/$Q$16</f>
        <v>1.8867924925428301E-2</v>
      </c>
      <c r="T39" s="232">
        <v>594603.4</v>
      </c>
      <c r="U39" s="232">
        <v>631617.83641509432</v>
      </c>
      <c r="V39" s="315"/>
      <c r="W39" s="40"/>
      <c r="AD39" s="315"/>
    </row>
    <row r="40" spans="1:30" s="359" customFormat="1" ht="24.95" customHeight="1">
      <c r="A40" s="358" t="s">
        <v>65</v>
      </c>
      <c r="B40" s="358" t="s">
        <v>63</v>
      </c>
      <c r="C40" s="358"/>
      <c r="D40" s="359" t="s">
        <v>66</v>
      </c>
      <c r="E40" s="43">
        <v>0</v>
      </c>
      <c r="F40" s="43">
        <v>0</v>
      </c>
      <c r="G40" s="43">
        <v>0</v>
      </c>
      <c r="H40" s="43">
        <v>0</v>
      </c>
      <c r="I40" s="43">
        <v>0</v>
      </c>
      <c r="J40" s="43">
        <v>0</v>
      </c>
      <c r="K40" s="43">
        <v>0</v>
      </c>
      <c r="L40" s="43">
        <f>ROUND((SUM(E36:L36)-SUM(E16:L16)*0.005)*4%/1.06,2)</f>
        <v>6156.51</v>
      </c>
      <c r="M40" s="43">
        <f t="shared" ref="M40:O40" si="26">ROUND((M36-M16*0.005)*4%/1.06,2)</f>
        <v>15108</v>
      </c>
      <c r="N40" s="43">
        <f t="shared" si="26"/>
        <v>19181.84</v>
      </c>
      <c r="O40" s="43">
        <f t="shared" si="26"/>
        <v>15570.99</v>
      </c>
      <c r="P40" s="43">
        <f>ROUND((P36-P16*0.005)*4%/1.06,2)</f>
        <v>6433.05</v>
      </c>
      <c r="Q40" s="232">
        <f>SUM(E40:P40)</f>
        <v>62450.390000000007</v>
      </c>
      <c r="R40" s="232">
        <v>536009.06319954095</v>
      </c>
      <c r="S40" s="234">
        <f>Q40/$Q$16</f>
        <v>1.87776723882694E-3</v>
      </c>
      <c r="T40" s="232">
        <v>0</v>
      </c>
      <c r="U40" s="232">
        <v>39839.469433962266</v>
      </c>
      <c r="V40" s="61"/>
      <c r="W40" s="360"/>
      <c r="AD40" s="61"/>
    </row>
    <row r="41" spans="1:30" s="202" customFormat="1" ht="24.95" customHeight="1">
      <c r="A41" s="189"/>
      <c r="B41" s="189"/>
      <c r="C41" s="218"/>
      <c r="D41" s="218" t="s">
        <v>67</v>
      </c>
      <c r="E41" s="52">
        <f>E36-E39-E40</f>
        <v>-327066.97999999986</v>
      </c>
      <c r="F41" s="52">
        <f t="shared" ref="F41:P41" si="27">F36-F39-F40</f>
        <v>-599277.21</v>
      </c>
      <c r="G41" s="52">
        <f t="shared" si="27"/>
        <v>-35410.179999999869</v>
      </c>
      <c r="H41" s="52">
        <f t="shared" si="27"/>
        <v>187166.36999999997</v>
      </c>
      <c r="I41" s="52">
        <f t="shared" si="27"/>
        <v>179168.81999999975</v>
      </c>
      <c r="J41" s="52">
        <f t="shared" si="27"/>
        <v>-38373.11000000011</v>
      </c>
      <c r="K41" s="52">
        <f t="shared" si="27"/>
        <v>222141.46999999991</v>
      </c>
      <c r="L41" s="52">
        <f t="shared" si="27"/>
        <v>278465.12000000017</v>
      </c>
      <c r="M41" s="52">
        <f t="shared" si="27"/>
        <v>342177.11999999988</v>
      </c>
      <c r="N41" s="52">
        <f t="shared" si="27"/>
        <v>441041.26999999949</v>
      </c>
      <c r="O41" s="52">
        <f t="shared" si="27"/>
        <v>356183.33999999985</v>
      </c>
      <c r="P41" s="52">
        <f t="shared" si="27"/>
        <v>125052.31999999996</v>
      </c>
      <c r="Q41" s="52">
        <f>Q36-Q39-Q40</f>
        <v>1131268.3499999985</v>
      </c>
      <c r="R41" s="52">
        <v>13285102.9107913</v>
      </c>
      <c r="S41" s="234">
        <f>Q41/$Q$16</f>
        <v>3.4015138191319627E-2</v>
      </c>
      <c r="T41" s="232">
        <f t="shared" ref="T41:U41" si="28">T36-T39-T40</f>
        <v>-3197415.3100000056</v>
      </c>
      <c r="U41" s="232">
        <f t="shared" si="28"/>
        <v>551667.50459750567</v>
      </c>
      <c r="V41" s="315"/>
      <c r="W41" s="40"/>
      <c r="AD41" s="315"/>
    </row>
    <row r="42" spans="1:30" s="202" customFormat="1" ht="24.75" customHeight="1">
      <c r="A42" s="189"/>
      <c r="B42" s="189"/>
      <c r="C42" s="189"/>
      <c r="D42" s="189"/>
      <c r="E42" s="220"/>
      <c r="F42" s="220"/>
      <c r="G42" s="220"/>
      <c r="H42" s="220"/>
      <c r="I42" s="220"/>
      <c r="J42" s="220"/>
      <c r="K42" s="220"/>
      <c r="L42" s="220"/>
      <c r="M42" s="220"/>
      <c r="N42" s="220"/>
      <c r="O42" s="220"/>
      <c r="P42" s="220"/>
      <c r="T42" s="315"/>
      <c r="U42" s="315"/>
      <c r="V42" s="315"/>
      <c r="W42" s="236"/>
      <c r="AD42" s="315"/>
    </row>
    <row r="43" spans="1:30" s="202" customFormat="1" ht="24.95" customHeight="1">
      <c r="A43" s="189" t="s">
        <v>68</v>
      </c>
      <c r="B43" s="189" t="s">
        <v>63</v>
      </c>
      <c r="C43" s="189"/>
      <c r="D43" s="189" t="s">
        <v>69</v>
      </c>
      <c r="E43" s="43">
        <f>'Fixed Charge'!E17</f>
        <v>61300</v>
      </c>
      <c r="F43" s="43">
        <f>'Fixed Charge'!F17</f>
        <v>61300</v>
      </c>
      <c r="G43" s="43">
        <f>'Fixed Charge'!G17</f>
        <v>61300</v>
      </c>
      <c r="H43" s="43">
        <f>'Fixed Charge'!H17</f>
        <v>61300</v>
      </c>
      <c r="I43" s="43">
        <f>'Fixed Charge'!I17</f>
        <v>61300</v>
      </c>
      <c r="J43" s="43">
        <f>'Fixed Charge'!J17</f>
        <v>61300</v>
      </c>
      <c r="K43" s="43">
        <f>'Fixed Charge'!K17</f>
        <v>61300</v>
      </c>
      <c r="L43" s="43">
        <f>'Fixed Charge'!L17</f>
        <v>61300</v>
      </c>
      <c r="M43" s="43">
        <f>'Fixed Charge'!M17</f>
        <v>61300</v>
      </c>
      <c r="N43" s="43">
        <f>'Fixed Charge'!N17</f>
        <v>61300</v>
      </c>
      <c r="O43" s="43">
        <f>'Fixed Charge'!O17</f>
        <v>61300</v>
      </c>
      <c r="P43" s="43">
        <f>'Fixed Charge'!P17</f>
        <v>61300</v>
      </c>
      <c r="Q43" s="232">
        <f>SUM(E43:P43)</f>
        <v>735600</v>
      </c>
      <c r="R43" s="232">
        <v>1629749.05</v>
      </c>
      <c r="S43" s="234">
        <f>Q43/$Q$16</f>
        <v>2.2118125777614791E-2</v>
      </c>
      <c r="T43" s="232">
        <v>935900</v>
      </c>
      <c r="U43" s="232">
        <v>929500</v>
      </c>
      <c r="V43" s="315"/>
      <c r="W43" s="40"/>
      <c r="AD43" s="315"/>
    </row>
    <row r="44" spans="1:30" s="202" customFormat="1" ht="24.95" customHeight="1">
      <c r="A44" s="189" t="s">
        <v>70</v>
      </c>
      <c r="B44" s="189" t="s">
        <v>63</v>
      </c>
      <c r="C44" s="189"/>
      <c r="D44" s="189" t="s">
        <v>71</v>
      </c>
      <c r="E44" s="43">
        <f>'Fixed Charge'!E13</f>
        <v>0</v>
      </c>
      <c r="F44" s="43">
        <f>'Fixed Charge'!F13</f>
        <v>0</v>
      </c>
      <c r="G44" s="43">
        <f>'Fixed Charge'!G13</f>
        <v>0</v>
      </c>
      <c r="H44" s="43">
        <f>'Fixed Charge'!H13</f>
        <v>2000</v>
      </c>
      <c r="I44" s="43">
        <f>'Fixed Charge'!I13</f>
        <v>0</v>
      </c>
      <c r="J44" s="43">
        <f>'Fixed Charge'!J13</f>
        <v>0</v>
      </c>
      <c r="K44" s="43">
        <f>'Fixed Charge'!K13</f>
        <v>0</v>
      </c>
      <c r="L44" s="43">
        <f>'Fixed Charge'!L13</f>
        <v>2000</v>
      </c>
      <c r="M44" s="43">
        <f>'Fixed Charge'!M13</f>
        <v>0</v>
      </c>
      <c r="N44" s="43">
        <f>'Fixed Charge'!N13</f>
        <v>0</v>
      </c>
      <c r="O44" s="43">
        <f>'Fixed Charge'!O13</f>
        <v>0</v>
      </c>
      <c r="P44" s="43">
        <f>'Fixed Charge'!P13</f>
        <v>2000</v>
      </c>
      <c r="Q44" s="232">
        <f>SUM(E44:P44)</f>
        <v>6000</v>
      </c>
      <c r="R44" s="232">
        <v>262762.53999999998</v>
      </c>
      <c r="S44" s="234">
        <f>Q44/$Q$16</f>
        <v>1.8040885626113205E-4</v>
      </c>
      <c r="T44" s="232">
        <v>3300</v>
      </c>
      <c r="U44" s="232">
        <v>3333.84</v>
      </c>
      <c r="V44" s="315"/>
      <c r="W44" s="40"/>
      <c r="AD44" s="315"/>
    </row>
    <row r="45" spans="1:30" s="202" customFormat="1" ht="24.95" customHeight="1">
      <c r="A45" s="189" t="s">
        <v>72</v>
      </c>
      <c r="B45" s="189" t="s">
        <v>63</v>
      </c>
      <c r="C45" s="189"/>
      <c r="D45" s="189" t="s">
        <v>73</v>
      </c>
      <c r="E45" s="43">
        <f>'Fixed Charge'!E22+'Fixed Charge'!E23+'Fixed Charge'!E21</f>
        <v>0</v>
      </c>
      <c r="F45" s="43">
        <f>'Fixed Charge'!F22+'Fixed Charge'!F23+'Fixed Charge'!F21</f>
        <v>0</v>
      </c>
      <c r="G45" s="43">
        <f>'Fixed Charge'!G22+'Fixed Charge'!G23+'Fixed Charge'!G21</f>
        <v>0</v>
      </c>
      <c r="H45" s="43">
        <f>'Fixed Charge'!H22+'Fixed Charge'!H23+'Fixed Charge'!H21</f>
        <v>0</v>
      </c>
      <c r="I45" s="43">
        <f>'Fixed Charge'!I22+'Fixed Charge'!I23+'Fixed Charge'!I21</f>
        <v>0</v>
      </c>
      <c r="J45" s="43">
        <f>'Fixed Charge'!J22+'Fixed Charge'!J23+'Fixed Charge'!J21</f>
        <v>0</v>
      </c>
      <c r="K45" s="43">
        <f>'Fixed Charge'!K22+'Fixed Charge'!K23+'Fixed Charge'!K21</f>
        <v>0</v>
      </c>
      <c r="L45" s="43">
        <f>'Fixed Charge'!L22+'Fixed Charge'!L23+'Fixed Charge'!L21</f>
        <v>0</v>
      </c>
      <c r="M45" s="43">
        <f>'Fixed Charge'!M22+'Fixed Charge'!M23+'Fixed Charge'!M21</f>
        <v>0</v>
      </c>
      <c r="N45" s="43">
        <f>'Fixed Charge'!N22+'Fixed Charge'!N23+'Fixed Charge'!N21</f>
        <v>0</v>
      </c>
      <c r="O45" s="43">
        <f>'Fixed Charge'!O22+'Fixed Charge'!O23+'Fixed Charge'!O21</f>
        <v>0</v>
      </c>
      <c r="P45" s="43">
        <f>'Fixed Charge'!P22+'Fixed Charge'!P23+'Fixed Charge'!P21</f>
        <v>0</v>
      </c>
      <c r="Q45" s="232">
        <f>SUM(E45:P45)</f>
        <v>0</v>
      </c>
      <c r="R45" s="232">
        <v>342064.34</v>
      </c>
      <c r="S45" s="234">
        <f>Q45/$Q$16</f>
        <v>0</v>
      </c>
      <c r="T45" s="232"/>
      <c r="U45" s="232"/>
      <c r="V45" s="315"/>
      <c r="W45" s="40"/>
      <c r="AD45" s="315"/>
    </row>
    <row r="46" spans="1:30" s="202" customFormat="1" ht="24.95" customHeight="1">
      <c r="A46" s="189" t="s">
        <v>74</v>
      </c>
      <c r="B46" s="189" t="s">
        <v>63</v>
      </c>
      <c r="C46" s="189"/>
      <c r="D46" s="202" t="s">
        <v>75</v>
      </c>
      <c r="E46" s="43">
        <f>'Fixed Charge'!E18+'Fixed Charge'!E19</f>
        <v>0</v>
      </c>
      <c r="F46" s="43">
        <f>'Fixed Charge'!F18+'Fixed Charge'!F19</f>
        <v>0</v>
      </c>
      <c r="G46" s="43">
        <f>'Fixed Charge'!G18+'Fixed Charge'!G19</f>
        <v>0</v>
      </c>
      <c r="H46" s="43">
        <f>'Fixed Charge'!H18+'Fixed Charge'!H19</f>
        <v>0</v>
      </c>
      <c r="I46" s="43">
        <f>'Fixed Charge'!I18+'Fixed Charge'!I19</f>
        <v>0</v>
      </c>
      <c r="J46" s="43">
        <f>'Fixed Charge'!J18+'Fixed Charge'!J19</f>
        <v>0</v>
      </c>
      <c r="K46" s="43">
        <f>'Fixed Charge'!K18+'Fixed Charge'!K19</f>
        <v>0</v>
      </c>
      <c r="L46" s="43">
        <f>'Fixed Charge'!L18+'Fixed Charge'!L19</f>
        <v>0</v>
      </c>
      <c r="M46" s="43">
        <f>'Fixed Charge'!M18+'Fixed Charge'!M19</f>
        <v>0</v>
      </c>
      <c r="N46" s="43">
        <f>'Fixed Charge'!N18+'Fixed Charge'!N19</f>
        <v>0</v>
      </c>
      <c r="O46" s="43">
        <f>'Fixed Charge'!O18+'Fixed Charge'!O19</f>
        <v>0</v>
      </c>
      <c r="P46" s="43">
        <f>'Fixed Charge'!P18+'Fixed Charge'!P19</f>
        <v>0</v>
      </c>
      <c r="Q46" s="232">
        <f>SUM(E46:P46)</f>
        <v>0</v>
      </c>
      <c r="R46" s="232">
        <v>0</v>
      </c>
      <c r="S46" s="234"/>
      <c r="T46" s="232"/>
      <c r="U46" s="232"/>
      <c r="V46" s="315"/>
      <c r="W46" s="236"/>
      <c r="AD46" s="315"/>
    </row>
    <row r="47" spans="1:30" s="202" customFormat="1" ht="24.95" customHeight="1">
      <c r="A47" s="189"/>
      <c r="B47" s="189"/>
      <c r="C47" s="218"/>
      <c r="D47" s="218" t="s">
        <v>76</v>
      </c>
      <c r="E47" s="52">
        <f>SUBTOTAL(9,E43:E46)</f>
        <v>61300</v>
      </c>
      <c r="F47" s="52">
        <f t="shared" ref="F47:Q47" si="29">SUBTOTAL(9,F43:F46)</f>
        <v>61300</v>
      </c>
      <c r="G47" s="52">
        <f t="shared" si="29"/>
        <v>61300</v>
      </c>
      <c r="H47" s="52">
        <f t="shared" si="29"/>
        <v>63300</v>
      </c>
      <c r="I47" s="52">
        <f t="shared" si="29"/>
        <v>61300</v>
      </c>
      <c r="J47" s="52">
        <f t="shared" si="29"/>
        <v>61300</v>
      </c>
      <c r="K47" s="52">
        <f t="shared" si="29"/>
        <v>61300</v>
      </c>
      <c r="L47" s="52">
        <f t="shared" si="29"/>
        <v>63300</v>
      </c>
      <c r="M47" s="52">
        <f t="shared" si="29"/>
        <v>61300</v>
      </c>
      <c r="N47" s="52">
        <f t="shared" si="29"/>
        <v>61300</v>
      </c>
      <c r="O47" s="52">
        <f t="shared" si="29"/>
        <v>61300</v>
      </c>
      <c r="P47" s="52">
        <f t="shared" si="29"/>
        <v>63300</v>
      </c>
      <c r="Q47" s="52">
        <f t="shared" si="29"/>
        <v>741600</v>
      </c>
      <c r="R47" s="52">
        <v>2234575.9300000002</v>
      </c>
      <c r="S47" s="234">
        <f>Q47/$Q$16</f>
        <v>2.2298534633875922E-2</v>
      </c>
      <c r="T47" s="232">
        <f t="shared" ref="T47:U47" si="30">SUBTOTAL(9,T43:T46)</f>
        <v>939200</v>
      </c>
      <c r="U47" s="232">
        <f t="shared" si="30"/>
        <v>932833.84</v>
      </c>
      <c r="V47" s="315"/>
      <c r="W47" s="40"/>
      <c r="AD47" s="315"/>
    </row>
    <row r="48" spans="1:30" s="202" customFormat="1" ht="24.95" customHeight="1">
      <c r="A48" s="189"/>
      <c r="B48" s="189"/>
      <c r="C48" s="189"/>
      <c r="D48" s="189"/>
      <c r="E48" s="220"/>
      <c r="F48" s="220"/>
      <c r="G48" s="220"/>
      <c r="H48" s="220"/>
      <c r="I48" s="220"/>
      <c r="J48" s="220"/>
      <c r="K48" s="220"/>
      <c r="L48" s="220"/>
      <c r="M48" s="220"/>
      <c r="N48" s="220"/>
      <c r="O48" s="220"/>
      <c r="P48" s="220"/>
      <c r="T48" s="315"/>
      <c r="U48" s="315"/>
      <c r="V48" s="315"/>
      <c r="W48" s="236"/>
      <c r="AD48" s="315"/>
    </row>
    <row r="49" spans="1:30" s="202" customFormat="1" ht="24.95" customHeight="1">
      <c r="A49" s="189" t="s">
        <v>77</v>
      </c>
      <c r="B49" s="189" t="s">
        <v>63</v>
      </c>
      <c r="C49" s="189"/>
      <c r="D49" s="189" t="s">
        <v>78</v>
      </c>
      <c r="E49" s="27">
        <f>'Fixed Charge'!E27</f>
        <v>0</v>
      </c>
      <c r="F49" s="27">
        <f>'Fixed Charge'!F27</f>
        <v>0</v>
      </c>
      <c r="G49" s="27">
        <f>'Fixed Charge'!G27</f>
        <v>0</v>
      </c>
      <c r="H49" s="27">
        <f>'Fixed Charge'!H27</f>
        <v>0</v>
      </c>
      <c r="I49" s="27">
        <f>'Fixed Charge'!I27</f>
        <v>0</v>
      </c>
      <c r="J49" s="27">
        <f>'Fixed Charge'!J27</f>
        <v>0</v>
      </c>
      <c r="K49" s="27">
        <f>'Fixed Charge'!K27</f>
        <v>0</v>
      </c>
      <c r="L49" s="27">
        <f>'Fixed Charge'!L27</f>
        <v>0</v>
      </c>
      <c r="M49" s="27">
        <f>'Fixed Charge'!M27</f>
        <v>0</v>
      </c>
      <c r="N49" s="27">
        <f>'Fixed Charge'!N27</f>
        <v>0</v>
      </c>
      <c r="O49" s="27">
        <f>'Fixed Charge'!O27</f>
        <v>0</v>
      </c>
      <c r="P49" s="27">
        <f>'Fixed Charge'!P27</f>
        <v>0</v>
      </c>
      <c r="Q49" s="232">
        <f>SUM(E49:P49)</f>
        <v>0</v>
      </c>
      <c r="R49" s="238">
        <v>0</v>
      </c>
      <c r="T49" s="315"/>
      <c r="U49" s="315"/>
      <c r="V49" s="315"/>
      <c r="W49" s="236"/>
      <c r="AD49" s="315"/>
    </row>
    <row r="50" spans="1:30" s="202" customFormat="1" ht="24.95" customHeight="1">
      <c r="A50" s="189" t="s">
        <v>79</v>
      </c>
      <c r="B50" s="189"/>
      <c r="C50" s="189"/>
      <c r="D50" s="189" t="s">
        <v>80</v>
      </c>
      <c r="E50" s="43">
        <v>0</v>
      </c>
      <c r="F50" s="43">
        <v>0</v>
      </c>
      <c r="G50" s="43">
        <v>0</v>
      </c>
      <c r="H50" s="43">
        <v>0</v>
      </c>
      <c r="I50" s="43">
        <v>0</v>
      </c>
      <c r="J50" s="43">
        <v>0</v>
      </c>
      <c r="K50" s="43">
        <v>0</v>
      </c>
      <c r="L50" s="43">
        <v>0</v>
      </c>
      <c r="M50" s="43">
        <v>0</v>
      </c>
      <c r="N50" s="43">
        <v>0</v>
      </c>
      <c r="O50" s="43">
        <v>0</v>
      </c>
      <c r="P50" s="43">
        <v>0</v>
      </c>
      <c r="Q50" s="232">
        <f>SUM(E50:P50)</f>
        <v>0</v>
      </c>
      <c r="R50" s="232">
        <v>0</v>
      </c>
      <c r="T50" s="315"/>
      <c r="U50" s="315"/>
      <c r="V50" s="315"/>
      <c r="W50" s="236"/>
      <c r="AD50" s="315"/>
    </row>
    <row r="51" spans="1:30" s="202" customFormat="1" ht="24.95" customHeight="1">
      <c r="A51" s="189" t="s">
        <v>1184</v>
      </c>
      <c r="B51" s="189" t="s">
        <v>63</v>
      </c>
      <c r="C51" s="189"/>
      <c r="D51" s="189" t="s">
        <v>82</v>
      </c>
      <c r="E51" s="43">
        <f>'Fixed Charge'!E24</f>
        <v>-10659.65</v>
      </c>
      <c r="F51" s="43">
        <f>'Fixed Charge'!F24</f>
        <v>-8567.66</v>
      </c>
      <c r="G51" s="43">
        <f>'Fixed Charge'!G24</f>
        <v>-11042.27</v>
      </c>
      <c r="H51" s="43">
        <f>'Fixed Charge'!H24</f>
        <v>-13070.9</v>
      </c>
      <c r="I51" s="43">
        <f>'Fixed Charge'!I24</f>
        <v>-14605.48</v>
      </c>
      <c r="J51" s="43">
        <f>'Fixed Charge'!J24</f>
        <v>-12352.93</v>
      </c>
      <c r="K51" s="43">
        <f>'Fixed Charge'!K24</f>
        <v>-14027.61</v>
      </c>
      <c r="L51" s="43">
        <f>'Fixed Charge'!L24</f>
        <v>-14373.08</v>
      </c>
      <c r="M51" s="43">
        <f>'Fixed Charge'!M24</f>
        <v>-14651.99</v>
      </c>
      <c r="N51" s="43">
        <f>'Fixed Charge'!N24</f>
        <v>-16359.03</v>
      </c>
      <c r="O51" s="43">
        <f>'Fixed Charge'!O24</f>
        <v>-13903.69</v>
      </c>
      <c r="P51" s="43">
        <f>'Fixed Charge'!P24</f>
        <v>-13262.09</v>
      </c>
      <c r="Q51" s="232">
        <f>SUM(E51:P51)</f>
        <v>-156876.37999999998</v>
      </c>
      <c r="R51" s="232">
        <v>0</v>
      </c>
      <c r="T51" s="315">
        <v>-261545.51</v>
      </c>
      <c r="U51" s="315">
        <v>-281349.46334678895</v>
      </c>
      <c r="V51" s="315"/>
      <c r="W51" s="40"/>
      <c r="AD51" s="315"/>
    </row>
    <row r="52" spans="1:30" s="202" customFormat="1" ht="24.95" customHeight="1">
      <c r="A52" s="189"/>
      <c r="B52" s="189"/>
      <c r="C52" s="218"/>
      <c r="D52" s="218" t="s">
        <v>83</v>
      </c>
      <c r="E52" s="225">
        <f>E49-E50-E51</f>
        <v>10659.65</v>
      </c>
      <c r="F52" s="225">
        <f t="shared" ref="F52:Q52" si="31">F49-F50-F51</f>
        <v>8567.66</v>
      </c>
      <c r="G52" s="225">
        <f t="shared" si="31"/>
        <v>11042.27</v>
      </c>
      <c r="H52" s="225">
        <f t="shared" si="31"/>
        <v>13070.9</v>
      </c>
      <c r="I52" s="225">
        <f t="shared" si="31"/>
        <v>14605.48</v>
      </c>
      <c r="J52" s="225">
        <f t="shared" si="31"/>
        <v>12352.93</v>
      </c>
      <c r="K52" s="225">
        <f t="shared" si="31"/>
        <v>14027.61</v>
      </c>
      <c r="L52" s="225">
        <f t="shared" si="31"/>
        <v>14373.08</v>
      </c>
      <c r="M52" s="225">
        <f t="shared" si="31"/>
        <v>14651.99</v>
      </c>
      <c r="N52" s="225">
        <f t="shared" si="31"/>
        <v>16359.03</v>
      </c>
      <c r="O52" s="225">
        <f t="shared" si="31"/>
        <v>13903.69</v>
      </c>
      <c r="P52" s="225">
        <f t="shared" si="31"/>
        <v>13262.09</v>
      </c>
      <c r="Q52" s="225">
        <f t="shared" si="31"/>
        <v>156876.37999999998</v>
      </c>
      <c r="R52" s="225">
        <v>0</v>
      </c>
      <c r="T52" s="315">
        <f t="shared" ref="T52:U52" si="32">T49-T50-T51</f>
        <v>261545.51</v>
      </c>
      <c r="U52" s="315">
        <f t="shared" si="32"/>
        <v>281349.46334678895</v>
      </c>
      <c r="V52" s="315"/>
      <c r="W52" s="40"/>
      <c r="AD52" s="315"/>
    </row>
    <row r="53" spans="1:30" s="202" customFormat="1" ht="24.95" customHeight="1">
      <c r="A53" s="189"/>
      <c r="B53" s="189"/>
      <c r="C53" s="222"/>
      <c r="D53" s="222" t="s">
        <v>84</v>
      </c>
      <c r="E53" s="74">
        <f>E41-E47+E52</f>
        <v>-377707.32999999984</v>
      </c>
      <c r="F53" s="74">
        <f t="shared" ref="F53:Q53" si="33">F41-F47+F52</f>
        <v>-652009.54999999993</v>
      </c>
      <c r="G53" s="74">
        <f t="shared" si="33"/>
        <v>-85667.909999999873</v>
      </c>
      <c r="H53" s="74">
        <f t="shared" si="33"/>
        <v>136937.26999999996</v>
      </c>
      <c r="I53" s="74">
        <f t="shared" si="33"/>
        <v>132474.29999999976</v>
      </c>
      <c r="J53" s="74">
        <f t="shared" si="33"/>
        <v>-87320.180000000109</v>
      </c>
      <c r="K53" s="74">
        <f t="shared" si="33"/>
        <v>174869.0799999999</v>
      </c>
      <c r="L53" s="74">
        <f t="shared" si="33"/>
        <v>229538.20000000016</v>
      </c>
      <c r="M53" s="74">
        <f t="shared" si="33"/>
        <v>295529.10999999987</v>
      </c>
      <c r="N53" s="74">
        <f t="shared" si="33"/>
        <v>396100.29999999952</v>
      </c>
      <c r="O53" s="74">
        <f t="shared" si="33"/>
        <v>308787.02999999985</v>
      </c>
      <c r="P53" s="74">
        <f t="shared" si="33"/>
        <v>75014.40999999996</v>
      </c>
      <c r="Q53" s="74">
        <f t="shared" si="33"/>
        <v>546544.72999999847</v>
      </c>
      <c r="R53" s="74">
        <v>11050526.980791301</v>
      </c>
      <c r="S53" s="234">
        <f>Q53/$Q$16</f>
        <v>1.6433584939141491E-2</v>
      </c>
      <c r="T53" s="232">
        <f t="shared" ref="T53:U53" si="34">T41-T47+T52</f>
        <v>-3875069.8000000054</v>
      </c>
      <c r="U53" s="232">
        <f t="shared" si="34"/>
        <v>-99816.872055705346</v>
      </c>
      <c r="V53" s="315"/>
      <c r="W53" s="40"/>
      <c r="AD53" s="315"/>
    </row>
    <row r="54" spans="1:30" s="202" customFormat="1" ht="24.95" customHeight="1">
      <c r="A54" s="189"/>
      <c r="B54" s="189"/>
      <c r="C54" s="222"/>
      <c r="D54" s="222" t="s">
        <v>85</v>
      </c>
      <c r="E54" s="223">
        <f>IF(E53=0,0,E53/E16)</f>
        <v>-0.16713852625355879</v>
      </c>
      <c r="F54" s="223">
        <f t="shared" ref="F54:Q54" si="35">IF(F53=0,0,F53/F16)</f>
        <v>-0.35896799863682244</v>
      </c>
      <c r="G54" s="223">
        <f t="shared" si="35"/>
        <v>-3.6595196715194414E-2</v>
      </c>
      <c r="H54" s="223">
        <f t="shared" si="35"/>
        <v>4.9417458532209413E-2</v>
      </c>
      <c r="I54" s="223">
        <f t="shared" si="35"/>
        <v>4.278386375646788E-2</v>
      </c>
      <c r="J54" s="223">
        <f t="shared" si="35"/>
        <v>-3.3343302191343918E-2</v>
      </c>
      <c r="K54" s="223">
        <f t="shared" si="35"/>
        <v>5.8802207493627009E-2</v>
      </c>
      <c r="L54" s="223">
        <f t="shared" si="35"/>
        <v>7.533024188338508E-2</v>
      </c>
      <c r="M54" s="223">
        <f t="shared" si="35"/>
        <v>9.5141007620124493E-2</v>
      </c>
      <c r="N54" s="223">
        <f t="shared" si="35"/>
        <v>0.11421199205977828</v>
      </c>
      <c r="O54" s="223">
        <f t="shared" si="35"/>
        <v>0.10475942960980014</v>
      </c>
      <c r="P54" s="223">
        <f t="shared" si="35"/>
        <v>2.6680685681409216E-2</v>
      </c>
      <c r="Q54" s="223">
        <f t="shared" si="35"/>
        <v>1.6433584939141491E-2</v>
      </c>
      <c r="R54" s="74">
        <v>0.12153042549538</v>
      </c>
      <c r="T54" s="342">
        <f t="shared" ref="T54:U54" si="36">IF(T53=0,0,T53/T16)</f>
        <v>-0.12296351904539805</v>
      </c>
      <c r="U54" s="342">
        <f t="shared" si="36"/>
        <v>-2.981766974650339E-3</v>
      </c>
      <c r="V54" s="315"/>
      <c r="W54" s="40"/>
      <c r="AD54" s="315"/>
    </row>
    <row r="55" spans="1:30" s="202" customFormat="1" ht="24.95" customHeight="1">
      <c r="A55" s="189"/>
      <c r="B55" s="189"/>
      <c r="C55" s="222"/>
      <c r="D55" s="222"/>
      <c r="E55" s="221"/>
      <c r="F55" s="221"/>
      <c r="G55" s="221"/>
      <c r="H55" s="221"/>
      <c r="I55" s="221"/>
      <c r="J55" s="221"/>
      <c r="K55" s="221"/>
      <c r="L55" s="221"/>
      <c r="M55" s="221"/>
      <c r="N55" s="221"/>
      <c r="O55" s="221"/>
      <c r="P55" s="221"/>
      <c r="T55" s="315"/>
      <c r="U55" s="315"/>
      <c r="V55" s="315"/>
      <c r="W55" s="236"/>
      <c r="AD55" s="315"/>
    </row>
    <row r="56" spans="1:30" s="202" customFormat="1" ht="24.95" customHeight="1">
      <c r="A56" s="189" t="s">
        <v>1210</v>
      </c>
      <c r="B56" s="189" t="s">
        <v>86</v>
      </c>
      <c r="C56" s="222"/>
      <c r="D56" s="189" t="s">
        <v>87</v>
      </c>
      <c r="E56" s="43">
        <v>80050</v>
      </c>
      <c r="F56" s="43">
        <v>80050</v>
      </c>
      <c r="G56" s="43">
        <v>80050</v>
      </c>
      <c r="H56" s="43">
        <v>80050</v>
      </c>
      <c r="I56" s="43">
        <v>80050</v>
      </c>
      <c r="J56" s="43">
        <v>80050</v>
      </c>
      <c r="K56" s="43">
        <f>J56+34000+2500+200+1000+5000</f>
        <v>122750</v>
      </c>
      <c r="L56" s="43">
        <v>122750</v>
      </c>
      <c r="M56" s="43">
        <v>122750</v>
      </c>
      <c r="N56" s="43">
        <v>122750</v>
      </c>
      <c r="O56" s="43">
        <v>122750</v>
      </c>
      <c r="P56" s="43">
        <v>122750</v>
      </c>
      <c r="Q56" s="232">
        <f>SUM(E56:P56)</f>
        <v>1216800</v>
      </c>
      <c r="R56" s="232">
        <v>0</v>
      </c>
      <c r="T56" s="315">
        <v>1108538.4100000001</v>
      </c>
      <c r="U56" s="315">
        <v>1063907.25</v>
      </c>
      <c r="V56" s="315"/>
      <c r="W56" s="236"/>
      <c r="AD56" s="315"/>
    </row>
    <row r="57" spans="1:30" s="202" customFormat="1" ht="24.95" customHeight="1">
      <c r="A57" s="189"/>
      <c r="B57" s="189"/>
      <c r="C57" s="222"/>
      <c r="D57" s="226"/>
      <c r="E57" s="224"/>
      <c r="F57" s="224"/>
      <c r="G57" s="224"/>
      <c r="H57" s="224"/>
      <c r="I57" s="224"/>
      <c r="J57" s="224"/>
      <c r="K57" s="224"/>
      <c r="L57" s="224"/>
      <c r="M57" s="224"/>
      <c r="N57" s="224"/>
      <c r="O57" s="224"/>
      <c r="P57" s="224"/>
      <c r="Q57" s="306">
        <f>Q53-Q56</f>
        <v>-670255.27000000153</v>
      </c>
      <c r="R57" s="304" t="s">
        <v>88</v>
      </c>
      <c r="S57" s="305" t="s">
        <v>1105</v>
      </c>
      <c r="T57" s="315">
        <f>T53-T56</f>
        <v>-4983608.2100000056</v>
      </c>
      <c r="U57" s="315">
        <f>U53-U56</f>
        <v>-1163724.1220557054</v>
      </c>
      <c r="V57" s="315"/>
      <c r="W57" s="236"/>
      <c r="AD57" s="315"/>
    </row>
    <row r="58" spans="1:30" s="202" customFormat="1" ht="24.95" customHeight="1">
      <c r="A58" s="189" t="s">
        <v>89</v>
      </c>
      <c r="B58" s="189" t="s">
        <v>63</v>
      </c>
      <c r="C58" s="217"/>
      <c r="D58" s="189" t="s">
        <v>90</v>
      </c>
      <c r="E58" s="43"/>
      <c r="F58" s="43"/>
      <c r="G58" s="43"/>
      <c r="H58" s="43"/>
      <c r="I58" s="43"/>
      <c r="J58" s="43"/>
      <c r="K58" s="43"/>
      <c r="L58" s="43"/>
      <c r="M58" s="43"/>
      <c r="N58" s="43"/>
      <c r="O58" s="43"/>
      <c r="P58" s="43"/>
      <c r="Q58" s="232">
        <f>SUM(E58:P58)</f>
        <v>0</v>
      </c>
      <c r="R58" s="232">
        <v>0</v>
      </c>
      <c r="T58" s="315"/>
      <c r="U58" s="315"/>
      <c r="V58" s="315"/>
      <c r="W58" s="236"/>
      <c r="AD58" s="315"/>
    </row>
    <row r="59" spans="1:30" s="202" customFormat="1" ht="24.95" customHeight="1">
      <c r="A59" s="189"/>
      <c r="B59" s="189"/>
      <c r="C59" s="189"/>
      <c r="D59" s="189"/>
      <c r="E59" s="224"/>
      <c r="F59" s="224"/>
      <c r="G59" s="224"/>
      <c r="H59" s="224"/>
      <c r="I59" s="224"/>
      <c r="L59" s="161"/>
      <c r="T59" s="315"/>
      <c r="U59" s="315"/>
      <c r="V59" s="315"/>
      <c r="W59" s="236"/>
      <c r="AD59" s="315"/>
    </row>
    <row r="60" spans="1:30" s="202" customFormat="1" ht="24.95" customHeight="1">
      <c r="A60" s="189" t="s">
        <v>91</v>
      </c>
      <c r="B60" s="189" t="s">
        <v>63</v>
      </c>
      <c r="C60" s="189"/>
      <c r="D60" s="189" t="s">
        <v>92</v>
      </c>
      <c r="E60" s="43">
        <f>'Fixed Charge'!E20</f>
        <v>90393.84</v>
      </c>
      <c r="F60" s="43">
        <f>'Fixed Charge'!F20</f>
        <v>72653.78</v>
      </c>
      <c r="G60" s="43">
        <f>'Fixed Charge'!G20</f>
        <v>93638.42</v>
      </c>
      <c r="H60" s="43">
        <f>'Fixed Charge'!H20</f>
        <v>110841.21</v>
      </c>
      <c r="I60" s="43">
        <f>'Fixed Charge'!I20</f>
        <v>123854.45</v>
      </c>
      <c r="J60" s="43">
        <f>'Fixed Charge'!J20</f>
        <v>104752.89</v>
      </c>
      <c r="K60" s="43">
        <f>'Fixed Charge'!K20</f>
        <v>118954.09</v>
      </c>
      <c r="L60" s="43">
        <f>'Fixed Charge'!L20</f>
        <v>121883.69</v>
      </c>
      <c r="M60" s="43">
        <f>'Fixed Charge'!M20</f>
        <v>124248.89</v>
      </c>
      <c r="N60" s="43">
        <f>'Fixed Charge'!N20</f>
        <v>138724.59</v>
      </c>
      <c r="O60" s="43">
        <f>'Fixed Charge'!O20</f>
        <v>117903.29</v>
      </c>
      <c r="P60" s="43">
        <f>'Fixed Charge'!P20</f>
        <v>112462.49</v>
      </c>
      <c r="Q60" s="232">
        <f>SUM(E60:P60)</f>
        <v>1330311.6299999999</v>
      </c>
      <c r="R60" s="232">
        <v>1818561.38842</v>
      </c>
      <c r="S60" s="234">
        <f>Q60/$Q$16</f>
        <v>3.9999999939863709E-2</v>
      </c>
      <c r="T60" s="232">
        <v>610277.23999999987</v>
      </c>
      <c r="U60" s="232">
        <v>669514.91379999998</v>
      </c>
      <c r="V60" s="315"/>
      <c r="W60" s="40"/>
      <c r="AD60" s="315"/>
    </row>
    <row r="61" spans="1:30" s="202" customFormat="1" ht="24.95" customHeight="1" thickBot="1">
      <c r="A61" s="189"/>
      <c r="B61" s="189"/>
      <c r="C61" s="218"/>
      <c r="D61" s="218" t="s">
        <v>93</v>
      </c>
      <c r="E61" s="227">
        <f>E53-E56-E58-E60</f>
        <v>-548151.16999999981</v>
      </c>
      <c r="F61" s="227">
        <f t="shared" ref="F61:R61" si="37">F53-F56-F58-F60</f>
        <v>-804713.33</v>
      </c>
      <c r="G61" s="227">
        <f t="shared" si="37"/>
        <v>-259356.32999999984</v>
      </c>
      <c r="H61" s="227">
        <f t="shared" si="37"/>
        <v>-53953.940000000046</v>
      </c>
      <c r="I61" s="227">
        <f t="shared" si="37"/>
        <v>-71430.150000000242</v>
      </c>
      <c r="J61" s="227">
        <f t="shared" si="37"/>
        <v>-272123.07000000012</v>
      </c>
      <c r="K61" s="227">
        <f t="shared" si="37"/>
        <v>-66835.010000000097</v>
      </c>
      <c r="L61" s="227">
        <f t="shared" si="37"/>
        <v>-15095.489999999845</v>
      </c>
      <c r="M61" s="227">
        <f t="shared" si="37"/>
        <v>48530.21999999987</v>
      </c>
      <c r="N61" s="227">
        <f t="shared" si="37"/>
        <v>134625.70999999953</v>
      </c>
      <c r="O61" s="227">
        <f t="shared" si="37"/>
        <v>68133.73999999986</v>
      </c>
      <c r="P61" s="227">
        <f t="shared" si="37"/>
        <v>-160198.08000000005</v>
      </c>
      <c r="Q61" s="365">
        <f>Q53-Q56-Q58-Q60</f>
        <v>-2000566.9000000013</v>
      </c>
      <c r="R61" s="227">
        <f t="shared" si="37"/>
        <v>9231965.5923712999</v>
      </c>
      <c r="S61" s="234">
        <f>Q61/$Q$16</f>
        <v>-6.0153331050479798E-2</v>
      </c>
      <c r="T61" s="232">
        <f t="shared" ref="T61:U61" si="38">T53-T56-T58-T60</f>
        <v>-5593885.4500000058</v>
      </c>
      <c r="U61" s="232">
        <f t="shared" si="38"/>
        <v>-1833239.0358557054</v>
      </c>
      <c r="V61" s="315"/>
      <c r="W61" s="40"/>
      <c r="Y61" s="315">
        <v>-2526600</v>
      </c>
      <c r="Z61" s="362">
        <f>Q61-Y61</f>
        <v>526033.0999999987</v>
      </c>
      <c r="AA61" s="315"/>
      <c r="AB61" s="362"/>
      <c r="AD61" s="315"/>
    </row>
    <row r="62" spans="1:30" s="202" customFormat="1" ht="24.95" customHeight="1">
      <c r="A62" s="189"/>
      <c r="B62" s="189"/>
      <c r="C62" s="218"/>
      <c r="D62" s="218" t="s">
        <v>94</v>
      </c>
      <c r="E62" s="223">
        <f>IF(E61=0,0,E61/E16)</f>
        <v>-0.24256129399967954</v>
      </c>
      <c r="F62" s="223">
        <f t="shared" ref="F62:R62" si="39">IF(F61=0,0,F61/F16)</f>
        <v>-0.4430400345308943</v>
      </c>
      <c r="G62" s="223">
        <f t="shared" si="39"/>
        <v>-0.11079056224998236</v>
      </c>
      <c r="H62" s="223">
        <f t="shared" si="39"/>
        <v>-1.9470715259617178E-2</v>
      </c>
      <c r="I62" s="223">
        <f t="shared" si="39"/>
        <v>-2.306906174030797E-2</v>
      </c>
      <c r="J62" s="223">
        <f t="shared" si="39"/>
        <v>-0.10391047929867102</v>
      </c>
      <c r="K62" s="223">
        <f t="shared" si="39"/>
        <v>-2.2474219718309513E-2</v>
      </c>
      <c r="L62" s="223">
        <f t="shared" si="39"/>
        <v>-4.9540639120120664E-3</v>
      </c>
      <c r="M62" s="223">
        <f t="shared" si="39"/>
        <v>1.5623550691254434E-2</v>
      </c>
      <c r="N62" s="223">
        <f t="shared" si="39"/>
        <v>3.881812389832065E-2</v>
      </c>
      <c r="O62" s="223">
        <f t="shared" si="39"/>
        <v>2.3115128053086985E-2</v>
      </c>
      <c r="P62" s="223">
        <f t="shared" si="39"/>
        <v>-5.6978314156510085E-2</v>
      </c>
      <c r="Q62" s="239">
        <f t="shared" si="39"/>
        <v>-6.0153331050479798E-2</v>
      </c>
      <c r="R62" s="223">
        <f t="shared" si="39"/>
        <v>0.10153042552177524</v>
      </c>
      <c r="T62" s="342">
        <f t="shared" ref="T62:U62" si="40">IF(T61=0,0,T61/T16)</f>
        <v>-0.17750489038129064</v>
      </c>
      <c r="U62" s="342">
        <f t="shared" si="40"/>
        <v>-5.4763202865180625E-2</v>
      </c>
      <c r="V62" s="315"/>
      <c r="W62" s="40"/>
      <c r="Y62" s="362"/>
      <c r="AD62" s="315"/>
    </row>
    <row r="63" spans="1:30" s="202" customFormat="1" ht="24.95" customHeight="1">
      <c r="A63" s="189"/>
      <c r="B63" s="189"/>
      <c r="C63" s="189"/>
      <c r="D63" s="215"/>
      <c r="E63" s="228"/>
      <c r="F63" s="229"/>
      <c r="G63" s="229"/>
      <c r="H63" s="230"/>
      <c r="I63" s="230"/>
      <c r="L63" s="161"/>
      <c r="S63" s="235"/>
      <c r="T63" s="315"/>
      <c r="U63" s="315"/>
      <c r="V63" s="315"/>
      <c r="W63" s="236"/>
      <c r="AD63" s="315"/>
    </row>
    <row r="64" spans="1:30" s="202" customFormat="1" ht="24.95" customHeight="1">
      <c r="A64" s="189" t="s">
        <v>95</v>
      </c>
      <c r="B64" s="189" t="s">
        <v>96</v>
      </c>
      <c r="C64" s="189"/>
      <c r="D64" s="217" t="s">
        <v>97</v>
      </c>
      <c r="E64" s="80">
        <f>'Rooms Summary'!E107</f>
        <v>6293</v>
      </c>
      <c r="F64" s="80">
        <f>'Rooms Summary'!F107</f>
        <v>5684</v>
      </c>
      <c r="G64" s="80">
        <f>'Rooms Summary'!G107</f>
        <v>6293</v>
      </c>
      <c r="H64" s="80">
        <f>'Rooms Summary'!H107</f>
        <v>6090</v>
      </c>
      <c r="I64" s="80">
        <f>'Rooms Summary'!I107</f>
        <v>6293</v>
      </c>
      <c r="J64" s="80">
        <f>'Rooms Summary'!J107</f>
        <v>6090</v>
      </c>
      <c r="K64" s="80">
        <f>'Rooms Summary'!K107</f>
        <v>6293</v>
      </c>
      <c r="L64" s="80">
        <f>'Rooms Summary'!L107</f>
        <v>6293</v>
      </c>
      <c r="M64" s="80">
        <f>'Rooms Summary'!M107</f>
        <v>6090</v>
      </c>
      <c r="N64" s="80">
        <f>'Rooms Summary'!N107</f>
        <v>6293</v>
      </c>
      <c r="O64" s="80">
        <f>'Rooms Summary'!O107</f>
        <v>6090</v>
      </c>
      <c r="P64" s="80">
        <f>'Rooms Summary'!P107</f>
        <v>6293</v>
      </c>
      <c r="Q64" s="240">
        <f>SUM(E64:P64)</f>
        <v>74095</v>
      </c>
      <c r="R64" s="240">
        <v>67962</v>
      </c>
      <c r="T64" s="315">
        <v>74095</v>
      </c>
      <c r="U64" s="315"/>
      <c r="V64" s="315"/>
      <c r="W64" s="40"/>
      <c r="AD64" s="315"/>
    </row>
    <row r="65" spans="1:30" s="202" customFormat="1" ht="24.95" customHeight="1">
      <c r="A65" s="189" t="s">
        <v>98</v>
      </c>
      <c r="B65" s="189" t="s">
        <v>96</v>
      </c>
      <c r="C65" s="189"/>
      <c r="D65" s="217" t="s">
        <v>99</v>
      </c>
      <c r="E65" s="80">
        <f>'Rooms Summary'!E111</f>
        <v>2880</v>
      </c>
      <c r="F65" s="80">
        <f>'Rooms Summary'!F111</f>
        <v>2620</v>
      </c>
      <c r="G65" s="80">
        <f>'Rooms Summary'!G111</f>
        <v>3445</v>
      </c>
      <c r="H65" s="80">
        <f>'Rooms Summary'!H111</f>
        <v>3885</v>
      </c>
      <c r="I65" s="80">
        <f>'Rooms Summary'!I111</f>
        <v>4015</v>
      </c>
      <c r="J65" s="80">
        <f>'Rooms Summary'!J111</f>
        <v>3735</v>
      </c>
      <c r="K65" s="80">
        <f>'Rooms Summary'!K111</f>
        <v>4245</v>
      </c>
      <c r="L65" s="80">
        <f>'Rooms Summary'!L111</f>
        <v>4295</v>
      </c>
      <c r="M65" s="80">
        <f>'Rooms Summary'!M111</f>
        <v>4335</v>
      </c>
      <c r="N65" s="80">
        <f>'Rooms Summary'!N111</f>
        <v>4420</v>
      </c>
      <c r="O65" s="80">
        <f>'Rooms Summary'!O111</f>
        <v>4235</v>
      </c>
      <c r="P65" s="80">
        <f>'Rooms Summary'!P111</f>
        <v>4045</v>
      </c>
      <c r="Q65" s="240">
        <f>SUM(E65:P65)</f>
        <v>46155</v>
      </c>
      <c r="R65" s="240">
        <v>41723</v>
      </c>
      <c r="T65" s="315">
        <v>39513</v>
      </c>
      <c r="U65" s="315"/>
      <c r="V65" s="315"/>
      <c r="W65" s="40"/>
      <c r="AD65" s="315"/>
    </row>
    <row r="66" spans="1:30" s="202" customFormat="1" ht="24.95" customHeight="1">
      <c r="A66" s="189"/>
      <c r="B66" s="189"/>
      <c r="C66" s="189"/>
      <c r="D66" s="217" t="s">
        <v>100</v>
      </c>
      <c r="E66" s="199">
        <f>IF(E64=0,0,E65/E64)</f>
        <v>0.45765135865247097</v>
      </c>
      <c r="F66" s="199">
        <f t="shared" ref="F66:P66" si="41">IF(F64=0,0,F65/F64)</f>
        <v>0.46094299788881071</v>
      </c>
      <c r="G66" s="199">
        <f t="shared" si="41"/>
        <v>0.54743365644366759</v>
      </c>
      <c r="H66" s="199">
        <f t="shared" si="41"/>
        <v>0.63793103448275867</v>
      </c>
      <c r="I66" s="199">
        <f t="shared" si="41"/>
        <v>0.63801048784363579</v>
      </c>
      <c r="J66" s="199">
        <f t="shared" si="41"/>
        <v>0.61330049261083741</v>
      </c>
      <c r="K66" s="199">
        <f t="shared" si="41"/>
        <v>0.67455903384713178</v>
      </c>
      <c r="L66" s="199">
        <f t="shared" si="41"/>
        <v>0.6825043699348482</v>
      </c>
      <c r="M66" s="199">
        <f t="shared" si="41"/>
        <v>0.71182266009852213</v>
      </c>
      <c r="N66" s="199">
        <f t="shared" si="41"/>
        <v>0.70236771015413957</v>
      </c>
      <c r="O66" s="199">
        <f t="shared" si="41"/>
        <v>0.6954022988505747</v>
      </c>
      <c r="P66" s="199">
        <f t="shared" si="41"/>
        <v>0.64277768949626568</v>
      </c>
      <c r="Q66" s="199">
        <f>IF(Q64=0,0,Q65/Q64)</f>
        <v>0.62291652608138204</v>
      </c>
      <c r="R66" s="199">
        <v>0.61391660045319396</v>
      </c>
      <c r="S66" s="275"/>
      <c r="T66" s="342">
        <f t="shared" ref="T66" si="42">IF(T64=0,0,T65/T64)</f>
        <v>0.53327484985491602</v>
      </c>
      <c r="U66" s="342"/>
      <c r="V66" s="315"/>
      <c r="W66" s="40"/>
      <c r="AD66" s="315"/>
    </row>
    <row r="67" spans="1:30" s="203" customFormat="1" ht="24.95" customHeight="1">
      <c r="A67" s="189"/>
      <c r="B67" s="189"/>
      <c r="C67" s="226"/>
      <c r="D67" s="222" t="s">
        <v>101</v>
      </c>
      <c r="E67" s="241">
        <f>IF(E65=0,0,ROUND(E11/E65,2))</f>
        <v>482.52</v>
      </c>
      <c r="F67" s="241">
        <f t="shared" ref="F67:Q67" si="43">IF(F65=0,0,ROUND(F11/F65,2))</f>
        <v>466.33</v>
      </c>
      <c r="G67" s="241">
        <f t="shared" si="43"/>
        <v>472.69</v>
      </c>
      <c r="H67" s="241">
        <f t="shared" si="43"/>
        <v>476.64</v>
      </c>
      <c r="I67" s="241">
        <f t="shared" si="43"/>
        <v>485.74</v>
      </c>
      <c r="J67" s="241">
        <f t="shared" si="43"/>
        <v>466.3</v>
      </c>
      <c r="K67" s="241">
        <f t="shared" si="43"/>
        <v>467.91</v>
      </c>
      <c r="L67" s="241">
        <f t="shared" si="43"/>
        <v>474.24</v>
      </c>
      <c r="M67" s="241">
        <f t="shared" si="43"/>
        <v>469.05</v>
      </c>
      <c r="N67" s="241">
        <f t="shared" si="43"/>
        <v>486.33</v>
      </c>
      <c r="O67" s="241">
        <f t="shared" si="43"/>
        <v>482.57</v>
      </c>
      <c r="P67" s="241">
        <f t="shared" si="43"/>
        <v>486.34</v>
      </c>
      <c r="Q67" s="241">
        <f t="shared" si="43"/>
        <v>476.66</v>
      </c>
      <c r="R67" s="241">
        <v>1171.9000000000001</v>
      </c>
      <c r="S67" s="276"/>
      <c r="T67" s="341">
        <f t="shared" ref="T67" si="44">IF(T65=0,0,ROUND(T11/T65,2))</f>
        <v>510.45</v>
      </c>
      <c r="U67" s="341"/>
      <c r="V67" s="315"/>
      <c r="W67" s="40"/>
      <c r="AD67" s="341"/>
    </row>
    <row r="68" spans="1:30" s="203" customFormat="1" ht="24.95" customHeight="1">
      <c r="A68" s="189"/>
      <c r="B68" s="189"/>
      <c r="C68" s="226"/>
      <c r="D68" s="222" t="s">
        <v>102</v>
      </c>
      <c r="E68" s="201">
        <f>ROUND(E67*E66,1)</f>
        <v>220.8</v>
      </c>
      <c r="F68" s="201">
        <f t="shared" ref="F68:Q68" si="45">ROUND(F67*F66,1)</f>
        <v>215</v>
      </c>
      <c r="G68" s="201">
        <f t="shared" si="45"/>
        <v>258.8</v>
      </c>
      <c r="H68" s="201">
        <f t="shared" si="45"/>
        <v>304.10000000000002</v>
      </c>
      <c r="I68" s="201">
        <f t="shared" si="45"/>
        <v>309.89999999999998</v>
      </c>
      <c r="J68" s="201">
        <f t="shared" si="45"/>
        <v>286</v>
      </c>
      <c r="K68" s="201">
        <f t="shared" si="45"/>
        <v>315.60000000000002</v>
      </c>
      <c r="L68" s="201">
        <f t="shared" si="45"/>
        <v>323.7</v>
      </c>
      <c r="M68" s="201">
        <f t="shared" si="45"/>
        <v>333.9</v>
      </c>
      <c r="N68" s="201">
        <f t="shared" si="45"/>
        <v>341.6</v>
      </c>
      <c r="O68" s="201">
        <f t="shared" si="45"/>
        <v>335.6</v>
      </c>
      <c r="P68" s="201">
        <f t="shared" si="45"/>
        <v>312.60000000000002</v>
      </c>
      <c r="Q68" s="201">
        <f t="shared" si="45"/>
        <v>296.89999999999998</v>
      </c>
      <c r="R68" s="201">
        <v>719</v>
      </c>
      <c r="T68" s="341">
        <f t="shared" ref="T68" si="46">ROUND(T67*T66,1)</f>
        <v>272.2</v>
      </c>
      <c r="U68" s="341"/>
      <c r="V68" s="315"/>
      <c r="W68" s="40"/>
      <c r="AD68" s="341"/>
    </row>
    <row r="69" spans="1:30" s="202" customFormat="1" ht="24.95" customHeight="1">
      <c r="A69" s="189" t="s">
        <v>103</v>
      </c>
      <c r="B69" s="189" t="s">
        <v>104</v>
      </c>
      <c r="C69" s="217"/>
      <c r="D69" s="217" t="s">
        <v>1103</v>
      </c>
      <c r="E69" s="242">
        <f>'Rooms Summary'!E156+'F&amp;B Summary'!E203+OOD!E98+'A&amp;G'!E196+'R&amp;M'!E195+'S&amp;M'!E194+Laundry!E193</f>
        <v>1430003.4999999998</v>
      </c>
      <c r="F69" s="242">
        <f>'Rooms Summary'!F156+'F&amp;B Summary'!F203+OOD!F98+'A&amp;G'!F196+'R&amp;M'!F195+'S&amp;M'!F194+Laundry!F193</f>
        <v>1480929.85</v>
      </c>
      <c r="G69" s="242">
        <f>'Rooms Summary'!G156+'F&amp;B Summary'!G203+OOD!G98+'A&amp;G'!G196+'R&amp;M'!G195+'S&amp;M'!G194+Laundry!G193</f>
        <v>1390308.19</v>
      </c>
      <c r="H69" s="242">
        <f>'Rooms Summary'!H156+'F&amp;B Summary'!H203+OOD!H98+'A&amp;G'!H196+'R&amp;M'!H195+'S&amp;M'!H194+Laundry!H193</f>
        <v>1435342.33</v>
      </c>
      <c r="I69" s="242">
        <f>'Rooms Summary'!I156+'F&amp;B Summary'!I203+OOD!I98+'A&amp;G'!I196+'R&amp;M'!I195+'S&amp;M'!I194+Laundry!I193</f>
        <v>1459792.26</v>
      </c>
      <c r="J69" s="242">
        <f>'Rooms Summary'!J156+'F&amp;B Summary'!J203+OOD!J98+'A&amp;G'!J196+'R&amp;M'!J195+'S&amp;M'!J194+Laundry!J193</f>
        <v>1438643.6099999999</v>
      </c>
      <c r="K69" s="242">
        <f>'Rooms Summary'!K156+'F&amp;B Summary'!K203+OOD!K98+'A&amp;G'!K196+'R&amp;M'!K195+'S&amp;M'!K194+Laundry!K193</f>
        <v>1416724.96</v>
      </c>
      <c r="L69" s="242">
        <f>'Rooms Summary'!L156+'F&amp;B Summary'!L203+OOD!L98+'A&amp;G'!L196+'R&amp;M'!L195+'S&amp;M'!L194+Laundry!L193</f>
        <v>1427635.8</v>
      </c>
      <c r="M69" s="242">
        <f>'Rooms Summary'!M156+'F&amp;B Summary'!M203+OOD!M98+'A&amp;G'!M196+'R&amp;M'!M195+'S&amp;M'!M194+Laundry!M193</f>
        <v>1454892.18</v>
      </c>
      <c r="N69" s="242">
        <f>'Rooms Summary'!N156+'F&amp;B Summary'!N203+OOD!N98+'A&amp;G'!N196+'R&amp;M'!N195+'S&amp;M'!N194+Laundry!N193</f>
        <v>1541065.6799999997</v>
      </c>
      <c r="O69" s="242">
        <f>'Rooms Summary'!O156+'F&amp;B Summary'!O203+OOD!O98+'A&amp;G'!O196+'R&amp;M'!O195+'S&amp;M'!O194+Laundry!O193</f>
        <v>1418095.96</v>
      </c>
      <c r="P69" s="242">
        <f>'Rooms Summary'!P156+'F&amp;B Summary'!P203+OOD!P98+'A&amp;G'!P196+'R&amp;M'!P195+'S&amp;M'!P194+Laundry!P193</f>
        <v>1411537.5999999999</v>
      </c>
      <c r="Q69" s="351">
        <f>SUM(E69:P69)</f>
        <v>17304971.920000002</v>
      </c>
      <c r="R69" s="246">
        <v>34417834.380000003</v>
      </c>
      <c r="S69" s="352">
        <f>Q69/$Q$16</f>
        <v>0.52032836528636772</v>
      </c>
      <c r="T69" s="232">
        <v>15072740.58</v>
      </c>
      <c r="U69" s="232"/>
      <c r="V69" s="315"/>
      <c r="W69" s="40"/>
      <c r="AD69" s="315"/>
    </row>
    <row r="70" spans="1:30" s="203" customFormat="1" ht="24.95" customHeight="1">
      <c r="A70" s="189" t="s">
        <v>105</v>
      </c>
      <c r="B70" s="189" t="s">
        <v>104</v>
      </c>
      <c r="C70" s="216"/>
      <c r="D70" s="217" t="s">
        <v>106</v>
      </c>
      <c r="E70" s="243">
        <f>'Rooms Summary'!E159+'F&amp;B Summary'!E205+OOD!E100+'A&amp;G'!E198+'R&amp;M'!E197+'S&amp;M'!E196+Laundry!E195+'Staff Canteen'!E194</f>
        <v>117</v>
      </c>
      <c r="F70" s="243">
        <f>'Rooms Summary'!F159+'F&amp;B Summary'!F205+OOD!F100+'A&amp;G'!F198+'R&amp;M'!F197+'S&amp;M'!F196+Laundry!F195+'Staff Canteen'!F194</f>
        <v>117</v>
      </c>
      <c r="G70" s="243">
        <f>'Rooms Summary'!G159+'F&amp;B Summary'!G205+OOD!G100+'A&amp;G'!G198+'R&amp;M'!G197+'S&amp;M'!G196+Laundry!G195+'Staff Canteen'!G194</f>
        <v>117</v>
      </c>
      <c r="H70" s="243">
        <f>'Rooms Summary'!H159+'F&amp;B Summary'!H205+OOD!H100+'A&amp;G'!H198+'R&amp;M'!H197+'S&amp;M'!H196+Laundry!H195+'Staff Canteen'!H194</f>
        <v>117</v>
      </c>
      <c r="I70" s="243">
        <f>'Rooms Summary'!I159+'F&amp;B Summary'!I205+OOD!I100+'A&amp;G'!I198+'R&amp;M'!I197+'S&amp;M'!I196+Laundry!I195+'Staff Canteen'!I194</f>
        <v>117</v>
      </c>
      <c r="J70" s="243">
        <f>'Rooms Summary'!J159+'F&amp;B Summary'!J205+OOD!J100+'A&amp;G'!J198+'R&amp;M'!J197+'S&amp;M'!J196+Laundry!J195+'Staff Canteen'!J194</f>
        <v>117</v>
      </c>
      <c r="K70" s="243">
        <f>'Rooms Summary'!K159+'F&amp;B Summary'!K205+OOD!K100+'A&amp;G'!K198+'R&amp;M'!K197+'S&amp;M'!K196+Laundry!K195+'Staff Canteen'!K194</f>
        <v>116</v>
      </c>
      <c r="L70" s="243">
        <f>'Rooms Summary'!L159+'F&amp;B Summary'!L205+OOD!L100+'A&amp;G'!L198+'R&amp;M'!L197+'S&amp;M'!L196+Laundry!L195+'Staff Canteen'!L194</f>
        <v>116</v>
      </c>
      <c r="M70" s="243">
        <f>'Rooms Summary'!M159+'F&amp;B Summary'!M205+OOD!M100+'A&amp;G'!M198+'R&amp;M'!M197+'S&amp;M'!M196+Laundry!M195+'Staff Canteen'!M194</f>
        <v>116</v>
      </c>
      <c r="N70" s="243">
        <f>'Rooms Summary'!N159+'F&amp;B Summary'!N205+OOD!N100+'A&amp;G'!N198+'R&amp;M'!N197+'S&amp;M'!N196+Laundry!N195+'Staff Canteen'!N194</f>
        <v>116</v>
      </c>
      <c r="O70" s="243">
        <f>'Rooms Summary'!O159+'F&amp;B Summary'!O205+OOD!O100+'A&amp;G'!O198+'R&amp;M'!O197+'S&amp;M'!O196+Laundry!O195+'Staff Canteen'!O194</f>
        <v>116</v>
      </c>
      <c r="P70" s="243">
        <f>'Rooms Summary'!P159+'F&amp;B Summary'!P205+OOD!P100+'A&amp;G'!P198+'R&amp;M'!P197+'S&amp;M'!P196+Laundry!P195+'Staff Canteen'!P194</f>
        <v>116</v>
      </c>
      <c r="Q70" s="247">
        <f>SUM(E70:P70)/12</f>
        <v>116.5</v>
      </c>
      <c r="R70" s="243">
        <v>320.83333333333297</v>
      </c>
      <c r="T70" s="341">
        <v>116</v>
      </c>
      <c r="U70" s="341"/>
      <c r="V70" s="315"/>
      <c r="W70" s="40"/>
      <c r="Y70" s="364"/>
      <c r="AD70" s="341"/>
    </row>
    <row r="71" spans="1:30" s="203" customFormat="1" ht="24.95" customHeight="1">
      <c r="A71" s="189"/>
      <c r="B71" s="189"/>
      <c r="C71" s="216"/>
      <c r="D71" s="217"/>
      <c r="E71" s="246"/>
      <c r="F71" s="243"/>
      <c r="G71" s="243"/>
      <c r="H71" s="243"/>
      <c r="I71" s="243"/>
      <c r="J71" s="243"/>
      <c r="K71" s="243"/>
      <c r="L71" s="243"/>
      <c r="M71" s="243"/>
      <c r="N71" s="243"/>
      <c r="O71" s="243"/>
      <c r="P71" s="243" t="s">
        <v>1096</v>
      </c>
      <c r="Q71" s="246">
        <f>'Rooms Summary'!Q127+'Rooms Summary'!Q136+'F&amp;B Summary'!Q174+'F&amp;B Summary'!Q183+OOD!Q78+OOD!Q69+'A&amp;G'!Q166+'A&amp;G'!Q175+'R&amp;M'!Q175+'R&amp;M'!Q166+'S&amp;M'!Q165+'S&amp;M'!Q174+Laundry!Q173+Laundry!Q164</f>
        <v>13394801.499999998</v>
      </c>
      <c r="R71" s="243"/>
      <c r="T71" s="341">
        <v>10717797.060000001</v>
      </c>
      <c r="U71" s="341"/>
      <c r="V71" s="315"/>
      <c r="W71" s="40"/>
      <c r="AD71" s="341"/>
    </row>
    <row r="72" spans="1:30" s="203" customFormat="1" ht="24.95" customHeight="1">
      <c r="A72" s="189"/>
      <c r="B72" s="189"/>
      <c r="C72" s="216"/>
      <c r="D72" s="217"/>
      <c r="E72" s="243"/>
      <c r="F72" s="243"/>
      <c r="G72" s="243"/>
      <c r="H72" s="243"/>
      <c r="I72" s="243"/>
      <c r="J72" s="243"/>
      <c r="K72" s="243"/>
      <c r="L72" s="243"/>
      <c r="M72" s="243"/>
      <c r="N72" s="243"/>
      <c r="O72" s="243"/>
      <c r="P72" s="243" t="s">
        <v>804</v>
      </c>
      <c r="Q72" s="246">
        <f>'Rooms Summary'!Q146+'Rooms Summary'!Q155+'F&amp;B Summary'!Q193+'F&amp;B Summary'!Q202+OOD!Q88+OOD!Q96+'A&amp;G'!Q185+'A&amp;G'!Q195+'R&amp;M'!Q185+'R&amp;M'!Q194+'S&amp;M'!Q184+'S&amp;M'!Q193+Laundry!Q183+Laundry!Q192</f>
        <v>3910170.4200000004</v>
      </c>
      <c r="R72" s="243"/>
      <c r="T72" s="341">
        <v>4354943.5200000005</v>
      </c>
      <c r="U72" s="341"/>
      <c r="V72" s="315"/>
      <c r="W72" s="40"/>
      <c r="AD72" s="341"/>
    </row>
    <row r="73" spans="1:30" s="203" customFormat="1" ht="24.95" customHeight="1">
      <c r="A73" s="189"/>
      <c r="B73" s="189"/>
      <c r="C73" s="216"/>
      <c r="D73" s="217"/>
      <c r="E73" s="246"/>
      <c r="F73" s="246"/>
      <c r="G73" s="246"/>
      <c r="H73" s="246"/>
      <c r="I73" s="246"/>
      <c r="J73" s="246"/>
      <c r="K73" s="246"/>
      <c r="L73" s="246"/>
      <c r="M73" s="246"/>
      <c r="N73" s="246"/>
      <c r="O73" s="246"/>
      <c r="P73" s="246"/>
      <c r="Q73" s="243"/>
      <c r="R73" s="243"/>
      <c r="T73" s="341"/>
      <c r="U73" s="341"/>
      <c r="V73" s="315"/>
      <c r="W73" s="40"/>
      <c r="AD73" s="341"/>
    </row>
    <row r="74" spans="1:30" s="203" customFormat="1" ht="24.95" customHeight="1">
      <c r="A74" s="189"/>
      <c r="B74" s="189"/>
      <c r="C74" s="216"/>
      <c r="D74" s="283" t="s">
        <v>1115</v>
      </c>
      <c r="E74" s="284">
        <f>'Rooms Summary'!E134+'F&amp;B Summary'!E181+OOD!E76+'A&amp;G'!E173+'R&amp;M'!E173+'S&amp;M'!E172+Laundry!E171</f>
        <v>118600</v>
      </c>
      <c r="F74" s="284">
        <f>'Rooms Summary'!F134+'F&amp;B Summary'!F181+OOD!F76+'A&amp;G'!F173+'R&amp;M'!F173+'S&amp;M'!F172+Laundry!F171</f>
        <v>126900</v>
      </c>
      <c r="G74" s="284">
        <f>'Rooms Summary'!G134+'F&amp;B Summary'!G181+OOD!G76+'A&amp;G'!G173+'R&amp;M'!G173+'S&amp;M'!G172+Laundry!G171</f>
        <v>114400</v>
      </c>
      <c r="H74" s="284">
        <f>'Rooms Summary'!H134+'F&amp;B Summary'!H181+OOD!H76+'A&amp;G'!H173+'R&amp;M'!H173+'S&amp;M'!H172+Laundry!H171</f>
        <v>118600</v>
      </c>
      <c r="I74" s="284">
        <f>'Rooms Summary'!I134+'F&amp;B Summary'!I181+OOD!I76+'A&amp;G'!I173+'R&amp;M'!I173+'S&amp;M'!I172+Laundry!I171</f>
        <v>118600</v>
      </c>
      <c r="J74" s="284">
        <f>'Rooms Summary'!J134+'F&amp;B Summary'!J181+OOD!J76+'A&amp;G'!J173+'R&amp;M'!J173+'S&amp;M'!J172+Laundry!J171</f>
        <v>118600</v>
      </c>
      <c r="K74" s="284">
        <f>'Rooms Summary'!K134+'F&amp;B Summary'!K181+OOD!K76+'A&amp;G'!K173+'R&amp;M'!K173+'S&amp;M'!K172+Laundry!K171</f>
        <v>114660</v>
      </c>
      <c r="L74" s="284">
        <f>'Rooms Summary'!L134+'F&amp;B Summary'!L181+OOD!L76+'A&amp;G'!L173+'R&amp;M'!L173+'S&amp;M'!L172+Laundry!L171</f>
        <v>114660</v>
      </c>
      <c r="M74" s="284">
        <f>'Rooms Summary'!M134+'F&amp;B Summary'!M181+OOD!M76+'A&amp;G'!M173+'R&amp;M'!M173+'S&amp;M'!M172+Laundry!M171</f>
        <v>118860</v>
      </c>
      <c r="N74" s="284">
        <f>'Rooms Summary'!N134+'F&amp;B Summary'!N181+OOD!N76+'A&amp;G'!N173+'R&amp;M'!N173+'S&amp;M'!N172+Laundry!N171</f>
        <v>127160</v>
      </c>
      <c r="O74" s="284">
        <f>'Rooms Summary'!O134+'F&amp;B Summary'!O181+OOD!O76+'A&amp;G'!O173+'R&amp;M'!O173+'S&amp;M'!O172+Laundry!O171</f>
        <v>114660</v>
      </c>
      <c r="P74" s="284">
        <f>'Rooms Summary'!P134+'F&amp;B Summary'!P181+OOD!P76+'A&amp;G'!P173+'R&amp;M'!P173+'S&amp;M'!P172+Laundry!P171</f>
        <v>114660</v>
      </c>
      <c r="Q74" s="285">
        <f>SUM(E74:P74)</f>
        <v>1420360</v>
      </c>
      <c r="R74" s="243"/>
      <c r="S74" s="282">
        <f>Q74/$Q$16</f>
        <v>4.270758717984359E-2</v>
      </c>
      <c r="T74" s="341"/>
      <c r="U74" s="341"/>
      <c r="V74" s="315"/>
      <c r="W74" s="40"/>
      <c r="AD74" s="341"/>
    </row>
    <row r="75" spans="1:30" s="203" customFormat="1" ht="24.95" customHeight="1">
      <c r="A75" s="189"/>
      <c r="B75" s="189"/>
      <c r="C75" s="216"/>
      <c r="D75" s="283" t="s">
        <v>1116</v>
      </c>
      <c r="E75" s="284">
        <f>'Rooms Summary'!E135+'F&amp;B Summary'!E182+OOD!E77+'A&amp;G'!E174+'R&amp;M'!E174+'S&amp;M'!E173+Laundry!E172</f>
        <v>238488.18</v>
      </c>
      <c r="F75" s="284">
        <f>'Rooms Summary'!F135+'F&amp;B Summary'!F182+OOD!F77+'A&amp;G'!F174+'R&amp;M'!F174+'S&amp;M'!F173+Laundry!F172</f>
        <v>203730.31</v>
      </c>
      <c r="G75" s="284">
        <f>'Rooms Summary'!G135+'F&amp;B Summary'!G182+OOD!G77+'A&amp;G'!G174+'R&amp;M'!G174+'S&amp;M'!G173+Laundry!G172</f>
        <v>224961.66999999998</v>
      </c>
      <c r="H75" s="284">
        <f>'Rooms Summary'!H135+'F&amp;B Summary'!H182+OOD!H77+'A&amp;G'!H174+'R&amp;M'!H174+'S&amp;M'!H173+Laundry!H172</f>
        <v>248288.22999999998</v>
      </c>
      <c r="I75" s="284">
        <f>'Rooms Summary'!I135+'F&amp;B Summary'!I182+OOD!I77+'A&amp;G'!I174+'R&amp;M'!I174+'S&amp;M'!I173+Laundry!I172</f>
        <v>269335.24</v>
      </c>
      <c r="J75" s="284">
        <f>'Rooms Summary'!J135+'F&amp;B Summary'!J182+OOD!J77+'A&amp;G'!J174+'R&amp;M'!J174+'S&amp;M'!J173+Laundry!J172</f>
        <v>240089.51</v>
      </c>
      <c r="K75" s="284">
        <f>'Rooms Summary'!K135+'F&amp;B Summary'!K182+OOD!K77+'A&amp;G'!K174+'R&amp;M'!K174+'S&amp;M'!K173+Laundry!K172</f>
        <v>259622.91</v>
      </c>
      <c r="L75" s="284">
        <f>'Rooms Summary'!L135+'F&amp;B Summary'!L182+OOD!L77+'A&amp;G'!L174+'R&amp;M'!L174+'S&amp;M'!L173+Laundry!L172</f>
        <v>261033.75</v>
      </c>
      <c r="M75" s="284">
        <f>'Rooms Summary'!M135+'F&amp;B Summary'!M182+OOD!M77+'A&amp;G'!M174+'R&amp;M'!M174+'S&amp;M'!M173+Laundry!M172</f>
        <v>267735.58999999997</v>
      </c>
      <c r="N75" s="284">
        <f>'Rooms Summary'!N135+'F&amp;B Summary'!N182+OOD!N77+'A&amp;G'!N174+'R&amp;M'!N174+'S&amp;M'!N173+Laundry!N172</f>
        <v>287035.05</v>
      </c>
      <c r="O75" s="284">
        <f>'Rooms Summary'!O135+'F&amp;B Summary'!O182+OOD!O77+'A&amp;G'!O174+'R&amp;M'!O174+'S&amp;M'!O173+Laundry!O172</f>
        <v>257993.91</v>
      </c>
      <c r="P75" s="284">
        <f>'Rooms Summary'!P135+'F&amp;B Summary'!P182+OOD!P77+'A&amp;G'!P174+'R&amp;M'!P174+'S&amp;M'!P173+Laundry!P172</f>
        <v>250935.55</v>
      </c>
      <c r="Q75" s="285">
        <f>SUM(E75:P75)</f>
        <v>3009249.8999999994</v>
      </c>
      <c r="R75" s="243"/>
      <c r="S75" s="282">
        <f>Q75/$Q$16</f>
        <v>9.0482555443820986E-2</v>
      </c>
      <c r="T75" s="341"/>
      <c r="U75" s="341"/>
      <c r="V75" s="315"/>
      <c r="W75" s="40"/>
      <c r="AD75" s="341"/>
    </row>
    <row r="76" spans="1:30" s="203" customFormat="1" ht="24.95" customHeight="1">
      <c r="A76" s="189"/>
      <c r="B76" s="189"/>
      <c r="C76" s="216"/>
      <c r="D76" s="286" t="s">
        <v>1178</v>
      </c>
      <c r="E76" s="287">
        <f>E69-E75-E74</f>
        <v>1072915.3199999998</v>
      </c>
      <c r="F76" s="287">
        <f t="shared" ref="F76:P76" si="47">F69-F75-F74</f>
        <v>1150299.54</v>
      </c>
      <c r="G76" s="287">
        <f t="shared" si="47"/>
        <v>1050946.52</v>
      </c>
      <c r="H76" s="287">
        <f t="shared" si="47"/>
        <v>1068454.1000000001</v>
      </c>
      <c r="I76" s="287">
        <f t="shared" si="47"/>
        <v>1071857.02</v>
      </c>
      <c r="J76" s="287">
        <f t="shared" si="47"/>
        <v>1079954.0999999999</v>
      </c>
      <c r="K76" s="287">
        <f t="shared" si="47"/>
        <v>1042442.05</v>
      </c>
      <c r="L76" s="287">
        <f t="shared" si="47"/>
        <v>1051942.05</v>
      </c>
      <c r="M76" s="287">
        <f t="shared" si="47"/>
        <v>1068296.5899999999</v>
      </c>
      <c r="N76" s="287">
        <f t="shared" si="47"/>
        <v>1126870.6299999997</v>
      </c>
      <c r="O76" s="287">
        <f t="shared" si="47"/>
        <v>1045442.05</v>
      </c>
      <c r="P76" s="287">
        <f t="shared" si="47"/>
        <v>1045942.0499999998</v>
      </c>
      <c r="Q76" s="288">
        <f>SUM(E76:P76)</f>
        <v>12875362.02</v>
      </c>
      <c r="R76" s="243"/>
      <c r="S76" s="248">
        <f>Q76/Q16</f>
        <v>0.38713822266270309</v>
      </c>
      <c r="T76" s="343"/>
      <c r="U76" s="341"/>
      <c r="V76" s="315"/>
      <c r="W76" s="40"/>
      <c r="AD76" s="341"/>
    </row>
    <row r="77" spans="1:30" ht="26.25" hidden="1" customHeight="1">
      <c r="I77" s="244"/>
      <c r="Q77" s="249"/>
      <c r="V77" s="320"/>
    </row>
    <row r="78" spans="1:30" ht="26.25" hidden="1" customHeight="1">
      <c r="D78" s="242" t="s">
        <v>107</v>
      </c>
      <c r="E78" s="242">
        <f>E36</f>
        <v>-284428.37999999989</v>
      </c>
      <c r="F78" s="242">
        <f>SUM(E36:F36)</f>
        <v>-849434.93999999983</v>
      </c>
      <c r="G78" s="242">
        <f>SUM(E36:G36)</f>
        <v>-840676.0499999997</v>
      </c>
      <c r="H78" s="242">
        <f>SUM(E36:H36)</f>
        <v>-601226.08999999973</v>
      </c>
      <c r="I78" s="242">
        <f>SUM(E36:I36)</f>
        <v>-363635.36</v>
      </c>
      <c r="J78" s="242">
        <f>SUM(E36:J36)</f>
        <v>-352596.7300000001</v>
      </c>
      <c r="K78" s="242">
        <f>SUM(E36:K36)</f>
        <v>-74344.8400000002</v>
      </c>
      <c r="L78" s="242">
        <f>SUM(E36:L36)</f>
        <v>267769.09999999998</v>
      </c>
      <c r="M78" s="242">
        <f>SUM(E36:M36)</f>
        <v>683662.18999999983</v>
      </c>
      <c r="N78" s="242">
        <f>SUM(E36:N36)</f>
        <v>1209321.4299999992</v>
      </c>
      <c r="O78" s="242">
        <f>SUM(E36:O36)</f>
        <v>1636690.5199999991</v>
      </c>
      <c r="P78" s="242">
        <f>SUM(E36:P36)</f>
        <v>1821224.2399999991</v>
      </c>
    </row>
    <row r="79" spans="1:30" ht="26.25" hidden="1" customHeight="1">
      <c r="D79" s="242" t="s">
        <v>108</v>
      </c>
      <c r="E79" s="242">
        <f>E43</f>
        <v>61300</v>
      </c>
      <c r="F79" s="242">
        <f>SUM(E43:F43)</f>
        <v>122600</v>
      </c>
      <c r="G79" s="242">
        <f>SUM(E43:G43)</f>
        <v>183900</v>
      </c>
      <c r="H79" s="242">
        <f>SUM(E43:H43)</f>
        <v>245200</v>
      </c>
      <c r="I79" s="242">
        <f>SUM(E43:I43)</f>
        <v>306500</v>
      </c>
      <c r="J79" s="242">
        <f>SUM(E43:J43)</f>
        <v>367800</v>
      </c>
      <c r="K79" s="242">
        <f>SUM(E43:K43)</f>
        <v>429100</v>
      </c>
      <c r="L79" s="242">
        <f>SUM(E43:L43)</f>
        <v>490400</v>
      </c>
      <c r="M79" s="242">
        <f>SUM(E43:M43)</f>
        <v>551700</v>
      </c>
      <c r="N79" s="242">
        <f>SUM(E43:N43)</f>
        <v>613000</v>
      </c>
      <c r="O79" s="242">
        <f>SUM(E43:O43)</f>
        <v>674300</v>
      </c>
      <c r="P79" s="242">
        <f>SUM(E43:P43)</f>
        <v>735600</v>
      </c>
    </row>
    <row r="80" spans="1:30" ht="26.25" hidden="1" customHeight="1">
      <c r="D80" s="242" t="s">
        <v>109</v>
      </c>
      <c r="E80" s="242">
        <f>E39*1.06</f>
        <v>45196.915999999997</v>
      </c>
      <c r="F80" s="242">
        <f>SUM(E39:F39)*1.06</f>
        <v>81523.805000000008</v>
      </c>
      <c r="G80" s="242">
        <f>SUM(E39:G39)*1.06</f>
        <v>128343.01920000001</v>
      </c>
      <c r="H80" s="242">
        <f>SUM(E39:H39)*1.06</f>
        <v>183763.62460000001</v>
      </c>
      <c r="I80" s="242">
        <f>SUM(E39:I39)*1.06</f>
        <v>245690.84920000003</v>
      </c>
      <c r="J80" s="242">
        <f>SUM(E39:J39)*1.06</f>
        <v>298067.29360000003</v>
      </c>
      <c r="K80" s="242">
        <f>SUM(E39:K39)*1.06</f>
        <v>357544.33880000003</v>
      </c>
      <c r="L80" s="242">
        <f>SUM(E39:L39)*1.06</f>
        <v>418486.1874</v>
      </c>
      <c r="M80" s="242">
        <f>SUM(E39:M39)*1.06</f>
        <v>480610.63560000004</v>
      </c>
      <c r="N80" s="242">
        <f>SUM(E39:N39)*1.06</f>
        <v>549972.9334000001</v>
      </c>
      <c r="O80" s="242">
        <f>SUM(E39:O39)*1.06</f>
        <v>608924.57900000003</v>
      </c>
      <c r="P80" s="242">
        <f>SUM(E39:P39)*1.06</f>
        <v>665155.83000000007</v>
      </c>
    </row>
    <row r="81" spans="4:20" ht="26.25" hidden="1" customHeight="1">
      <c r="D81" s="242" t="s">
        <v>110</v>
      </c>
      <c r="E81" s="242">
        <f>+E78-E79-E80</f>
        <v>-390925.29599999986</v>
      </c>
      <c r="F81" s="242">
        <f t="shared" ref="F81:P81" si="48">+F78-F79-F80</f>
        <v>-1053558.7449999999</v>
      </c>
      <c r="G81" s="242">
        <f t="shared" si="48"/>
        <v>-1152919.0691999998</v>
      </c>
      <c r="H81" s="242">
        <f t="shared" si="48"/>
        <v>-1030189.7145999997</v>
      </c>
      <c r="I81" s="242">
        <f t="shared" si="48"/>
        <v>-915826.20920000004</v>
      </c>
      <c r="J81" s="242">
        <f t="shared" si="48"/>
        <v>-1018464.0236000002</v>
      </c>
      <c r="K81" s="242">
        <f t="shared" si="48"/>
        <v>-860989.17880000023</v>
      </c>
      <c r="L81" s="242">
        <f t="shared" si="48"/>
        <v>-641117.08740000008</v>
      </c>
      <c r="M81" s="242">
        <f t="shared" si="48"/>
        <v>-348648.44560000021</v>
      </c>
      <c r="N81" s="242">
        <f t="shared" si="48"/>
        <v>46348.49659999914</v>
      </c>
      <c r="O81" s="242">
        <f t="shared" si="48"/>
        <v>353465.94099999906</v>
      </c>
      <c r="P81" s="242">
        <f t="shared" si="48"/>
        <v>420468.40999999898</v>
      </c>
    </row>
    <row r="82" spans="4:20" ht="26.25" customHeight="1">
      <c r="P82" s="245"/>
      <c r="Q82" s="346"/>
      <c r="T82" s="345"/>
    </row>
    <row r="83" spans="4:20" ht="30.75" customHeight="1">
      <c r="E83" s="363"/>
      <c r="O83" s="401"/>
      <c r="P83" s="401"/>
      <c r="Q83" s="347"/>
    </row>
    <row r="84" spans="4:20" ht="26.25" customHeight="1">
      <c r="O84" s="347"/>
      <c r="P84" s="348"/>
      <c r="Q84" s="347"/>
      <c r="T84" s="344"/>
    </row>
    <row r="85" spans="4:20" ht="26.25" customHeight="1">
      <c r="O85" s="347"/>
      <c r="P85" s="348"/>
      <c r="Q85" s="347"/>
      <c r="S85" s="344"/>
    </row>
    <row r="86" spans="4:20" ht="26.25" customHeight="1">
      <c r="O86" s="347"/>
      <c r="P86" s="348"/>
      <c r="Q86" s="347"/>
      <c r="S86" s="344"/>
    </row>
    <row r="87" spans="4:20" ht="26.25" customHeight="1">
      <c r="O87" s="347"/>
      <c r="P87" s="348"/>
      <c r="Q87" s="347"/>
      <c r="S87" s="344"/>
    </row>
  </sheetData>
  <phoneticPr fontId="57" type="noConversion"/>
  <dataValidations count="70">
    <dataValidation type="textLength" errorStyle="information" allowBlank="1" showInputMessage="1" showErrorMessage="1" error="XLBVal:6=2384238.95_x000d__x000a_" sqref="F81:P81 E78:E81">
      <formula1>0</formula1>
      <formula2>300</formula2>
    </dataValidation>
    <dataValidation type="textLength" errorStyle="information" allowBlank="1" showInputMessage="1" showErrorMessage="1" error="XLBVal:6=877418.59_x000d__x000a_" sqref="E30:P30">
      <formula1>0</formula1>
      <formula2>300</formula2>
    </dataValidation>
    <dataValidation type="textLength" errorStyle="information" allowBlank="1" showInputMessage="1" showErrorMessage="1" error="XLBVal:6=297933.65_x000d__x000a_" sqref="Q43">
      <formula1>0</formula1>
      <formula2>300</formula2>
    </dataValidation>
    <dataValidation type="textLength" errorStyle="information" allowBlank="1" showInputMessage="1" showErrorMessage="1" error="XLBVal:6=-1174.71_x000d__x000a_" sqref="B7">
      <formula1>0</formula1>
      <formula2>300</formula2>
    </dataValidation>
    <dataValidation type="textLength" errorStyle="information" allowBlank="1" showInputMessage="1" showErrorMessage="1" error="XLBVal:6=0_x000d__x000a_" sqref="B3 E51:P51">
      <formula1>0</formula1>
      <formula2>300</formula2>
    </dataValidation>
    <dataValidation type="textLength" errorStyle="information" allowBlank="1" showInputMessage="1" showErrorMessage="1" error="XLBVal:6=6963297.16_x000d__x000a_" sqref="Q19:Q20">
      <formula1>0</formula1>
      <formula2>300</formula2>
    </dataValidation>
    <dataValidation type="textLength" errorStyle="information" allowBlank="1" showInputMessage="1" showErrorMessage="1" error="XLBVal:6=-5443.64_x000d__x000a_" sqref="B2">
      <formula1>0</formula1>
      <formula2>300</formula2>
    </dataValidation>
    <dataValidation type="textLength" errorStyle="information" allowBlank="1" showInputMessage="1" showErrorMessage="1" error="XLBVal:6=-1944_x000d__x000a_" sqref="B4">
      <formula1>0</formula1>
      <formula2>300</formula2>
    </dataValidation>
    <dataValidation type="textLength" errorStyle="information" allowBlank="1" showInputMessage="1" showErrorMessage="1" error="XLBVal:6=22752_x000d__x000a_" sqref="Q56">
      <formula1>0</formula1>
      <formula2>300</formula2>
    </dataValidation>
    <dataValidation type="textLength" errorStyle="information" allowBlank="1" showInputMessage="1" showErrorMessage="1" error="XLBVal:5=4580825.67_x000d__x000a_" sqref="E35:R35">
      <formula1>0</formula1>
      <formula2>300</formula2>
    </dataValidation>
    <dataValidation type="textLength" errorStyle="information" allowBlank="1" showInputMessage="1" showErrorMessage="1" error="XLBVal:6=-5904.27_x000d__x000a_" sqref="B9">
      <formula1>0</formula1>
      <formula2>300</formula2>
    </dataValidation>
    <dataValidation type="textLength" errorStyle="information" allowBlank="1" showInputMessage="1" showErrorMessage="1" error="XLBVal:6=-1079_x000d__x000a_" sqref="B5">
      <formula1>0</formula1>
      <formula2>300</formula2>
    </dataValidation>
    <dataValidation type="textLength" errorStyle="information" allowBlank="1" showInputMessage="1" showErrorMessage="1" error="XLBVal:6=80915624.42_x000d__x000a_" sqref="Q11:Q15 Y11">
      <formula1>0</formula1>
      <formula2>300</formula2>
    </dataValidation>
    <dataValidation type="textLength" errorStyle="information" allowBlank="1" showInputMessage="1" showErrorMessage="1" error="XLBVal:6=8671.34_x000d__x000a_" sqref="E40:P40">
      <formula1>0</formula1>
      <formula2>300</formula2>
    </dataValidation>
    <dataValidation type="textLength" errorStyle="information" allowBlank="1" showInputMessage="1" showErrorMessage="1" error="XLBVal:6=675565.17_x000d__x000a_" sqref="E34:P34">
      <formula1>0</formula1>
      <formula2>300</formula2>
    </dataValidation>
    <dataValidation type="textLength" errorStyle="information" allowBlank="1" showInputMessage="1" showErrorMessage="1" error="XLBVal:5=5327272.97_x000d__x000a_" sqref="E21:R21">
      <formula1>0</formula1>
      <formula2>300</formula2>
    </dataValidation>
    <dataValidation type="textLength" errorStyle="information" allowBlank="1" showInputMessage="1" showErrorMessage="1" error="XLBVal:6=-1824.09_x000d__x000a_" sqref="B6">
      <formula1>0</formula1>
      <formula2>300</formula2>
    </dataValidation>
    <dataValidation type="textLength" errorStyle="information" allowBlank="1" showInputMessage="1" showErrorMessage="1" error="XLBVal:6=-42_x000d__x000a_" sqref="B8">
      <formula1>0</formula1>
      <formula2>300</formula2>
    </dataValidation>
    <dataValidation type="textLength" errorStyle="information" allowBlank="1" showInputMessage="1" showErrorMessage="1" error="XLBVal:6=1674869.15_x000d__x000a_" sqref="Q33">
      <formula1>0</formula1>
      <formula2>300</formula2>
    </dataValidation>
    <dataValidation type="textLength" errorStyle="information" allowBlank="1" showInputMessage="1" showErrorMessage="1" error="XLBVal:6=-7167_x000d__x000a_" sqref="B10">
      <formula1>0</formula1>
      <formula2>300</formula2>
    </dataValidation>
    <dataValidation type="textLength" errorStyle="information" allowBlank="1" showInputMessage="1" showErrorMessage="1" error="XLBVal:6=-2342.36_x000d__x000a_" sqref="B11">
      <formula1>0</formula1>
      <formula2>300</formula2>
    </dataValidation>
    <dataValidation type="textLength" errorStyle="information" allowBlank="1" showInputMessage="1" showErrorMessage="1" error="XLBVal:6=1246.36_x000d__x000a_" sqref="E44:P44">
      <formula1>0</formula1>
      <formula2>300</formula2>
    </dataValidation>
    <dataValidation type="textLength" errorStyle="information" allowBlank="1" showInputMessage="1" showErrorMessage="1" error="XLBVal:6=109448.9_x000d__x000a_" sqref="E39:P39 E60:P60">
      <formula1>0</formula1>
      <formula2>300</formula2>
    </dataValidation>
    <dataValidation type="textLength" errorStyle="information" allowBlank="1" showInputMessage="1" showErrorMessage="1" error="XLBVal:6=2946646.25_x000d__x000a_" sqref="E11:P11">
      <formula1>0</formula1>
      <formula2>300</formula2>
    </dataValidation>
    <dataValidation type="textLength" errorStyle="information" allowBlank="1" showInputMessage="1" showErrorMessage="1" error="XLBVal:6=-11179.24_x000d__x000a_" sqref="B12">
      <formula1>0</formula1>
      <formula2>300</formula2>
    </dataValidation>
    <dataValidation type="textLength" errorStyle="information" allowBlank="1" showInputMessage="1" showErrorMessage="1" error="XLBVal:6=594952.69_x000d__x000a_" sqref="E23:R23">
      <formula1>0</formula1>
      <formula2>300</formula2>
    </dataValidation>
    <dataValidation type="textLength" errorStyle="information" allowBlank="1" showInputMessage="1" showErrorMessage="1" error="XLBVal:6=2463961.24_x000d__x000a_" sqref="E12:P12">
      <formula1>0</formula1>
      <formula2>300</formula2>
    </dataValidation>
    <dataValidation type="textLength" errorStyle="information" allowBlank="1" showInputMessage="1" showErrorMessage="1" error="XLBVal:6=-4492.55_x000d__x000a_" sqref="B13">
      <formula1>0</formula1>
      <formula2>300</formula2>
    </dataValidation>
    <dataValidation type="textLength" errorStyle="information" allowBlank="1" showInputMessage="1" showErrorMessage="1" error="XLBVal:6=58831.48_x000d__x000a_" sqref="E13:P13">
      <formula1>0</formula1>
      <formula2>300</formula2>
    </dataValidation>
    <dataValidation type="textLength" errorStyle="information" allowBlank="1" showInputMessage="1" showErrorMessage="1" error="XLBVal:6=1789489.92_x000d__x000a_" sqref="Q40">
      <formula1>0</formula1>
      <formula2>300</formula2>
    </dataValidation>
    <dataValidation type="textLength" errorStyle="information" allowBlank="1" showInputMessage="1" showErrorMessage="1" error="XLBVal:6=73645_x000d__x000a_" sqref="E43:P43">
      <formula1>0</formula1>
      <formula2>300</formula2>
    </dataValidation>
    <dataValidation type="textLength" errorStyle="information" allowBlank="1" showInputMessage="1" showErrorMessage="1" error="XLBVal:6=1966507.85_x000d__x000a_" sqref="E24:R24">
      <formula1>0</formula1>
      <formula2>300</formula2>
    </dataValidation>
    <dataValidation type="textLength" errorStyle="information" allowBlank="1" showInputMessage="1" showErrorMessage="1" error="XLBVal:2=0_x000d__x000a_" sqref="E14:P14 E25:R25 E46:R46 E49:P49 E50:Q50 R56 E58:R58 Q60:R60 R11:R15 R18:R20 R30:R34 R39:R40 R43:R45 R49:R51 R64:R65 R69:R76 E56:P56">
      <formula1>0</formula1>
      <formula2>300</formula2>
    </dataValidation>
    <dataValidation type="textLength" errorStyle="information" allowBlank="1" showInputMessage="1" showErrorMessage="1" error="XLBVal:5=139867.06_x000d__x000a_" sqref="E47:R47">
      <formula1>0</formula1>
      <formula2>300</formula2>
    </dataValidation>
    <dataValidation type="textLength" errorStyle="information" allowBlank="1" showInputMessage="1" showErrorMessage="1" error="XLBVal:6=3005.67_x000d__x000a_" sqref="E15:P15">
      <formula1>0</formula1>
      <formula2>300</formula2>
    </dataValidation>
    <dataValidation type="textLength" errorStyle="information" allowBlank="1" showInputMessage="1" showErrorMessage="1" error="XLBVal:6=2024921.91_x000d__x000a_" sqref="E19:P19">
      <formula1>0</formula1>
      <formula2>300</formula2>
    </dataValidation>
    <dataValidation type="textLength" errorStyle="information" allowBlank="1" showInputMessage="1" showErrorMessage="1" error="XLBVal:6=4554279.87_x000d__x000a_" sqref="Q18">
      <formula1>0</formula1>
      <formula2>300</formula2>
    </dataValidation>
    <dataValidation type="textLength" errorStyle="information" allowBlank="1" showInputMessage="1" showErrorMessage="1" error="XLBVal:6=1876054.83_x000d__x000a_" sqref="Q30">
      <formula1>0</formula1>
      <formula2>300</formula2>
    </dataValidation>
    <dataValidation type="textLength" errorStyle="information" allowBlank="1" showInputMessage="1" showErrorMessage="1" error="XLBVal:5=7234671.58_x000d__x000a_" sqref="E16:R16">
      <formula1>0</formula1>
      <formula2>300</formula2>
    </dataValidation>
    <dataValidation type="textLength" errorStyle="information" allowBlank="1" showInputMessage="1" showErrorMessage="1" error="XLBVal:6=605515.18_x000d__x000a_" sqref="Q31">
      <formula1>0</formula1>
      <formula2>300</formula2>
    </dataValidation>
    <dataValidation type="textLength" errorStyle="information" allowBlank="1" showInputMessage="1" showErrorMessage="1" error="XLBVal:6=910362.32_x000d__x000a_" sqref="E18:P18">
      <formula1>0</formula1>
      <formula2>300</formula2>
    </dataValidation>
    <dataValidation type="textLength" errorStyle="information" allowBlank="1" showInputMessage="1" showErrorMessage="1" error="XLBVal:6=175760.81_x000d__x000a_" sqref="Q44">
      <formula1>0</formula1>
      <formula2>300</formula2>
    </dataValidation>
    <dataValidation type="textLength" errorStyle="information" allowBlank="1" showInputMessage="1" showErrorMessage="1" error="XLBVal:6=58126.85_x000d__x000a_" sqref="E20:P20">
      <formula1>0</formula1>
      <formula2>300</formula2>
    </dataValidation>
    <dataValidation type="textLength" errorStyle="information" allowBlank="1" showInputMessage="1" showErrorMessage="1" error="XLBVal:6=24354.83_x000d__x000a_" sqref="E26:R26">
      <formula1>0</formula1>
      <formula2>300</formula2>
    </dataValidation>
    <dataValidation type="textLength" errorStyle="information" allowBlank="1" showInputMessage="1" showErrorMessage="1" error="XLBVal:6=20681.1_x000d__x000a_" sqref="E27:R27">
      <formula1>0</formula1>
      <formula2>300</formula2>
    </dataValidation>
    <dataValidation type="textLength" errorStyle="information" allowBlank="1" showInputMessage="1" showErrorMessage="1" error="XLBVal:5=1907398.61_x000d__x000a_" sqref="E28:R28">
      <formula1>0</formula1>
      <formula2>300</formula2>
    </dataValidation>
    <dataValidation type="textLength" errorStyle="information" allowBlank="1" showInputMessage="1" showErrorMessage="1" error="XLBVal:6=292759.4_x000d__x000a_" sqref="E31:P31">
      <formula1>0</formula1>
      <formula2>300</formula2>
    </dataValidation>
    <dataValidation type="textLength" errorStyle="information" allowBlank="1" showInputMessage="1" showErrorMessage="1" error="XLBVal:6=82086.67_x000d__x000a_" sqref="E32:P32">
      <formula1>0</formula1>
      <formula2>300</formula2>
    </dataValidation>
    <dataValidation type="textLength" errorStyle="information" allowBlank="1" showInputMessage="1" showErrorMessage="1" error="XLBVal:6=605176.89_x000d__x000a_" sqref="Q32">
      <formula1>0</formula1>
      <formula2>300</formula2>
    </dataValidation>
    <dataValidation type="textLength" errorStyle="information" allowBlank="1" showInputMessage="1" showErrorMessage="1" error="XLBVal:6=194683.06_x000d__x000a_" sqref="E33:P33">
      <formula1>0</formula1>
      <formula2>300</formula2>
    </dataValidation>
    <dataValidation type="textLength" errorStyle="information" allowBlank="1" showInputMessage="1" showErrorMessage="1" error="XLBVal:6=1350520.36_x000d__x000a_" sqref="Q34">
      <formula1>0</formula1>
      <formula2>300</formula2>
    </dataValidation>
    <dataValidation type="textLength" errorStyle="information" allowBlank="1" showInputMessage="1" showErrorMessage="1" error="XLBVal:6=887592.75_x000d__x000a_" sqref="Q39">
      <formula1>0</formula1>
      <formula2>300</formula2>
    </dataValidation>
    <dataValidation type="textLength" errorStyle="information" allowBlank="1" showInputMessage="1" showErrorMessage="1" error="XLBVal:5=-2823307.54_x000d__x000a_" sqref="E41:R41">
      <formula1>0</formula1>
      <formula2>300</formula2>
    </dataValidation>
    <dataValidation type="textLength" errorStyle="information" allowBlank="1" showInputMessage="1" showErrorMessage="1" error="XLBVal:6=2462_x000d__x000a_" sqref="E65:P65">
      <formula1>0</formula1>
      <formula2>300</formula2>
    </dataValidation>
    <dataValidation type="textLength" errorStyle="information" allowBlank="1" showInputMessage="1" showErrorMessage="1" error="XLBVal:6=21577.16_x000d__x000a_" sqref="E45:P45">
      <formula1>0</formula1>
      <formula2>300</formula2>
    </dataValidation>
    <dataValidation type="textLength" errorStyle="information" allowBlank="1" showInputMessage="1" showErrorMessage="1" error="XLBVal:6=101617.06_x000d__x000a_" sqref="Q45">
      <formula1>0</formula1>
      <formula2>300</formula2>
    </dataValidation>
    <dataValidation type="textLength" errorStyle="information" allowBlank="1" showInputMessage="1" showErrorMessage="1" error="XLBVal:6=2497727.27_x000d__x000a_" sqref="E69:P69">
      <formula1>0</formula1>
      <formula2>300</formula2>
    </dataValidation>
    <dataValidation type="textLength" errorStyle="information" allowBlank="1" showInputMessage="1" showErrorMessage="1" error="XLBVal:6=-28424_x000d__x000a_" sqref="Q49">
      <formula1>0</formula1>
      <formula2>300</formula2>
    </dataValidation>
    <dataValidation type="textLength" errorStyle="information" allowBlank="1" showInputMessage="1" showErrorMessage="1" error="XLBVal:6=131375.02_x000d__x000a_" sqref="Q51">
      <formula1>0</formula1>
      <formula2>300</formula2>
    </dataValidation>
    <dataValidation type="textLength" errorStyle="information" allowBlank="1" showInputMessage="1" showErrorMessage="1" error="XLBVal:5=0_x000d__x000a_" sqref="E52:R52 H59:I59">
      <formula1>0</formula1>
      <formula2>300</formula2>
    </dataValidation>
    <dataValidation type="textLength" errorStyle="information" allowBlank="1" showInputMessage="1" showErrorMessage="1" error="XLBVal:6=5022_x000d__x000a_" sqref="E64:P64">
      <formula1>0</formula1>
      <formula2>300</formula2>
    </dataValidation>
    <dataValidation type="textLength" errorStyle="information" allowBlank="1" showInputMessage="1" showErrorMessage="1" error="XLBVal:6=246375_x000d__x000a_" sqref="Q64 Q69">
      <formula1>0</formula1>
      <formula2>300</formula2>
    </dataValidation>
    <dataValidation type="textLength" errorStyle="information" allowBlank="1" showInputMessage="1" showErrorMessage="1" error="XLBVal:6=35290_x000d__x000a_" sqref="Q65">
      <formula1>0</formula1>
      <formula2>300</formula2>
    </dataValidation>
    <dataValidation type="textLength" errorStyle="information" allowBlank="1" showInputMessage="1" showErrorMessage="1" error="XLBVal:8=Oct 2016_x000d__x000a_" sqref="D7:D8">
      <formula1>0</formula1>
      <formula2>300</formula2>
    </dataValidation>
    <dataValidation type="textLength" errorStyle="information" allowBlank="1" showInputMessage="1" showErrorMessage="1" error="XLBVal:5=-2673427.06_x000d__x000a_" sqref="E36:R37">
      <formula1>0</formula1>
      <formula2>300</formula2>
    </dataValidation>
    <dataValidation type="textLength" errorStyle="information" allowBlank="1" showInputMessage="1" showErrorMessage="1" error="XLBVal:5=-2963174.6_x000d__x000a_" sqref="E53:R54">
      <formula1>0</formula1>
      <formula2>300</formula2>
    </dataValidation>
    <dataValidation type="textLength" errorStyle="information" allowBlank="1" showInputMessage="1" showErrorMessage="1" error="XLBVal:5=-1598046.96_x000d__x000a_" sqref="E61:R62">
      <formula1>0</formula1>
      <formula2>300</formula2>
    </dataValidation>
    <dataValidation type="textLength" errorStyle="information" allowBlank="1" showInputMessage="1" showErrorMessage="1" sqref="E66:R68">
      <formula1>0</formula1>
      <formula2>300</formula2>
    </dataValidation>
    <dataValidation type="textLength" errorStyle="information" allowBlank="1" showInputMessage="1" showErrorMessage="1" error="XLBVal:6=11232_x000d__x000a_" sqref="Q70:Q73">
      <formula1>0</formula1>
      <formula2>300</formula2>
    </dataValidation>
    <dataValidation type="textLength" errorStyle="information" allowBlank="1" showInputMessage="1" showErrorMessage="1" error="XLBVal:6=467_x000d__x000a_" sqref="E70:P76">
      <formula1>0</formula1>
      <formula2>300</formula2>
    </dataValidation>
  </dataValidations>
  <printOptions horizontalCentered="1"/>
  <pageMargins left="0.11811023622047245" right="0.11811023622047245" top="0.39370078740157483" bottom="0.39370078740157483" header="0" footer="0"/>
  <pageSetup paperSize="9" scale="30" orientation="landscape" r:id="rId1"/>
  <headerFooter>
    <oddFooter>&amp;L&amp;"微软雅黑,Regular"&amp;F&amp;C&amp;"微软雅黑,Regular"Page &amp;P of &amp;N&amp;R&amp;"微软雅黑,Regular"&amp;D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FF00"/>
    <pageSetUpPr fitToPage="1"/>
  </sheetPr>
  <dimension ref="A1:U159"/>
  <sheetViews>
    <sheetView topLeftCell="A4" zoomScale="50" zoomScaleNormal="50" zoomScaleSheetLayoutView="40" workbookViewId="0">
      <pane xSplit="4" ySplit="7" topLeftCell="E11" activePane="bottomRight" state="frozen"/>
      <selection activeCell="D4" sqref="D4"/>
      <selection pane="topRight" activeCell="E4" sqref="E4"/>
      <selection pane="bottomLeft" activeCell="D11" sqref="D11"/>
      <selection pane="bottomRight" activeCell="F52" sqref="F52"/>
    </sheetView>
  </sheetViews>
  <sheetFormatPr defaultColWidth="8.875" defaultRowHeight="26.25" customHeight="1" outlineLevelRow="1" outlineLevelCol="1"/>
  <cols>
    <col min="1" max="1" width="19" style="5" hidden="1" customWidth="1" outlineLevel="1"/>
    <col min="2" max="2" width="35.75" style="5" hidden="1" customWidth="1" outlineLevel="1"/>
    <col min="3" max="3" width="15.5" style="5" hidden="1" customWidth="1" outlineLevel="1"/>
    <col min="4" max="4" width="68.5" style="6" customWidth="1" collapsed="1"/>
    <col min="5" max="9" width="25" style="7" customWidth="1"/>
    <col min="10" max="11" width="25" style="184" customWidth="1"/>
    <col min="12" max="12" width="25" style="5" customWidth="1"/>
    <col min="13" max="16" width="25" style="184" customWidth="1"/>
    <col min="17" max="17" width="27.5" style="184" customWidth="1"/>
    <col min="18" max="18" width="15.5" style="184" hidden="1" customWidth="1"/>
    <col min="19" max="19" width="21.375" style="184" hidden="1" customWidth="1"/>
    <col min="20" max="20" width="22.5" style="184" hidden="1" customWidth="1"/>
    <col min="21" max="21" width="22.5" style="191" customWidth="1"/>
    <col min="22" max="22" width="19.375" style="184" bestFit="1" customWidth="1"/>
    <col min="23" max="23" width="22.5" style="184" customWidth="1"/>
    <col min="24" max="16384" width="8.875" style="184"/>
  </cols>
  <sheetData>
    <row r="1" spans="1:21" s="1" customFormat="1" ht="15" customHeight="1" outlineLevel="1">
      <c r="E1" s="9"/>
      <c r="F1" s="9"/>
      <c r="G1" s="9"/>
      <c r="H1" s="9"/>
      <c r="I1" s="9"/>
      <c r="J1" s="9"/>
      <c r="K1" s="9"/>
      <c r="L1" s="9"/>
      <c r="M1" s="9"/>
      <c r="N1" s="9"/>
      <c r="O1" s="9"/>
      <c r="P1" s="9"/>
      <c r="Q1" s="9"/>
      <c r="U1" s="176"/>
    </row>
    <row r="2" spans="1:21" s="1" customFormat="1" ht="15" customHeight="1" outlineLevel="1">
      <c r="E2" s="9"/>
      <c r="F2" s="9"/>
      <c r="G2" s="9"/>
      <c r="H2" s="9"/>
      <c r="I2" s="9"/>
      <c r="J2" s="9"/>
      <c r="K2" s="9"/>
      <c r="L2" s="9"/>
      <c r="M2" s="9"/>
      <c r="N2" s="9"/>
      <c r="O2" s="9"/>
      <c r="P2" s="9"/>
      <c r="Q2" s="9"/>
      <c r="U2" s="176"/>
    </row>
    <row r="3" spans="1:21" s="1" customFormat="1" ht="15" customHeight="1" outlineLevel="1">
      <c r="E3" s="9"/>
      <c r="F3" s="9"/>
      <c r="G3" s="9"/>
      <c r="H3" s="9"/>
      <c r="I3" s="9"/>
      <c r="J3" s="9"/>
      <c r="K3" s="9"/>
      <c r="L3" s="9"/>
      <c r="M3" s="9"/>
      <c r="N3" s="9"/>
      <c r="O3" s="9"/>
      <c r="P3" s="9"/>
      <c r="Q3" s="9"/>
      <c r="U3" s="176"/>
    </row>
    <row r="4" spans="1:21" s="2" customFormat="1" ht="24.95" customHeight="1">
      <c r="D4" s="10" t="str">
        <f>Summary!D4</f>
        <v>Hotel Budget Report</v>
      </c>
      <c r="E4" s="11"/>
      <c r="F4" s="11"/>
      <c r="G4" s="12"/>
      <c r="H4" s="13"/>
      <c r="I4" s="13"/>
      <c r="U4" s="193"/>
    </row>
    <row r="5" spans="1:21" s="2" customFormat="1" ht="24.95" customHeight="1">
      <c r="D5" s="10" t="str">
        <f>Summary!$D$5</f>
        <v>酒店预算报表</v>
      </c>
      <c r="E5" s="299"/>
      <c r="F5" s="299"/>
      <c r="G5" s="300"/>
      <c r="H5" s="294"/>
      <c r="I5" s="294"/>
      <c r="J5" s="295"/>
      <c r="K5" s="295"/>
      <c r="L5" s="295"/>
      <c r="M5" s="295"/>
      <c r="N5" s="295"/>
      <c r="O5" s="295"/>
      <c r="P5" s="295"/>
      <c r="Q5" s="295"/>
      <c r="U5" s="193"/>
    </row>
    <row r="6" spans="1:21" s="2" customFormat="1" ht="24.95" customHeight="1">
      <c r="D6" s="14" t="s">
        <v>111</v>
      </c>
      <c r="E6" s="294"/>
      <c r="F6" s="294"/>
      <c r="G6" s="294"/>
      <c r="H6" s="294"/>
      <c r="I6" s="294"/>
      <c r="J6" s="295"/>
      <c r="K6" s="295"/>
      <c r="L6" s="295"/>
      <c r="M6" s="295"/>
      <c r="N6" s="295"/>
      <c r="O6" s="295"/>
      <c r="P6" s="295"/>
      <c r="Q6" s="295"/>
      <c r="U6" s="193"/>
    </row>
    <row r="7" spans="1:21" s="2" customFormat="1" ht="24.95" customHeight="1">
      <c r="D7" s="192" t="s">
        <v>1185</v>
      </c>
      <c r="E7" s="13"/>
      <c r="F7" s="13"/>
      <c r="G7" s="13"/>
      <c r="H7" s="13"/>
      <c r="I7" s="13"/>
      <c r="Q7" s="2">
        <f>SUM(E7:P7)</f>
        <v>0</v>
      </c>
      <c r="U7" s="193"/>
    </row>
    <row r="8" spans="1:21" ht="24.95" customHeight="1">
      <c r="A8" s="184"/>
      <c r="B8" s="184"/>
      <c r="C8" s="184"/>
      <c r="D8" s="186"/>
      <c r="E8" s="296"/>
      <c r="F8" s="296"/>
      <c r="G8" s="296"/>
      <c r="H8" s="296"/>
      <c r="I8" s="296"/>
      <c r="J8" s="297"/>
      <c r="K8" s="297"/>
      <c r="L8" s="298"/>
      <c r="M8" s="297"/>
      <c r="N8" s="297"/>
      <c r="O8" s="297"/>
      <c r="P8" s="297"/>
      <c r="Q8" s="297"/>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S9" s="34"/>
      <c r="T9" s="17"/>
      <c r="U9" s="117"/>
    </row>
    <row r="10" spans="1:21" s="4" customFormat="1" ht="39.950000000000003" customHeight="1">
      <c r="A10" s="19" t="s">
        <v>19</v>
      </c>
      <c r="B10" s="19" t="s">
        <v>20</v>
      </c>
      <c r="C10" s="19" t="s">
        <v>112</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4"/>
      <c r="T10" s="194"/>
      <c r="U10" s="371"/>
    </row>
    <row r="11" spans="1:21" s="3" customFormat="1" ht="24.95" customHeight="1">
      <c r="D11" s="21" t="s">
        <v>113</v>
      </c>
      <c r="E11" s="76"/>
      <c r="F11" s="76"/>
      <c r="G11" s="76"/>
      <c r="H11" s="77"/>
      <c r="I11" s="77"/>
      <c r="L11" s="161"/>
      <c r="U11" s="115"/>
    </row>
    <row r="12" spans="1:21" s="3" customFormat="1" ht="24.95" hidden="1" customHeight="1">
      <c r="A12" s="50" t="s">
        <v>114</v>
      </c>
      <c r="B12" s="3" t="s">
        <v>96</v>
      </c>
      <c r="C12" s="3" t="s">
        <v>115</v>
      </c>
      <c r="D12" s="26" t="s">
        <v>116</v>
      </c>
      <c r="E12" s="97"/>
      <c r="F12" s="97"/>
      <c r="G12" s="97"/>
      <c r="H12" s="97"/>
      <c r="I12" s="97"/>
      <c r="J12" s="97"/>
      <c r="K12" s="97"/>
      <c r="L12" s="97"/>
      <c r="M12" s="97"/>
      <c r="N12" s="97"/>
      <c r="O12" s="97"/>
      <c r="P12" s="97"/>
      <c r="Q12" s="97">
        <f>SUM(E12:P12)</f>
        <v>0</v>
      </c>
      <c r="R12" s="39">
        <f t="shared" ref="R12:R17" si="0">Q12/$Q$17</f>
        <v>0</v>
      </c>
      <c r="S12" s="39"/>
      <c r="U12" s="115"/>
    </row>
    <row r="13" spans="1:21" s="3" customFormat="1" ht="24.95" customHeight="1">
      <c r="A13" s="50" t="s">
        <v>114</v>
      </c>
      <c r="B13" s="3" t="s">
        <v>96</v>
      </c>
      <c r="C13" s="50" t="s">
        <v>117</v>
      </c>
      <c r="D13" s="26" t="s">
        <v>118</v>
      </c>
      <c r="E13" s="63">
        <v>605000</v>
      </c>
      <c r="F13" s="63">
        <v>459175</v>
      </c>
      <c r="G13" s="63">
        <v>655575</v>
      </c>
      <c r="H13" s="63">
        <v>746675</v>
      </c>
      <c r="I13" s="63">
        <v>835325</v>
      </c>
      <c r="J13" s="63">
        <v>655575</v>
      </c>
      <c r="K13" s="63">
        <v>719875</v>
      </c>
      <c r="L13" s="63">
        <v>811875</v>
      </c>
      <c r="M13" s="63">
        <v>713775</v>
      </c>
      <c r="N13" s="63">
        <v>878850</v>
      </c>
      <c r="O13" s="63">
        <v>723175</v>
      </c>
      <c r="P13" s="63">
        <v>727575</v>
      </c>
      <c r="Q13" s="61">
        <f>SUM(E13:P13)</f>
        <v>8532450</v>
      </c>
      <c r="R13" s="39">
        <f t="shared" si="0"/>
        <v>0.42661333186619155</v>
      </c>
      <c r="S13" s="39"/>
      <c r="T13" s="35"/>
      <c r="U13" s="314"/>
    </row>
    <row r="14" spans="1:21" s="3" customFormat="1" ht="24.95" customHeight="1">
      <c r="A14" s="50" t="s">
        <v>114</v>
      </c>
      <c r="B14" s="3" t="s">
        <v>96</v>
      </c>
      <c r="C14" s="50" t="s">
        <v>119</v>
      </c>
      <c r="D14" s="26" t="s">
        <v>120</v>
      </c>
      <c r="E14" s="63">
        <v>245000</v>
      </c>
      <c r="F14" s="63">
        <v>232000</v>
      </c>
      <c r="G14" s="63">
        <v>359000</v>
      </c>
      <c r="H14" s="63">
        <v>400000</v>
      </c>
      <c r="I14" s="63">
        <v>391800</v>
      </c>
      <c r="J14" s="97">
        <v>391000</v>
      </c>
      <c r="K14" s="97">
        <v>462000</v>
      </c>
      <c r="L14" s="97">
        <v>426000</v>
      </c>
      <c r="M14" s="97">
        <v>472000</v>
      </c>
      <c r="N14" s="97">
        <v>485500</v>
      </c>
      <c r="O14" s="97">
        <v>472000</v>
      </c>
      <c r="P14" s="97">
        <v>433000</v>
      </c>
      <c r="Q14" s="61">
        <f>SUM(E14:P14)</f>
        <v>4769300</v>
      </c>
      <c r="R14" s="39">
        <f t="shared" si="0"/>
        <v>0.23845987537804819</v>
      </c>
      <c r="S14" s="39"/>
      <c r="T14" s="35"/>
      <c r="U14" s="314"/>
    </row>
    <row r="15" spans="1:21" s="3" customFormat="1" ht="24.95" customHeight="1">
      <c r="A15" s="50" t="s">
        <v>114</v>
      </c>
      <c r="B15" s="3" t="s">
        <v>96</v>
      </c>
      <c r="C15" s="50" t="s">
        <v>121</v>
      </c>
      <c r="D15" s="26" t="s">
        <v>122</v>
      </c>
      <c r="E15" s="63">
        <v>317500</v>
      </c>
      <c r="F15" s="63">
        <v>333000</v>
      </c>
      <c r="G15" s="63">
        <v>370000</v>
      </c>
      <c r="H15" s="63">
        <v>444000</v>
      </c>
      <c r="I15" s="63">
        <v>450000</v>
      </c>
      <c r="J15" s="97">
        <v>444000</v>
      </c>
      <c r="K15" s="97">
        <v>528000</v>
      </c>
      <c r="L15" s="97">
        <v>518000</v>
      </c>
      <c r="M15" s="97">
        <v>570000</v>
      </c>
      <c r="N15" s="97">
        <v>494000</v>
      </c>
      <c r="O15" s="97">
        <v>570000</v>
      </c>
      <c r="P15" s="97">
        <v>532000</v>
      </c>
      <c r="Q15" s="61">
        <f>SUM(E15:P15)</f>
        <v>5570500</v>
      </c>
      <c r="R15" s="39">
        <f t="shared" si="0"/>
        <v>0.27851901448711919</v>
      </c>
      <c r="S15" s="39"/>
      <c r="T15" s="35"/>
      <c r="U15" s="314"/>
    </row>
    <row r="16" spans="1:21" s="3" customFormat="1" ht="24.95" customHeight="1">
      <c r="A16" s="50" t="s">
        <v>114</v>
      </c>
      <c r="B16" s="3" t="s">
        <v>96</v>
      </c>
      <c r="C16" s="3" t="s">
        <v>123</v>
      </c>
      <c r="D16" s="26" t="s">
        <v>124</v>
      </c>
      <c r="E16" s="63">
        <v>95818.18</v>
      </c>
      <c r="F16" s="63">
        <v>86545.45</v>
      </c>
      <c r="G16" s="63">
        <v>95818.18</v>
      </c>
      <c r="H16" s="63">
        <v>92727</v>
      </c>
      <c r="I16" s="63">
        <v>95818</v>
      </c>
      <c r="J16" s="63">
        <v>92727</v>
      </c>
      <c r="K16" s="63">
        <v>95818</v>
      </c>
      <c r="L16" s="63">
        <v>95818</v>
      </c>
      <c r="M16" s="63">
        <v>92727</v>
      </c>
      <c r="N16" s="63">
        <v>95818</v>
      </c>
      <c r="O16" s="63">
        <v>92727</v>
      </c>
      <c r="P16" s="63">
        <v>95818</v>
      </c>
      <c r="Q16" s="61">
        <f>SUM(E16:P16)</f>
        <v>1128179.81</v>
      </c>
      <c r="R16" s="39">
        <f t="shared" si="0"/>
        <v>5.6407778268641122E-2</v>
      </c>
      <c r="S16" s="39"/>
      <c r="T16" s="35"/>
      <c r="U16" s="314"/>
    </row>
    <row r="17" spans="1:21" s="3" customFormat="1" ht="24.95" customHeight="1">
      <c r="A17" s="50"/>
      <c r="D17" s="21" t="s">
        <v>125</v>
      </c>
      <c r="E17" s="45">
        <f>SUM(E12:E16)</f>
        <v>1263318.18</v>
      </c>
      <c r="F17" s="45">
        <f t="shared" ref="F17:P17" si="1">SUM(F12:F16)</f>
        <v>1110720.45</v>
      </c>
      <c r="G17" s="45">
        <f t="shared" si="1"/>
        <v>1480393.18</v>
      </c>
      <c r="H17" s="45">
        <f t="shared" si="1"/>
        <v>1683402</v>
      </c>
      <c r="I17" s="45">
        <f t="shared" si="1"/>
        <v>1772943</v>
      </c>
      <c r="J17" s="45">
        <f t="shared" si="1"/>
        <v>1583302</v>
      </c>
      <c r="K17" s="45">
        <f t="shared" si="1"/>
        <v>1805693</v>
      </c>
      <c r="L17" s="45">
        <f t="shared" si="1"/>
        <v>1851693</v>
      </c>
      <c r="M17" s="45">
        <f t="shared" si="1"/>
        <v>1848502</v>
      </c>
      <c r="N17" s="45">
        <f t="shared" si="1"/>
        <v>1954168</v>
      </c>
      <c r="O17" s="45">
        <f t="shared" si="1"/>
        <v>1857902</v>
      </c>
      <c r="P17" s="45">
        <f t="shared" si="1"/>
        <v>1788393</v>
      </c>
      <c r="Q17" s="45">
        <f>SUM(Q12:Q16)</f>
        <v>20000429.809999999</v>
      </c>
      <c r="R17" s="39">
        <f t="shared" si="0"/>
        <v>1</v>
      </c>
      <c r="S17" s="61"/>
      <c r="T17" s="35"/>
      <c r="U17" s="40"/>
    </row>
    <row r="18" spans="1:21" s="3" customFormat="1" ht="24.95" customHeight="1">
      <c r="A18" s="269" t="s">
        <v>126</v>
      </c>
      <c r="B18" s="3" t="s">
        <v>96</v>
      </c>
      <c r="D18" s="26" t="s">
        <v>127</v>
      </c>
      <c r="E18" s="63">
        <f t="shared" ref="E18:O18" si="2">ROUND(E17*0.1,2)</f>
        <v>126331.82</v>
      </c>
      <c r="F18" s="63">
        <f t="shared" si="2"/>
        <v>111072.05</v>
      </c>
      <c r="G18" s="63">
        <f t="shared" si="2"/>
        <v>148039.32</v>
      </c>
      <c r="H18" s="63">
        <f t="shared" si="2"/>
        <v>168340.2</v>
      </c>
      <c r="I18" s="63">
        <f t="shared" si="2"/>
        <v>177294.3</v>
      </c>
      <c r="J18" s="63">
        <f t="shared" si="2"/>
        <v>158330.20000000001</v>
      </c>
      <c r="K18" s="63">
        <f t="shared" si="2"/>
        <v>180569.3</v>
      </c>
      <c r="L18" s="63">
        <f t="shared" si="2"/>
        <v>185169.3</v>
      </c>
      <c r="M18" s="63">
        <f t="shared" si="2"/>
        <v>184850.2</v>
      </c>
      <c r="N18" s="63">
        <f t="shared" si="2"/>
        <v>195416.8</v>
      </c>
      <c r="O18" s="63">
        <f t="shared" si="2"/>
        <v>185790.2</v>
      </c>
      <c r="P18" s="63">
        <f>ROUND(P17*0.1,2)</f>
        <v>178839.3</v>
      </c>
      <c r="Q18" s="61">
        <f>SUM(E18:P18)</f>
        <v>2000042.99</v>
      </c>
      <c r="S18" s="39"/>
      <c r="T18" s="35"/>
      <c r="U18" s="314"/>
    </row>
    <row r="19" spans="1:21" s="3" customFormat="1" ht="24.95" customHeight="1">
      <c r="A19" s="50" t="s">
        <v>128</v>
      </c>
      <c r="B19" s="3" t="s">
        <v>96</v>
      </c>
      <c r="D19" s="26" t="s">
        <v>129</v>
      </c>
      <c r="E19" s="63"/>
      <c r="F19" s="63"/>
      <c r="G19" s="63"/>
      <c r="H19" s="63"/>
      <c r="I19" s="63"/>
      <c r="J19" s="63">
        <v>0</v>
      </c>
      <c r="K19" s="63">
        <v>0</v>
      </c>
      <c r="L19" s="63">
        <v>0</v>
      </c>
      <c r="M19" s="63">
        <v>0</v>
      </c>
      <c r="N19" s="63">
        <v>0</v>
      </c>
      <c r="O19" s="63">
        <v>0</v>
      </c>
      <c r="P19" s="63">
        <v>0</v>
      </c>
      <c r="Q19" s="61">
        <f>SUM(E19:P19)</f>
        <v>0</v>
      </c>
      <c r="T19" s="35"/>
      <c r="U19" s="40"/>
    </row>
    <row r="20" spans="1:21" s="3" customFormat="1" ht="24.95" customHeight="1">
      <c r="A20" s="50"/>
      <c r="D20" s="21" t="s">
        <v>130</v>
      </c>
      <c r="E20" s="45">
        <f>E17+E18+E19</f>
        <v>1389650</v>
      </c>
      <c r="F20" s="45">
        <f t="shared" ref="F20:Q20" si="3">F17+F18+F19</f>
        <v>1221792.5</v>
      </c>
      <c r="G20" s="45">
        <f t="shared" si="3"/>
        <v>1628432.5</v>
      </c>
      <c r="H20" s="45">
        <f t="shared" si="3"/>
        <v>1851742.2</v>
      </c>
      <c r="I20" s="45">
        <f t="shared" si="3"/>
        <v>1950237.3</v>
      </c>
      <c r="J20" s="45">
        <f t="shared" si="3"/>
        <v>1741632.2</v>
      </c>
      <c r="K20" s="45">
        <f t="shared" si="3"/>
        <v>1986262.3</v>
      </c>
      <c r="L20" s="45">
        <f t="shared" si="3"/>
        <v>2036862.3</v>
      </c>
      <c r="M20" s="45">
        <f t="shared" si="3"/>
        <v>2033352.2</v>
      </c>
      <c r="N20" s="45">
        <f t="shared" si="3"/>
        <v>2149584.7999999998</v>
      </c>
      <c r="O20" s="45">
        <f t="shared" si="3"/>
        <v>2043692.2</v>
      </c>
      <c r="P20" s="45">
        <f t="shared" si="3"/>
        <v>1967232.3</v>
      </c>
      <c r="Q20" s="310">
        <f t="shared" si="3"/>
        <v>22000472.799999997</v>
      </c>
      <c r="T20" s="35"/>
      <c r="U20" s="314"/>
    </row>
    <row r="21" spans="1:21" s="3" customFormat="1" ht="24.95" customHeight="1">
      <c r="D21" s="26"/>
      <c r="E21" s="63"/>
      <c r="F21" s="43"/>
      <c r="G21" s="63"/>
      <c r="H21" s="60"/>
      <c r="I21" s="60"/>
      <c r="J21" s="315"/>
      <c r="K21" s="315"/>
      <c r="L21" s="61"/>
      <c r="M21" s="315"/>
      <c r="N21" s="315"/>
      <c r="O21" s="315"/>
      <c r="P21" s="315"/>
      <c r="T21" s="35"/>
      <c r="U21" s="315"/>
    </row>
    <row r="22" spans="1:21" s="3" customFormat="1" ht="24.95" customHeight="1">
      <c r="D22" s="21" t="s">
        <v>131</v>
      </c>
      <c r="E22" s="63"/>
      <c r="F22" s="63"/>
      <c r="G22" s="63"/>
      <c r="H22" s="63"/>
      <c r="I22" s="63"/>
      <c r="J22" s="63"/>
      <c r="K22" s="63"/>
      <c r="L22" s="63"/>
      <c r="M22" s="63"/>
      <c r="N22" s="63"/>
      <c r="O22" s="63"/>
      <c r="P22" s="63"/>
      <c r="T22" s="35"/>
      <c r="U22" s="115"/>
    </row>
    <row r="23" spans="1:21" s="3" customFormat="1" ht="24.95" hidden="1" customHeight="1">
      <c r="D23" s="26" t="s">
        <v>116</v>
      </c>
      <c r="E23" s="113"/>
      <c r="F23" s="24"/>
      <c r="G23" s="113"/>
      <c r="H23" s="25"/>
      <c r="I23" s="25"/>
      <c r="J23" s="25"/>
      <c r="K23" s="25"/>
      <c r="L23" s="25"/>
      <c r="M23" s="25"/>
      <c r="N23" s="25"/>
      <c r="O23" s="25"/>
      <c r="P23" s="25"/>
      <c r="Q23" s="61">
        <f>SUM(E23:P23)</f>
        <v>0</v>
      </c>
      <c r="T23" s="35"/>
      <c r="U23" s="115"/>
    </row>
    <row r="24" spans="1:21" s="3" customFormat="1" ht="24.95" customHeight="1">
      <c r="D24" s="26" t="s">
        <v>118</v>
      </c>
      <c r="E24" s="113">
        <v>1020</v>
      </c>
      <c r="F24" s="113">
        <v>790</v>
      </c>
      <c r="G24" s="113">
        <v>1135</v>
      </c>
      <c r="H24" s="113">
        <v>1285</v>
      </c>
      <c r="I24" s="25">
        <v>1405</v>
      </c>
      <c r="J24" s="25">
        <v>1135</v>
      </c>
      <c r="K24" s="25">
        <v>1235</v>
      </c>
      <c r="L24" s="25">
        <v>1385</v>
      </c>
      <c r="M24" s="25">
        <v>1235</v>
      </c>
      <c r="N24" s="25">
        <v>1460</v>
      </c>
      <c r="O24" s="25">
        <v>1235</v>
      </c>
      <c r="P24" s="25">
        <v>1135</v>
      </c>
      <c r="Q24" s="61">
        <f>SUM(E24:P24)</f>
        <v>14455</v>
      </c>
      <c r="T24" s="35"/>
      <c r="U24" s="40"/>
    </row>
    <row r="25" spans="1:21" s="3" customFormat="1" ht="24.95" customHeight="1">
      <c r="D25" s="26" t="s">
        <v>120</v>
      </c>
      <c r="E25" s="113">
        <v>700</v>
      </c>
      <c r="F25" s="113">
        <v>650</v>
      </c>
      <c r="G25" s="113">
        <v>1000</v>
      </c>
      <c r="H25" s="113">
        <v>1100</v>
      </c>
      <c r="I25" s="25">
        <v>1100</v>
      </c>
      <c r="J25" s="25">
        <v>1100</v>
      </c>
      <c r="K25" s="25">
        <v>1300</v>
      </c>
      <c r="L25" s="25">
        <v>1200</v>
      </c>
      <c r="M25" s="25">
        <v>1300</v>
      </c>
      <c r="N25" s="25">
        <v>1350</v>
      </c>
      <c r="O25" s="25">
        <v>1200</v>
      </c>
      <c r="P25" s="25">
        <v>1200</v>
      </c>
      <c r="Q25" s="61">
        <f>SUM(E25:P25)</f>
        <v>13200</v>
      </c>
      <c r="T25" s="35"/>
      <c r="U25" s="40"/>
    </row>
    <row r="26" spans="1:21" s="3" customFormat="1" ht="24.95" customHeight="1">
      <c r="D26" s="26" t="s">
        <v>122</v>
      </c>
      <c r="E26" s="113">
        <v>850</v>
      </c>
      <c r="F26" s="113">
        <v>900</v>
      </c>
      <c r="G26" s="113">
        <v>1000</v>
      </c>
      <c r="H26" s="113">
        <v>1200</v>
      </c>
      <c r="I26" s="25">
        <v>1200</v>
      </c>
      <c r="J26" s="25">
        <v>1200</v>
      </c>
      <c r="K26" s="25">
        <v>1400</v>
      </c>
      <c r="L26" s="25">
        <v>1400</v>
      </c>
      <c r="M26" s="25">
        <v>1500</v>
      </c>
      <c r="N26" s="25">
        <v>1300</v>
      </c>
      <c r="O26" s="25">
        <v>1500</v>
      </c>
      <c r="P26" s="25">
        <v>1400</v>
      </c>
      <c r="Q26" s="61">
        <f t="shared" ref="Q26:Q29" si="4">SUM(E26:P26)</f>
        <v>14850</v>
      </c>
      <c r="T26" s="35"/>
      <c r="U26" s="40"/>
    </row>
    <row r="27" spans="1:21" s="3" customFormat="1" ht="24.95" customHeight="1">
      <c r="D27" s="26" t="s">
        <v>124</v>
      </c>
      <c r="E27" s="113">
        <v>310</v>
      </c>
      <c r="F27" s="113">
        <v>280</v>
      </c>
      <c r="G27" s="113">
        <v>310</v>
      </c>
      <c r="H27" s="113">
        <v>300</v>
      </c>
      <c r="I27" s="25">
        <v>310</v>
      </c>
      <c r="J27" s="25">
        <v>300</v>
      </c>
      <c r="K27" s="25">
        <v>310</v>
      </c>
      <c r="L27" s="25">
        <v>310</v>
      </c>
      <c r="M27" s="25">
        <v>300</v>
      </c>
      <c r="N27" s="25">
        <v>310</v>
      </c>
      <c r="O27" s="25">
        <v>300</v>
      </c>
      <c r="P27" s="25">
        <v>310</v>
      </c>
      <c r="Q27" s="61">
        <f t="shared" si="4"/>
        <v>3650</v>
      </c>
      <c r="T27" s="35"/>
      <c r="U27" s="40"/>
    </row>
    <row r="28" spans="1:21" s="3" customFormat="1" ht="24.95" customHeight="1">
      <c r="D28" s="26" t="s">
        <v>132</v>
      </c>
      <c r="E28" s="113">
        <f>SUM(E23:E27)</f>
        <v>2880</v>
      </c>
      <c r="F28" s="113">
        <f t="shared" ref="F28:P28" si="5">SUM(F23:F27)</f>
        <v>2620</v>
      </c>
      <c r="G28" s="113">
        <f t="shared" si="5"/>
        <v>3445</v>
      </c>
      <c r="H28" s="113">
        <f t="shared" si="5"/>
        <v>3885</v>
      </c>
      <c r="I28" s="113">
        <f t="shared" si="5"/>
        <v>4015</v>
      </c>
      <c r="J28" s="113">
        <f t="shared" si="5"/>
        <v>3735</v>
      </c>
      <c r="K28" s="113">
        <f t="shared" si="5"/>
        <v>4245</v>
      </c>
      <c r="L28" s="113">
        <f t="shared" si="5"/>
        <v>4295</v>
      </c>
      <c r="M28" s="113">
        <f t="shared" si="5"/>
        <v>4335</v>
      </c>
      <c r="N28" s="113">
        <f t="shared" si="5"/>
        <v>4420</v>
      </c>
      <c r="O28" s="113">
        <f t="shared" si="5"/>
        <v>4235</v>
      </c>
      <c r="P28" s="113">
        <f t="shared" si="5"/>
        <v>4045</v>
      </c>
      <c r="Q28" s="61">
        <f t="shared" si="4"/>
        <v>46155</v>
      </c>
      <c r="T28" s="35"/>
      <c r="U28" s="40"/>
    </row>
    <row r="29" spans="1:21" s="3" customFormat="1" ht="24.95" customHeight="1">
      <c r="D29" s="26" t="s">
        <v>133</v>
      </c>
      <c r="E29" s="113">
        <f>E107</f>
        <v>6293</v>
      </c>
      <c r="F29" s="113">
        <f t="shared" ref="F29:P29" si="6">F107</f>
        <v>5684</v>
      </c>
      <c r="G29" s="113">
        <f t="shared" si="6"/>
        <v>6293</v>
      </c>
      <c r="H29" s="113">
        <f t="shared" si="6"/>
        <v>6090</v>
      </c>
      <c r="I29" s="113">
        <f t="shared" si="6"/>
        <v>6293</v>
      </c>
      <c r="J29" s="113">
        <f t="shared" si="6"/>
        <v>6090</v>
      </c>
      <c r="K29" s="113">
        <f t="shared" si="6"/>
        <v>6293</v>
      </c>
      <c r="L29" s="113">
        <f t="shared" si="6"/>
        <v>6293</v>
      </c>
      <c r="M29" s="113">
        <f t="shared" si="6"/>
        <v>6090</v>
      </c>
      <c r="N29" s="113">
        <f t="shared" si="6"/>
        <v>6293</v>
      </c>
      <c r="O29" s="113">
        <f t="shared" si="6"/>
        <v>6090</v>
      </c>
      <c r="P29" s="113">
        <f t="shared" si="6"/>
        <v>6293</v>
      </c>
      <c r="Q29" s="61">
        <f t="shared" si="4"/>
        <v>74095</v>
      </c>
      <c r="T29" s="35"/>
      <c r="U29" s="40"/>
    </row>
    <row r="30" spans="1:21" s="3" customFormat="1" ht="24.95" customHeight="1">
      <c r="D30" s="26" t="s">
        <v>134</v>
      </c>
      <c r="E30" s="114">
        <f>E28/E29</f>
        <v>0.45765135865247097</v>
      </c>
      <c r="F30" s="114">
        <f t="shared" ref="F30:P30" si="7">F28/F29</f>
        <v>0.46094299788881071</v>
      </c>
      <c r="G30" s="114">
        <f t="shared" si="7"/>
        <v>0.54743365644366759</v>
      </c>
      <c r="H30" s="114">
        <f t="shared" si="7"/>
        <v>0.63793103448275867</v>
      </c>
      <c r="I30" s="114">
        <f t="shared" si="7"/>
        <v>0.63801048784363579</v>
      </c>
      <c r="J30" s="114">
        <f t="shared" si="7"/>
        <v>0.61330049261083741</v>
      </c>
      <c r="K30" s="114">
        <f t="shared" si="7"/>
        <v>0.67455903384713178</v>
      </c>
      <c r="L30" s="114">
        <f t="shared" si="7"/>
        <v>0.6825043699348482</v>
      </c>
      <c r="M30" s="114">
        <f t="shared" si="7"/>
        <v>0.71182266009852213</v>
      </c>
      <c r="N30" s="114">
        <f t="shared" si="7"/>
        <v>0.70236771015413957</v>
      </c>
      <c r="O30" s="114">
        <f t="shared" si="7"/>
        <v>0.6954022988505747</v>
      </c>
      <c r="P30" s="114">
        <f t="shared" si="7"/>
        <v>0.64277768949626568</v>
      </c>
      <c r="Q30" s="114">
        <f t="shared" ref="Q30" si="8">Q28/Q29</f>
        <v>0.62291652608138204</v>
      </c>
      <c r="T30" s="115"/>
      <c r="U30" s="40"/>
    </row>
    <row r="31" spans="1:21" s="3" customFormat="1" ht="24.95" customHeight="1">
      <c r="D31" s="26" t="s">
        <v>135</v>
      </c>
      <c r="E31" s="113">
        <f>E20/E28</f>
        <v>482.51736111111109</v>
      </c>
      <c r="F31" s="113">
        <f t="shared" ref="F31:P31" si="9">F20/F28</f>
        <v>466.3330152671756</v>
      </c>
      <c r="G31" s="113">
        <f t="shared" si="9"/>
        <v>472.69448476052247</v>
      </c>
      <c r="H31" s="113">
        <f t="shared" si="9"/>
        <v>476.63891891891893</v>
      </c>
      <c r="I31" s="113">
        <f t="shared" si="9"/>
        <v>485.73780821917808</v>
      </c>
      <c r="J31" s="113">
        <f t="shared" si="9"/>
        <v>466.30045515394914</v>
      </c>
      <c r="K31" s="113">
        <f t="shared" si="9"/>
        <v>467.90631330977624</v>
      </c>
      <c r="L31" s="113">
        <f t="shared" si="9"/>
        <v>474.24034924330618</v>
      </c>
      <c r="M31" s="113">
        <f t="shared" si="9"/>
        <v>469.05471741637831</v>
      </c>
      <c r="N31" s="113">
        <f t="shared" si="9"/>
        <v>486.3314027149321</v>
      </c>
      <c r="O31" s="113">
        <f t="shared" si="9"/>
        <v>482.57194805194803</v>
      </c>
      <c r="P31" s="113">
        <f t="shared" si="9"/>
        <v>486.33678615574786</v>
      </c>
      <c r="Q31" s="113">
        <f t="shared" ref="Q31" si="10">Q20/Q28</f>
        <v>476.66499404181553</v>
      </c>
      <c r="T31" s="35"/>
      <c r="U31" s="40"/>
    </row>
    <row r="32" spans="1:21" s="3" customFormat="1" ht="24.95" customHeight="1">
      <c r="D32" s="26"/>
      <c r="E32" s="113"/>
      <c r="F32" s="24"/>
      <c r="G32" s="113"/>
      <c r="H32" s="25"/>
      <c r="I32" s="25"/>
      <c r="L32" s="161"/>
      <c r="T32" s="35"/>
      <c r="U32" s="115"/>
    </row>
    <row r="33" spans="1:21" s="3" customFormat="1" ht="24.95" customHeight="1">
      <c r="A33" s="3" t="s">
        <v>103</v>
      </c>
      <c r="B33" s="50" t="s">
        <v>136</v>
      </c>
      <c r="D33" s="21" t="s">
        <v>137</v>
      </c>
      <c r="E33" s="45">
        <f>'Front Office'!E11+HSKP!E11+Reservation!E11+'ROOMS Admin'!E11</f>
        <v>364741.06</v>
      </c>
      <c r="F33" s="45">
        <f>'Front Office'!F11+HSKP!F11+Reservation!F11+'ROOMS Admin'!F11</f>
        <v>350255.28999999992</v>
      </c>
      <c r="G33" s="45">
        <f>'Front Office'!G11+HSKP!G11+Reservation!G11+'ROOMS Admin'!G11</f>
        <v>354015.44999999995</v>
      </c>
      <c r="H33" s="45">
        <f>'Front Office'!H11+HSKP!H11+Reservation!H11+'ROOMS Admin'!H11</f>
        <v>373610.56</v>
      </c>
      <c r="I33" s="45">
        <f>'Front Office'!I11+HSKP!I11+Reservation!I11+'ROOMS Admin'!I11</f>
        <v>384122.56</v>
      </c>
      <c r="J33" s="45">
        <f>'Front Office'!J11+HSKP!J11+Reservation!J11+'ROOMS Admin'!J11</f>
        <v>366135.56</v>
      </c>
      <c r="K33" s="45">
        <f>'Front Office'!K11+HSKP!K11+Reservation!K11+'ROOMS Admin'!K11</f>
        <v>373535.44999999995</v>
      </c>
      <c r="L33" s="45">
        <f>'Front Office'!L11+HSKP!L11+Reservation!L11+'ROOMS Admin'!L11</f>
        <v>374630.44999999995</v>
      </c>
      <c r="M33" s="45">
        <f>'Front Office'!M11+HSKP!M11+Reservation!M11+'ROOMS Admin'!M11</f>
        <v>382384.58</v>
      </c>
      <c r="N33" s="45">
        <f>'Front Office'!N11+HSKP!N11+Reservation!N11+'ROOMS Admin'!N11</f>
        <v>410332.33</v>
      </c>
      <c r="O33" s="45">
        <f>'Front Office'!O11+HSKP!O11+Reservation!O11+'ROOMS Admin'!O11</f>
        <v>375316.44999999995</v>
      </c>
      <c r="P33" s="45">
        <f>'Front Office'!P11+HSKP!P11+Reservation!P11+'ROOMS Admin'!P11</f>
        <v>371155.44999999995</v>
      </c>
      <c r="Q33" s="170">
        <f>SUM(E33:P33)</f>
        <v>4480235.1900000004</v>
      </c>
      <c r="R33" s="39">
        <f>Q33/$Q$20</f>
        <v>0.20364267762463728</v>
      </c>
      <c r="S33" s="356">
        <f>Q33/Q28</f>
        <v>97.0693357166071</v>
      </c>
      <c r="T33" s="35"/>
      <c r="U33" s="314"/>
    </row>
    <row r="34" spans="1:21" s="3" customFormat="1" ht="24.95" customHeight="1">
      <c r="D34" s="26"/>
      <c r="S34" s="39"/>
      <c r="T34" s="35"/>
      <c r="U34" s="115"/>
    </row>
    <row r="35" spans="1:21" s="3" customFormat="1" ht="24.6" customHeight="1">
      <c r="D35" s="21" t="s">
        <v>138</v>
      </c>
      <c r="E35" s="63"/>
      <c r="F35" s="63"/>
      <c r="G35" s="63"/>
      <c r="H35" s="63"/>
      <c r="I35" s="63"/>
      <c r="J35" s="63"/>
      <c r="K35" s="63"/>
      <c r="L35" s="63"/>
      <c r="M35" s="63"/>
      <c r="N35" s="63"/>
      <c r="O35" s="63"/>
      <c r="P35" s="63"/>
      <c r="R35" s="34" t="s">
        <v>139</v>
      </c>
      <c r="S35" s="195"/>
      <c r="T35" s="35"/>
      <c r="U35" s="115"/>
    </row>
    <row r="36" spans="1:21" s="3" customFormat="1" ht="24.95" customHeight="1">
      <c r="A36" s="3" t="s">
        <v>140</v>
      </c>
      <c r="B36" s="50" t="s">
        <v>136</v>
      </c>
      <c r="D36" s="26" t="s">
        <v>141</v>
      </c>
      <c r="E36" s="63">
        <f>'Front Office'!E14+HSKP!E14+Reservation!E14+'ROOMS Admin'!E14</f>
        <v>55622.64</v>
      </c>
      <c r="F36" s="63">
        <f>'Front Office'!F14+HSKP!F14+Reservation!F14+'ROOMS Admin'!F14</f>
        <v>41924.53</v>
      </c>
      <c r="G36" s="63">
        <f>'Front Office'!G14+HSKP!G14+Reservation!G14+'ROOMS Admin'!G14</f>
        <v>59773.58</v>
      </c>
      <c r="H36" s="63">
        <f>'Front Office'!H14+HSKP!H14+Reservation!H14+'ROOMS Admin'!H14</f>
        <v>69165.09</v>
      </c>
      <c r="I36" s="63">
        <f>'Front Office'!I14+HSKP!I14+Reservation!I14+'ROOMS Admin'!I14</f>
        <v>76922.17</v>
      </c>
      <c r="J36" s="63">
        <f>'Front Office'!J14+HSKP!J14+Reservation!J14+'ROOMS Admin'!J14</f>
        <v>59773.58</v>
      </c>
      <c r="K36" s="63">
        <f>'Front Office'!K14+HSKP!K14+Reservation!K14+'ROOMS Admin'!K14</f>
        <v>66363.210000000006</v>
      </c>
      <c r="L36" s="63">
        <f>'Front Office'!L14+HSKP!L14+Reservation!L14+'ROOMS Admin'!L14</f>
        <v>75910.38</v>
      </c>
      <c r="M36" s="63">
        <f>'Front Office'!M14+HSKP!M14+Reservation!M14+'ROOMS Admin'!M14</f>
        <v>65792.45</v>
      </c>
      <c r="N36" s="63">
        <f>'Front Office'!N14+HSKP!N14+Reservation!N14+'ROOMS Admin'!N14</f>
        <v>80943.399999999994</v>
      </c>
      <c r="O36" s="63">
        <f>'Front Office'!O14+HSKP!O14+Reservation!O14+'ROOMS Admin'!O14</f>
        <v>65792.45</v>
      </c>
      <c r="P36" s="63">
        <f>'Front Office'!P14+HSKP!P14+Reservation!P14+'ROOMS Admin'!P14</f>
        <v>67037.740000000005</v>
      </c>
      <c r="Q36" s="355">
        <f>SUM(E36:P36)</f>
        <v>785021.22</v>
      </c>
      <c r="R36" s="3">
        <f t="shared" ref="R36:R67" si="11">Q36/$Q$111</f>
        <v>17.008367890802731</v>
      </c>
      <c r="S36" s="146">
        <f>Q36/$Q$20</f>
        <v>3.5682015888313094E-2</v>
      </c>
      <c r="T36" s="315">
        <v>26.388483560545311</v>
      </c>
      <c r="U36" s="40"/>
    </row>
    <row r="37" spans="1:21" s="3" customFormat="1" ht="24.95" hidden="1" customHeight="1">
      <c r="A37" s="3" t="s">
        <v>142</v>
      </c>
      <c r="B37" s="50" t="s">
        <v>136</v>
      </c>
      <c r="D37" s="26" t="s">
        <v>143</v>
      </c>
      <c r="E37" s="63">
        <f>'Front Office'!E15+HSKP!E15+Reservation!E15+'ROOMS Admin'!E15</f>
        <v>0</v>
      </c>
      <c r="F37" s="63">
        <f>'Front Office'!F15+HSKP!F15+Reservation!F15+'ROOMS Admin'!F15</f>
        <v>0</v>
      </c>
      <c r="G37" s="63">
        <f>'Front Office'!G15+HSKP!G15+Reservation!G15+'ROOMS Admin'!G15</f>
        <v>0</v>
      </c>
      <c r="H37" s="63">
        <f>'Front Office'!H15+HSKP!H15+Reservation!H15+'ROOMS Admin'!H15</f>
        <v>0</v>
      </c>
      <c r="I37" s="63">
        <f>'Front Office'!I15+HSKP!I15+Reservation!I15+'ROOMS Admin'!I15</f>
        <v>0</v>
      </c>
      <c r="J37" s="63">
        <f>'Front Office'!J15+HSKP!J15+Reservation!J15+'ROOMS Admin'!J15</f>
        <v>0</v>
      </c>
      <c r="K37" s="63">
        <f>'Front Office'!K15+HSKP!K15+Reservation!K15+'ROOMS Admin'!K15</f>
        <v>0</v>
      </c>
      <c r="L37" s="63">
        <f>'Front Office'!L15+HSKP!L15+Reservation!L15+'ROOMS Admin'!L15</f>
        <v>0</v>
      </c>
      <c r="M37" s="63">
        <f>'Front Office'!M15+HSKP!M15+Reservation!M15+'ROOMS Admin'!M15</f>
        <v>0</v>
      </c>
      <c r="N37" s="63">
        <f>'Front Office'!N15+HSKP!N15+Reservation!N15+'ROOMS Admin'!N15</f>
        <v>0</v>
      </c>
      <c r="O37" s="63">
        <f>'Front Office'!O15+HSKP!O15+Reservation!O15+'ROOMS Admin'!O15</f>
        <v>0</v>
      </c>
      <c r="P37" s="63">
        <f>'Front Office'!P15+HSKP!P15+Reservation!P15+'ROOMS Admin'!P15</f>
        <v>0</v>
      </c>
      <c r="Q37" s="355">
        <f t="shared" ref="Q37:Q100" si="12">SUM(E37:P37)</f>
        <v>0</v>
      </c>
      <c r="R37" s="3">
        <f t="shared" si="11"/>
        <v>0</v>
      </c>
      <c r="S37" s="146">
        <f t="shared" ref="S37:S100" si="13">Q37/$Q$20</f>
        <v>0</v>
      </c>
      <c r="T37" s="315">
        <v>0</v>
      </c>
      <c r="U37" s="40"/>
    </row>
    <row r="38" spans="1:21" s="3" customFormat="1" ht="24.95" hidden="1" customHeight="1">
      <c r="A38" s="3" t="s">
        <v>144</v>
      </c>
      <c r="B38" s="50" t="s">
        <v>136</v>
      </c>
      <c r="D38" s="26" t="s">
        <v>145</v>
      </c>
      <c r="E38" s="63">
        <f>'Front Office'!E16+HSKP!E16+Reservation!E16+'ROOMS Admin'!E16</f>
        <v>0</v>
      </c>
      <c r="F38" s="63">
        <f>'Front Office'!F16+HSKP!F16+Reservation!F16+'ROOMS Admin'!F16</f>
        <v>0</v>
      </c>
      <c r="G38" s="63">
        <f>'Front Office'!G16+HSKP!G16+Reservation!G16+'ROOMS Admin'!G16</f>
        <v>0</v>
      </c>
      <c r="H38" s="63">
        <f>'Front Office'!H16+HSKP!H16+Reservation!H16+'ROOMS Admin'!H16</f>
        <v>0</v>
      </c>
      <c r="I38" s="63">
        <f>'Front Office'!I16+HSKP!I16+Reservation!I16+'ROOMS Admin'!I16</f>
        <v>0</v>
      </c>
      <c r="J38" s="63">
        <f>'Front Office'!J16+HSKP!J16+Reservation!J16+'ROOMS Admin'!J16</f>
        <v>0</v>
      </c>
      <c r="K38" s="63">
        <f>'Front Office'!K16+HSKP!K16+Reservation!K16+'ROOMS Admin'!K16</f>
        <v>0</v>
      </c>
      <c r="L38" s="63">
        <f>'Front Office'!L16+HSKP!L16+Reservation!L16+'ROOMS Admin'!L16</f>
        <v>0</v>
      </c>
      <c r="M38" s="63">
        <f>'Front Office'!M16+HSKP!M16+Reservation!M16+'ROOMS Admin'!M16</f>
        <v>0</v>
      </c>
      <c r="N38" s="63">
        <f>'Front Office'!N16+HSKP!N16+Reservation!N16+'ROOMS Admin'!N16</f>
        <v>0</v>
      </c>
      <c r="O38" s="63">
        <f>'Front Office'!O16+HSKP!O16+Reservation!O16+'ROOMS Admin'!O16</f>
        <v>0</v>
      </c>
      <c r="P38" s="63">
        <f>'Front Office'!P16+HSKP!P16+Reservation!P16+'ROOMS Admin'!P16</f>
        <v>0</v>
      </c>
      <c r="Q38" s="355">
        <f t="shared" si="12"/>
        <v>0</v>
      </c>
      <c r="R38" s="3">
        <f t="shared" si="11"/>
        <v>0</v>
      </c>
      <c r="S38" s="146">
        <f t="shared" si="13"/>
        <v>0</v>
      </c>
      <c r="T38" s="315">
        <v>0</v>
      </c>
      <c r="U38" s="40"/>
    </row>
    <row r="39" spans="1:21" s="3" customFormat="1" ht="24.6" customHeight="1">
      <c r="A39" s="3" t="s">
        <v>146</v>
      </c>
      <c r="B39" s="50" t="s">
        <v>136</v>
      </c>
      <c r="D39" s="26" t="s">
        <v>147</v>
      </c>
      <c r="E39" s="63">
        <f>'Front Office'!E17+HSKP!E17+Reservation!E17+'ROOMS Admin'!E17</f>
        <v>0</v>
      </c>
      <c r="F39" s="63">
        <f>'Front Office'!F17+HSKP!F17+Reservation!F17+'ROOMS Admin'!F17</f>
        <v>0</v>
      </c>
      <c r="G39" s="63">
        <f>'Front Office'!G17+HSKP!G17+Reservation!G17+'ROOMS Admin'!G17</f>
        <v>0</v>
      </c>
      <c r="H39" s="63">
        <f>'Front Office'!H17+HSKP!H17+Reservation!H17+'ROOMS Admin'!H17</f>
        <v>0</v>
      </c>
      <c r="I39" s="63">
        <f>'Front Office'!I17+HSKP!I17+Reservation!I17+'ROOMS Admin'!I17</f>
        <v>0</v>
      </c>
      <c r="J39" s="63">
        <f>'Front Office'!J17+HSKP!J17+Reservation!J17+'ROOMS Admin'!J17</f>
        <v>0</v>
      </c>
      <c r="K39" s="63">
        <f>'Front Office'!K17+HSKP!K17+Reservation!K17+'ROOMS Admin'!K17</f>
        <v>0</v>
      </c>
      <c r="L39" s="63">
        <f>'Front Office'!L17+HSKP!L17+Reservation!L17+'ROOMS Admin'!L17</f>
        <v>0</v>
      </c>
      <c r="M39" s="63">
        <f>'Front Office'!M17+HSKP!M17+Reservation!M17+'ROOMS Admin'!M17</f>
        <v>0</v>
      </c>
      <c r="N39" s="63">
        <f>'Front Office'!N17+HSKP!N17+Reservation!N17+'ROOMS Admin'!N17</f>
        <v>0</v>
      </c>
      <c r="O39" s="63">
        <f>'Front Office'!O17+HSKP!O17+Reservation!O17+'ROOMS Admin'!O17</f>
        <v>0</v>
      </c>
      <c r="P39" s="63">
        <f>'Front Office'!P17+HSKP!P17+Reservation!P17+'ROOMS Admin'!P17</f>
        <v>0</v>
      </c>
      <c r="Q39" s="355">
        <f t="shared" si="12"/>
        <v>0</v>
      </c>
      <c r="R39" s="3">
        <f t="shared" si="11"/>
        <v>0</v>
      </c>
      <c r="S39" s="146">
        <f t="shared" si="13"/>
        <v>0</v>
      </c>
      <c r="T39" s="315">
        <v>0</v>
      </c>
      <c r="U39" s="40"/>
    </row>
    <row r="40" spans="1:21" s="3" customFormat="1" ht="24.95" customHeight="1">
      <c r="A40" s="3" t="s">
        <v>148</v>
      </c>
      <c r="B40" s="50" t="s">
        <v>136</v>
      </c>
      <c r="D40" s="26" t="s">
        <v>149</v>
      </c>
      <c r="E40" s="63">
        <f>'Front Office'!E18+HSKP!E18+Reservation!E18+'ROOMS Admin'!E18</f>
        <v>9441</v>
      </c>
      <c r="F40" s="63">
        <f>'Front Office'!F18+HSKP!F18+Reservation!F18+'ROOMS Admin'!F18</f>
        <v>8168</v>
      </c>
      <c r="G40" s="63">
        <f>'Front Office'!G18+HSKP!G18+Reservation!G18+'ROOMS Admin'!G18</f>
        <v>10034.25</v>
      </c>
      <c r="H40" s="63">
        <f>'Front Office'!H18+HSKP!H18+Reservation!H18+'ROOMS Admin'!H18</f>
        <v>10667.400000000001</v>
      </c>
      <c r="I40" s="63">
        <f>'Front Office'!I18+HSKP!I18+Reservation!I18+'ROOMS Admin'!I18</f>
        <v>11803.900000000001</v>
      </c>
      <c r="J40" s="63">
        <f>'Front Office'!J18+HSKP!J18+Reservation!J18+'ROOMS Admin'!J18</f>
        <v>10509.9</v>
      </c>
      <c r="K40" s="63">
        <f>'Front Office'!K18+HSKP!K18+Reservation!K18+'ROOMS Admin'!K18</f>
        <v>11045.400000000001</v>
      </c>
      <c r="L40" s="63">
        <f>'Front Office'!L18+HSKP!L18+Reservation!L18+'ROOMS Admin'!L18</f>
        <v>11098.95</v>
      </c>
      <c r="M40" s="63">
        <f>'Front Office'!M18+HSKP!M18+Reservation!M18+'ROOMS Admin'!M18</f>
        <v>11139.900000000001</v>
      </c>
      <c r="N40" s="63">
        <f>'Front Office'!N18+HSKP!N18+Reservation!N18+'ROOMS Admin'!N18</f>
        <v>11229.150000000001</v>
      </c>
      <c r="O40" s="63">
        <f>'Front Office'!O18+HSKP!O18+Reservation!O18+'ROOMS Admin'!O18</f>
        <v>11034.900000000001</v>
      </c>
      <c r="P40" s="63">
        <f>'Front Office'!P18+HSKP!P18+Reservation!P18+'ROOMS Admin'!P18</f>
        <v>10835.400000000001</v>
      </c>
      <c r="Q40" s="355">
        <f t="shared" si="12"/>
        <v>127008.15</v>
      </c>
      <c r="R40" s="3">
        <f t="shared" si="11"/>
        <v>2.7517744556386088</v>
      </c>
      <c r="S40" s="146">
        <f t="shared" si="13"/>
        <v>5.7729736608205986E-3</v>
      </c>
      <c r="T40" s="315">
        <v>1.5628584603047315</v>
      </c>
      <c r="U40" s="40"/>
    </row>
    <row r="41" spans="1:21" s="3" customFormat="1" ht="24.75" customHeight="1">
      <c r="A41" s="3" t="s">
        <v>150</v>
      </c>
      <c r="B41" s="50" t="s">
        <v>136</v>
      </c>
      <c r="D41" s="26" t="s">
        <v>151</v>
      </c>
      <c r="E41" s="63">
        <f>'Front Office'!E19+HSKP!E19+Reservation!E19+'ROOMS Admin'!E19</f>
        <v>6300</v>
      </c>
      <c r="F41" s="63">
        <f>'Front Office'!F19+HSKP!F19+Reservation!F19+'ROOMS Admin'!F19</f>
        <v>5300</v>
      </c>
      <c r="G41" s="63">
        <f>'Front Office'!G19+HSKP!G19+Reservation!G19+'ROOMS Admin'!G19</f>
        <v>6300</v>
      </c>
      <c r="H41" s="63">
        <f>'Front Office'!H19+HSKP!H19+Reservation!H19+'ROOMS Admin'!H19</f>
        <v>6300</v>
      </c>
      <c r="I41" s="63">
        <f>'Front Office'!I19+HSKP!I19+Reservation!I19+'ROOMS Admin'!I19</f>
        <v>7300</v>
      </c>
      <c r="J41" s="63">
        <f>'Front Office'!J19+HSKP!J19+Reservation!J19+'ROOMS Admin'!J19</f>
        <v>6300</v>
      </c>
      <c r="K41" s="63">
        <f>'Front Office'!K19+HSKP!K19+Reservation!K19+'ROOMS Admin'!K19</f>
        <v>6300</v>
      </c>
      <c r="L41" s="63">
        <f>'Front Office'!L19+HSKP!L19+Reservation!L19+'ROOMS Admin'!L19</f>
        <v>6300</v>
      </c>
      <c r="M41" s="63">
        <f>'Front Office'!M19+HSKP!M19+Reservation!M19+'ROOMS Admin'!M19</f>
        <v>6300</v>
      </c>
      <c r="N41" s="63">
        <f>'Front Office'!N19+HSKP!N19+Reservation!N19+'ROOMS Admin'!N19</f>
        <v>6300</v>
      </c>
      <c r="O41" s="63">
        <f>'Front Office'!O19+HSKP!O19+Reservation!O19+'ROOMS Admin'!O19</f>
        <v>6300</v>
      </c>
      <c r="P41" s="63">
        <f>'Front Office'!P19+HSKP!P19+Reservation!P19+'ROOMS Admin'!P19</f>
        <v>6300</v>
      </c>
      <c r="Q41" s="355">
        <f t="shared" si="12"/>
        <v>75600</v>
      </c>
      <c r="R41" s="3">
        <f t="shared" si="11"/>
        <v>1.6379590510237243</v>
      </c>
      <c r="S41" s="146">
        <f t="shared" si="13"/>
        <v>3.4362897873722064E-3</v>
      </c>
      <c r="T41" s="315">
        <v>1.4145028067361667</v>
      </c>
      <c r="U41" s="40"/>
    </row>
    <row r="42" spans="1:21" s="3" customFormat="1" ht="24.95" hidden="1" customHeight="1">
      <c r="A42" s="3" t="s">
        <v>152</v>
      </c>
      <c r="B42" s="50" t="s">
        <v>136</v>
      </c>
      <c r="D42" s="26" t="s">
        <v>153</v>
      </c>
      <c r="E42" s="63">
        <f>'Front Office'!E20+HSKP!E20+Reservation!E20+'ROOMS Admin'!E20</f>
        <v>0</v>
      </c>
      <c r="F42" s="63">
        <f>'Front Office'!F20+HSKP!F20+Reservation!F20+'ROOMS Admin'!F20</f>
        <v>0</v>
      </c>
      <c r="G42" s="63">
        <f>'Front Office'!G20+HSKP!G20+Reservation!G20+'ROOMS Admin'!G20</f>
        <v>0</v>
      </c>
      <c r="H42" s="63">
        <f>'Front Office'!H20+HSKP!H20+Reservation!H20+'ROOMS Admin'!H20</f>
        <v>0</v>
      </c>
      <c r="I42" s="63">
        <f>'Front Office'!I20+HSKP!I20+Reservation!I20+'ROOMS Admin'!I20</f>
        <v>0</v>
      </c>
      <c r="J42" s="63">
        <f>'Front Office'!J20+HSKP!J20+Reservation!J20+'ROOMS Admin'!J20</f>
        <v>0</v>
      </c>
      <c r="K42" s="63">
        <f>'Front Office'!K20+HSKP!K20+Reservation!K20+'ROOMS Admin'!K20</f>
        <v>0</v>
      </c>
      <c r="L42" s="63">
        <f>'Front Office'!L20+HSKP!L20+Reservation!L20+'ROOMS Admin'!L20</f>
        <v>0</v>
      </c>
      <c r="M42" s="63">
        <f>'Front Office'!M20+HSKP!M20+Reservation!M20+'ROOMS Admin'!M20</f>
        <v>0</v>
      </c>
      <c r="N42" s="63">
        <f>'Front Office'!N20+HSKP!N20+Reservation!N20+'ROOMS Admin'!N20</f>
        <v>0</v>
      </c>
      <c r="O42" s="63">
        <f>'Front Office'!O20+HSKP!O20+Reservation!O20+'ROOMS Admin'!O20</f>
        <v>0</v>
      </c>
      <c r="P42" s="63">
        <f>'Front Office'!P20+HSKP!P20+Reservation!P20+'ROOMS Admin'!P20</f>
        <v>0</v>
      </c>
      <c r="Q42" s="355">
        <f t="shared" si="12"/>
        <v>0</v>
      </c>
      <c r="R42" s="3">
        <f t="shared" si="11"/>
        <v>0</v>
      </c>
      <c r="S42" s="146">
        <f t="shared" si="13"/>
        <v>0</v>
      </c>
      <c r="T42" s="315">
        <v>0</v>
      </c>
      <c r="U42" s="40"/>
    </row>
    <row r="43" spans="1:21" s="3" customFormat="1" ht="24.95" customHeight="1">
      <c r="A43" s="3" t="s">
        <v>154</v>
      </c>
      <c r="B43" s="50" t="s">
        <v>136</v>
      </c>
      <c r="D43" s="26" t="s">
        <v>155</v>
      </c>
      <c r="E43" s="63">
        <f>'Front Office'!E21+HSKP!E21+Reservation!E21+'ROOMS Admin'!E21</f>
        <v>29836.799999999999</v>
      </c>
      <c r="F43" s="63">
        <f>'Front Office'!F21+HSKP!F21+Reservation!F21+'ROOMS Admin'!F21</f>
        <v>27143.199999999997</v>
      </c>
      <c r="G43" s="63">
        <f>'Front Office'!G21+HSKP!G21+Reservation!G21+'ROOMS Admin'!G21</f>
        <v>35690.199999999997</v>
      </c>
      <c r="H43" s="63">
        <f>'Front Office'!H21+HSKP!H21+Reservation!H21+'ROOMS Admin'!H21</f>
        <v>40248.6</v>
      </c>
      <c r="I43" s="63">
        <f>'Front Office'!I21+HSKP!I21+Reservation!I21+'ROOMS Admin'!I21</f>
        <v>41595.399999999994</v>
      </c>
      <c r="J43" s="63">
        <f>'Front Office'!J21+HSKP!J21+Reservation!J21+'ROOMS Admin'!J21</f>
        <v>38694.6</v>
      </c>
      <c r="K43" s="63">
        <f>'Front Office'!K21+HSKP!K21+Reservation!K21+'ROOMS Admin'!K21</f>
        <v>43978.2</v>
      </c>
      <c r="L43" s="63">
        <f>'Front Office'!L21+HSKP!L21+Reservation!L21+'ROOMS Admin'!L21</f>
        <v>44496.2</v>
      </c>
      <c r="M43" s="63">
        <f>'Front Office'!M21+HSKP!M21+Reservation!M21+'ROOMS Admin'!M21</f>
        <v>44910.6</v>
      </c>
      <c r="N43" s="63">
        <f>'Front Office'!N21+HSKP!N21+Reservation!N21+'ROOMS Admin'!N21</f>
        <v>45791.199999999997</v>
      </c>
      <c r="O43" s="63">
        <f>'Front Office'!O21+HSKP!O21+Reservation!O21+'ROOMS Admin'!O21</f>
        <v>43874.6</v>
      </c>
      <c r="P43" s="63">
        <f>'Front Office'!P21+HSKP!P21+Reservation!P21+'ROOMS Admin'!P21</f>
        <v>41906.199999999997</v>
      </c>
      <c r="Q43" s="355">
        <f t="shared" si="12"/>
        <v>478165.8</v>
      </c>
      <c r="R43" s="3">
        <f t="shared" si="11"/>
        <v>10.36</v>
      </c>
      <c r="S43" s="146">
        <f t="shared" si="13"/>
        <v>2.1734342000141016E-2</v>
      </c>
      <c r="T43" s="315">
        <v>13.459187650360867</v>
      </c>
      <c r="U43" s="40"/>
    </row>
    <row r="44" spans="1:21" s="372" customFormat="1" ht="24.95" customHeight="1">
      <c r="A44" s="372" t="s">
        <v>156</v>
      </c>
      <c r="B44" s="373" t="s">
        <v>136</v>
      </c>
      <c r="D44" s="367" t="s">
        <v>1102</v>
      </c>
      <c r="E44" s="63">
        <f>'Front Office'!E22+HSKP!E22+Reservation!E22+'ROOMS Admin'!E22</f>
        <v>0</v>
      </c>
      <c r="F44" s="63">
        <f>'Front Office'!F22+HSKP!F22+Reservation!F22+'ROOMS Admin'!F22</f>
        <v>0</v>
      </c>
      <c r="G44" s="63">
        <f>'Front Office'!G22+HSKP!G22+Reservation!G22+'ROOMS Admin'!G22</f>
        <v>0</v>
      </c>
      <c r="H44" s="63">
        <f>'Front Office'!H22+HSKP!H22+Reservation!H22+'ROOMS Admin'!H22</f>
        <v>0</v>
      </c>
      <c r="I44" s="63">
        <f>'Front Office'!I22+HSKP!I22+Reservation!I22+'ROOMS Admin'!I22</f>
        <v>0</v>
      </c>
      <c r="J44" s="63">
        <f>'Front Office'!J22+HSKP!J22+Reservation!J22+'ROOMS Admin'!J22</f>
        <v>0</v>
      </c>
      <c r="K44" s="63">
        <f>'Front Office'!K22+HSKP!K22+Reservation!K22+'ROOMS Admin'!K22</f>
        <v>0</v>
      </c>
      <c r="L44" s="63">
        <f>'Front Office'!L22+HSKP!L22+Reservation!L22+'ROOMS Admin'!L22</f>
        <v>0</v>
      </c>
      <c r="M44" s="63">
        <f>'Front Office'!M22+HSKP!M22+Reservation!M22+'ROOMS Admin'!M22</f>
        <v>0</v>
      </c>
      <c r="N44" s="63">
        <f>'Front Office'!N22+HSKP!N22+Reservation!N22+'ROOMS Admin'!N22</f>
        <v>0</v>
      </c>
      <c r="O44" s="63">
        <f>'Front Office'!O22+HSKP!O22+Reservation!O22+'ROOMS Admin'!O22</f>
        <v>0</v>
      </c>
      <c r="P44" s="63">
        <f>'Front Office'!P22+HSKP!P22+Reservation!P22+'ROOMS Admin'!P22</f>
        <v>0</v>
      </c>
      <c r="Q44" s="355">
        <f t="shared" si="12"/>
        <v>0</v>
      </c>
      <c r="R44" s="372">
        <f t="shared" si="11"/>
        <v>0</v>
      </c>
      <c r="S44" s="374">
        <f t="shared" si="13"/>
        <v>0</v>
      </c>
      <c r="T44" s="61">
        <v>61.437752606255017</v>
      </c>
      <c r="U44" s="360"/>
    </row>
    <row r="45" spans="1:21" s="3" customFormat="1" ht="24.95" customHeight="1">
      <c r="A45" s="3" t="s">
        <v>158</v>
      </c>
      <c r="B45" s="50" t="s">
        <v>136</v>
      </c>
      <c r="D45" s="26" t="s">
        <v>159</v>
      </c>
      <c r="E45" s="63">
        <f>'Front Office'!E23+HSKP!E23+Reservation!E23+'ROOMS Admin'!E23</f>
        <v>7500</v>
      </c>
      <c r="F45" s="63">
        <f>'Front Office'!F23+HSKP!F23+Reservation!F23+'ROOMS Admin'!F23</f>
        <v>0</v>
      </c>
      <c r="G45" s="63">
        <f>'Front Office'!G23+HSKP!G23+Reservation!G23+'ROOMS Admin'!G23</f>
        <v>0</v>
      </c>
      <c r="H45" s="63">
        <f>'Front Office'!H23+HSKP!H23+Reservation!H23+'ROOMS Admin'!H23</f>
        <v>0</v>
      </c>
      <c r="I45" s="63">
        <f>'Front Office'!I23+HSKP!I23+Reservation!I23+'ROOMS Admin'!I23</f>
        <v>0</v>
      </c>
      <c r="J45" s="63">
        <f>'Front Office'!J23+HSKP!J23+Reservation!J23+'ROOMS Admin'!J23</f>
        <v>0</v>
      </c>
      <c r="K45" s="63">
        <f>'Front Office'!K23+HSKP!K23+Reservation!K23+'ROOMS Admin'!K23</f>
        <v>0</v>
      </c>
      <c r="L45" s="63">
        <f>'Front Office'!L23+HSKP!L23+Reservation!L23+'ROOMS Admin'!L23</f>
        <v>0</v>
      </c>
      <c r="M45" s="63">
        <f>'Front Office'!M23+HSKP!M23+Reservation!M23+'ROOMS Admin'!M23</f>
        <v>0</v>
      </c>
      <c r="N45" s="63">
        <f>'Front Office'!N23+HSKP!N23+Reservation!N23+'ROOMS Admin'!N23</f>
        <v>0</v>
      </c>
      <c r="O45" s="63">
        <f>'Front Office'!O23+HSKP!O23+Reservation!O23+'ROOMS Admin'!O23</f>
        <v>0</v>
      </c>
      <c r="P45" s="63">
        <f>'Front Office'!P23+HSKP!P23+Reservation!P23+'ROOMS Admin'!P23</f>
        <v>7500</v>
      </c>
      <c r="Q45" s="355">
        <f t="shared" si="12"/>
        <v>15000</v>
      </c>
      <c r="R45" s="3">
        <f t="shared" si="11"/>
        <v>0.3249918752031199</v>
      </c>
      <c r="S45" s="146">
        <f t="shared" si="13"/>
        <v>6.8180352924051711E-4</v>
      </c>
      <c r="T45" s="315">
        <v>-0.67407056936647958</v>
      </c>
      <c r="U45" s="115"/>
    </row>
    <row r="46" spans="1:21" s="3" customFormat="1" ht="24.95" customHeight="1">
      <c r="A46" s="3" t="s">
        <v>160</v>
      </c>
      <c r="B46" s="50" t="s">
        <v>136</v>
      </c>
      <c r="D46" s="26" t="s">
        <v>161</v>
      </c>
      <c r="E46" s="63">
        <f>'Front Office'!E24+HSKP!E24+Reservation!E24+'ROOMS Admin'!E24</f>
        <v>4417</v>
      </c>
      <c r="F46" s="63">
        <f>'Front Office'!F24+HSKP!F24+Reservation!F24+'ROOMS Admin'!F24</f>
        <v>4417</v>
      </c>
      <c r="G46" s="63">
        <f>'Front Office'!G24+HSKP!G24+Reservation!G24+'ROOMS Admin'!G24</f>
        <v>4417</v>
      </c>
      <c r="H46" s="63">
        <f>'Front Office'!H24+HSKP!H24+Reservation!H24+'ROOMS Admin'!H24</f>
        <v>4417</v>
      </c>
      <c r="I46" s="63">
        <f>'Front Office'!I24+HSKP!I24+Reservation!I24+'ROOMS Admin'!I24</f>
        <v>4417</v>
      </c>
      <c r="J46" s="63">
        <f>'Front Office'!J24+HSKP!J24+Reservation!J24+'ROOMS Admin'!J24</f>
        <v>4417</v>
      </c>
      <c r="K46" s="63">
        <f>'Front Office'!K24+HSKP!K24+Reservation!K24+'ROOMS Admin'!K24</f>
        <v>4417</v>
      </c>
      <c r="L46" s="63">
        <f>'Front Office'!L24+HSKP!L24+Reservation!L24+'ROOMS Admin'!L24</f>
        <v>4417</v>
      </c>
      <c r="M46" s="63">
        <f>'Front Office'!M24+HSKP!M24+Reservation!M24+'ROOMS Admin'!M24</f>
        <v>4417</v>
      </c>
      <c r="N46" s="63">
        <f>'Front Office'!N24+HSKP!N24+Reservation!N24+'ROOMS Admin'!N24</f>
        <v>4417</v>
      </c>
      <c r="O46" s="63">
        <f>'Front Office'!O24+HSKP!O24+Reservation!O24+'ROOMS Admin'!O24</f>
        <v>4417</v>
      </c>
      <c r="P46" s="63">
        <f>'Front Office'!P24+HSKP!P24+Reservation!P24+'ROOMS Admin'!P24</f>
        <v>4417</v>
      </c>
      <c r="Q46" s="355">
        <f t="shared" si="12"/>
        <v>53004</v>
      </c>
      <c r="R46" s="3">
        <f t="shared" si="11"/>
        <v>1.1483912902177447</v>
      </c>
      <c r="S46" s="146">
        <f t="shared" si="13"/>
        <v>2.4092209509242912E-3</v>
      </c>
      <c r="T46" s="315">
        <v>0.67974779470729751</v>
      </c>
      <c r="U46" s="115"/>
    </row>
    <row r="47" spans="1:21" s="3" customFormat="1" ht="24.95" customHeight="1">
      <c r="A47" s="3" t="s">
        <v>162</v>
      </c>
      <c r="B47" s="50" t="s">
        <v>136</v>
      </c>
      <c r="D47" s="26" t="s">
        <v>163</v>
      </c>
      <c r="E47" s="63">
        <f>'Front Office'!E25+HSKP!E25+Reservation!E25+'ROOMS Admin'!E25</f>
        <v>800</v>
      </c>
      <c r="F47" s="63">
        <f>'Front Office'!F25+HSKP!F25+Reservation!F25+'ROOMS Admin'!F25</f>
        <v>300</v>
      </c>
      <c r="G47" s="63">
        <f>'Front Office'!G25+HSKP!G25+Reservation!G25+'ROOMS Admin'!G25</f>
        <v>300</v>
      </c>
      <c r="H47" s="63">
        <f>'Front Office'!H25+HSKP!H25+Reservation!H25+'ROOMS Admin'!H25</f>
        <v>300</v>
      </c>
      <c r="I47" s="63">
        <f>'Front Office'!I25+HSKP!I25+Reservation!I25+'ROOMS Admin'!I25</f>
        <v>800</v>
      </c>
      <c r="J47" s="63">
        <f>'Front Office'!J25+HSKP!J25+Reservation!J25+'ROOMS Admin'!J25</f>
        <v>600</v>
      </c>
      <c r="K47" s="63">
        <f>'Front Office'!K25+HSKP!K25+Reservation!K25+'ROOMS Admin'!K25</f>
        <v>300</v>
      </c>
      <c r="L47" s="63">
        <f>'Front Office'!L25+HSKP!L25+Reservation!L25+'ROOMS Admin'!L25</f>
        <v>300</v>
      </c>
      <c r="M47" s="63">
        <f>'Front Office'!M25+HSKP!M25+Reservation!M25+'ROOMS Admin'!M25</f>
        <v>600</v>
      </c>
      <c r="N47" s="63">
        <f>'Front Office'!N25+HSKP!N25+Reservation!N25+'ROOMS Admin'!N25</f>
        <v>800</v>
      </c>
      <c r="O47" s="63">
        <f>'Front Office'!O25+HSKP!O25+Reservation!O25+'ROOMS Admin'!O25</f>
        <v>300</v>
      </c>
      <c r="P47" s="63">
        <f>'Front Office'!P25+HSKP!P25+Reservation!P25+'ROOMS Admin'!P25</f>
        <v>600</v>
      </c>
      <c r="Q47" s="355">
        <f t="shared" si="12"/>
        <v>6000</v>
      </c>
      <c r="R47" s="3">
        <f t="shared" si="11"/>
        <v>0.12999675008124797</v>
      </c>
      <c r="S47" s="146">
        <f t="shared" si="13"/>
        <v>2.7272141169620688E-4</v>
      </c>
      <c r="T47" s="315">
        <v>0.13070449077786689</v>
      </c>
      <c r="U47" s="40"/>
    </row>
    <row r="48" spans="1:21" s="3" customFormat="1" ht="24.95" hidden="1" customHeight="1">
      <c r="A48" s="3" t="s">
        <v>164</v>
      </c>
      <c r="B48" s="50" t="s">
        <v>136</v>
      </c>
      <c r="D48" s="26" t="s">
        <v>165</v>
      </c>
      <c r="E48" s="63">
        <f>'Front Office'!E26+HSKP!E26+Reservation!E26+'ROOMS Admin'!E26</f>
        <v>0</v>
      </c>
      <c r="F48" s="63">
        <f>'Front Office'!F26+HSKP!F26+Reservation!F26+'ROOMS Admin'!F26</f>
        <v>0</v>
      </c>
      <c r="G48" s="63">
        <f>'Front Office'!G26+HSKP!G26+Reservation!G26+'ROOMS Admin'!G26</f>
        <v>0</v>
      </c>
      <c r="H48" s="63">
        <f>'Front Office'!H26+HSKP!H26+Reservation!H26+'ROOMS Admin'!H26</f>
        <v>0</v>
      </c>
      <c r="I48" s="63">
        <f>'Front Office'!I26+HSKP!I26+Reservation!I26+'ROOMS Admin'!I26</f>
        <v>0</v>
      </c>
      <c r="J48" s="63">
        <f>'Front Office'!J26+HSKP!J26+Reservation!J26+'ROOMS Admin'!J26</f>
        <v>0</v>
      </c>
      <c r="K48" s="63">
        <f>'Front Office'!K26+HSKP!K26+Reservation!K26+'ROOMS Admin'!K26</f>
        <v>0</v>
      </c>
      <c r="L48" s="63">
        <f>'Front Office'!L26+HSKP!L26+Reservation!L26+'ROOMS Admin'!L26</f>
        <v>0</v>
      </c>
      <c r="M48" s="63">
        <f>'Front Office'!M26+HSKP!M26+Reservation!M26+'ROOMS Admin'!M26</f>
        <v>0</v>
      </c>
      <c r="N48" s="63">
        <f>'Front Office'!N26+HSKP!N26+Reservation!N26+'ROOMS Admin'!N26</f>
        <v>0</v>
      </c>
      <c r="O48" s="63">
        <f>'Front Office'!O26+HSKP!O26+Reservation!O26+'ROOMS Admin'!O26</f>
        <v>0</v>
      </c>
      <c r="P48" s="63">
        <f>'Front Office'!P26+HSKP!P26+Reservation!P26+'ROOMS Admin'!P26</f>
        <v>0</v>
      </c>
      <c r="Q48" s="355">
        <f t="shared" si="12"/>
        <v>0</v>
      </c>
      <c r="R48" s="3">
        <f t="shared" si="11"/>
        <v>0</v>
      </c>
      <c r="S48" s="146">
        <f t="shared" si="13"/>
        <v>0</v>
      </c>
      <c r="T48" s="315">
        <v>0</v>
      </c>
      <c r="U48" s="40"/>
    </row>
    <row r="49" spans="1:21" s="3" customFormat="1" ht="24.95" hidden="1" customHeight="1">
      <c r="A49" s="3" t="s">
        <v>166</v>
      </c>
      <c r="B49" s="50" t="s">
        <v>136</v>
      </c>
      <c r="D49" s="26" t="s">
        <v>167</v>
      </c>
      <c r="E49" s="63">
        <f>'Front Office'!E27+HSKP!E27+Reservation!E27+'ROOMS Admin'!E27</f>
        <v>0</v>
      </c>
      <c r="F49" s="63">
        <f>'Front Office'!F27+HSKP!F27+Reservation!F27+'ROOMS Admin'!F27</f>
        <v>0</v>
      </c>
      <c r="G49" s="63">
        <f>'Front Office'!G27+HSKP!G27+Reservation!G27+'ROOMS Admin'!G27</f>
        <v>0</v>
      </c>
      <c r="H49" s="63">
        <f>'Front Office'!H27+HSKP!H27+Reservation!H27+'ROOMS Admin'!H27</f>
        <v>0</v>
      </c>
      <c r="I49" s="63">
        <f>'Front Office'!I27+HSKP!I27+Reservation!I27+'ROOMS Admin'!I27</f>
        <v>0</v>
      </c>
      <c r="J49" s="63">
        <f>'Front Office'!J27+HSKP!J27+Reservation!J27+'ROOMS Admin'!J27</f>
        <v>0</v>
      </c>
      <c r="K49" s="63">
        <f>'Front Office'!K27+HSKP!K27+Reservation!K27+'ROOMS Admin'!K27</f>
        <v>0</v>
      </c>
      <c r="L49" s="63">
        <f>'Front Office'!L27+HSKP!L27+Reservation!L27+'ROOMS Admin'!L27</f>
        <v>0</v>
      </c>
      <c r="M49" s="63">
        <f>'Front Office'!M27+HSKP!M27+Reservation!M27+'ROOMS Admin'!M27</f>
        <v>0</v>
      </c>
      <c r="N49" s="63">
        <f>'Front Office'!N27+HSKP!N27+Reservation!N27+'ROOMS Admin'!N27</f>
        <v>0</v>
      </c>
      <c r="O49" s="63">
        <f>'Front Office'!O27+HSKP!O27+Reservation!O27+'ROOMS Admin'!O27</f>
        <v>0</v>
      </c>
      <c r="P49" s="63">
        <f>'Front Office'!P27+HSKP!P27+Reservation!P27+'ROOMS Admin'!P27</f>
        <v>0</v>
      </c>
      <c r="Q49" s="355">
        <f t="shared" si="12"/>
        <v>0</v>
      </c>
      <c r="R49" s="3">
        <f t="shared" si="11"/>
        <v>0</v>
      </c>
      <c r="S49" s="146">
        <f t="shared" si="13"/>
        <v>0</v>
      </c>
      <c r="T49" s="315">
        <v>0</v>
      </c>
      <c r="U49" s="40"/>
    </row>
    <row r="50" spans="1:21" s="3" customFormat="1" ht="24.95" hidden="1" customHeight="1">
      <c r="A50" s="3" t="s">
        <v>168</v>
      </c>
      <c r="B50" s="50" t="s">
        <v>136</v>
      </c>
      <c r="D50" s="26" t="s">
        <v>169</v>
      </c>
      <c r="E50" s="63">
        <f>'Front Office'!E28+HSKP!E28+Reservation!E28+'ROOMS Admin'!E28</f>
        <v>0</v>
      </c>
      <c r="F50" s="63">
        <f>'Front Office'!F28+HSKP!F28+Reservation!F28+'ROOMS Admin'!F28</f>
        <v>0</v>
      </c>
      <c r="G50" s="63">
        <f>'Front Office'!G28+HSKP!G28+Reservation!G28+'ROOMS Admin'!G28</f>
        <v>0</v>
      </c>
      <c r="H50" s="63">
        <f>'Front Office'!H28+HSKP!H28+Reservation!H28+'ROOMS Admin'!H28</f>
        <v>0</v>
      </c>
      <c r="I50" s="63">
        <f>'Front Office'!I28+HSKP!I28+Reservation!I28+'ROOMS Admin'!I28</f>
        <v>0</v>
      </c>
      <c r="J50" s="63">
        <f>'Front Office'!J28+HSKP!J28+Reservation!J28+'ROOMS Admin'!J28</f>
        <v>0</v>
      </c>
      <c r="K50" s="63">
        <f>'Front Office'!K28+HSKP!K28+Reservation!K28+'ROOMS Admin'!K28</f>
        <v>0</v>
      </c>
      <c r="L50" s="63">
        <f>'Front Office'!L28+HSKP!L28+Reservation!L28+'ROOMS Admin'!L28</f>
        <v>0</v>
      </c>
      <c r="M50" s="63">
        <f>'Front Office'!M28+HSKP!M28+Reservation!M28+'ROOMS Admin'!M28</f>
        <v>0</v>
      </c>
      <c r="N50" s="63">
        <f>'Front Office'!N28+HSKP!N28+Reservation!N28+'ROOMS Admin'!N28</f>
        <v>0</v>
      </c>
      <c r="O50" s="63">
        <f>'Front Office'!O28+HSKP!O28+Reservation!O28+'ROOMS Admin'!O28</f>
        <v>0</v>
      </c>
      <c r="P50" s="63">
        <f>'Front Office'!P28+HSKP!P28+Reservation!P28+'ROOMS Admin'!P28</f>
        <v>0</v>
      </c>
      <c r="Q50" s="355">
        <f t="shared" si="12"/>
        <v>0</v>
      </c>
      <c r="R50" s="3">
        <f t="shared" si="11"/>
        <v>0</v>
      </c>
      <c r="S50" s="146">
        <f t="shared" si="13"/>
        <v>0</v>
      </c>
      <c r="T50" s="315">
        <v>0</v>
      </c>
      <c r="U50" s="40"/>
    </row>
    <row r="51" spans="1:21" s="3" customFormat="1" ht="24.95" customHeight="1">
      <c r="A51" s="3" t="s">
        <v>170</v>
      </c>
      <c r="B51" s="50" t="s">
        <v>136</v>
      </c>
      <c r="D51" s="26" t="s">
        <v>171</v>
      </c>
      <c r="E51" s="63">
        <f>'Front Office'!E29+HSKP!E29+Reservation!E29+'ROOMS Admin'!E29</f>
        <v>23200</v>
      </c>
      <c r="F51" s="63">
        <f>'Front Office'!F29+HSKP!F29+Reservation!F29+'ROOMS Admin'!F29</f>
        <v>19300</v>
      </c>
      <c r="G51" s="63">
        <f>'Front Office'!G29+HSKP!G29+Reservation!G29+'ROOMS Admin'!G29</f>
        <v>25675</v>
      </c>
      <c r="H51" s="63">
        <f>'Front Office'!H29+HSKP!H29+Reservation!H29+'ROOMS Admin'!H29</f>
        <v>38275</v>
      </c>
      <c r="I51" s="63">
        <f>'Front Office'!I29+HSKP!I29+Reservation!I29+'ROOMS Admin'!I29</f>
        <v>53225</v>
      </c>
      <c r="J51" s="63">
        <f>'Front Office'!J29+HSKP!J29+Reservation!J29+'ROOMS Admin'!J29</f>
        <v>59025</v>
      </c>
      <c r="K51" s="63">
        <f>'Front Office'!K29+HSKP!K29+Reservation!K29+'ROOMS Admin'!K29</f>
        <v>63675</v>
      </c>
      <c r="L51" s="63">
        <f>'Front Office'!L29+HSKP!L29+Reservation!L29+'ROOMS Admin'!L29</f>
        <v>64425</v>
      </c>
      <c r="M51" s="63">
        <f>'Front Office'!M29+HSKP!M29+Reservation!M29+'ROOMS Admin'!M29</f>
        <v>65025</v>
      </c>
      <c r="N51" s="63">
        <f>'Front Office'!N29+HSKP!N29+Reservation!N29+'ROOMS Admin'!N29</f>
        <v>66300</v>
      </c>
      <c r="O51" s="63">
        <f>'Front Office'!O29+HSKP!O29+Reservation!O29+'ROOMS Admin'!O29</f>
        <v>63525</v>
      </c>
      <c r="P51" s="63">
        <f>'Front Office'!P29+HSKP!P29+Reservation!P29+'ROOMS Admin'!P29</f>
        <v>60675</v>
      </c>
      <c r="Q51" s="355">
        <f t="shared" si="12"/>
        <v>602325</v>
      </c>
      <c r="R51" s="3">
        <f t="shared" si="11"/>
        <v>13.050048748781281</v>
      </c>
      <c r="S51" s="146">
        <f t="shared" si="13"/>
        <v>2.7377820716652967E-2</v>
      </c>
      <c r="T51" s="315">
        <v>14.469396150761828</v>
      </c>
      <c r="U51" s="40"/>
    </row>
    <row r="52" spans="1:21" s="3" customFormat="1" ht="24.75" customHeight="1">
      <c r="A52" s="3" t="s">
        <v>172</v>
      </c>
      <c r="B52" s="50" t="s">
        <v>136</v>
      </c>
      <c r="D52" s="26" t="s">
        <v>173</v>
      </c>
      <c r="E52" s="63">
        <f>'Front Office'!E30+HSKP!E30+Reservation!E30+'ROOMS Admin'!E30</f>
        <v>4600</v>
      </c>
      <c r="F52" s="63">
        <f>'Front Office'!F30+HSKP!F30+Reservation!F30+'ROOMS Admin'!F30</f>
        <v>4600</v>
      </c>
      <c r="G52" s="63">
        <f>'Front Office'!G30+HSKP!G30+Reservation!G30+'ROOMS Admin'!G30</f>
        <v>4600</v>
      </c>
      <c r="H52" s="63">
        <f>'Front Office'!H30+HSKP!H30+Reservation!H30+'ROOMS Admin'!H30</f>
        <v>4600</v>
      </c>
      <c r="I52" s="63">
        <f>'Front Office'!I30+HSKP!I30+Reservation!I30+'ROOMS Admin'!I30</f>
        <v>4600</v>
      </c>
      <c r="J52" s="63">
        <f>'Front Office'!J30+HSKP!J30+Reservation!J30+'ROOMS Admin'!J30</f>
        <v>4600</v>
      </c>
      <c r="K52" s="63">
        <f>'Front Office'!K30+HSKP!K30+Reservation!K30+'ROOMS Admin'!K30</f>
        <v>4600</v>
      </c>
      <c r="L52" s="63">
        <f>'Front Office'!L30+HSKP!L30+Reservation!L30+'ROOMS Admin'!L30</f>
        <v>4600</v>
      </c>
      <c r="M52" s="63">
        <f>'Front Office'!M30+HSKP!M30+Reservation!M30+'ROOMS Admin'!M30</f>
        <v>4600</v>
      </c>
      <c r="N52" s="63">
        <f>'Front Office'!N30+HSKP!N30+Reservation!N30+'ROOMS Admin'!N30</f>
        <v>4600</v>
      </c>
      <c r="O52" s="63">
        <f>'Front Office'!O30+HSKP!O30+Reservation!O30+'ROOMS Admin'!O30</f>
        <v>4600</v>
      </c>
      <c r="P52" s="63">
        <f>'Front Office'!P30+HSKP!P30+Reservation!P30+'ROOMS Admin'!P30</f>
        <v>4600</v>
      </c>
      <c r="Q52" s="355">
        <f t="shared" si="12"/>
        <v>55200</v>
      </c>
      <c r="R52" s="3">
        <f t="shared" si="11"/>
        <v>1.1959701007474812</v>
      </c>
      <c r="S52" s="146">
        <f t="shared" si="13"/>
        <v>2.5090369876051032E-3</v>
      </c>
      <c r="T52" s="315">
        <v>3.849435846030473</v>
      </c>
      <c r="U52" s="40"/>
    </row>
    <row r="53" spans="1:21" s="3" customFormat="1" ht="24.95" hidden="1" customHeight="1">
      <c r="A53" s="3" t="s">
        <v>174</v>
      </c>
      <c r="B53" s="50" t="s">
        <v>136</v>
      </c>
      <c r="D53" s="26" t="s">
        <v>175</v>
      </c>
      <c r="E53" s="63">
        <f>'Front Office'!E31+HSKP!E31+Reservation!E31+'ROOMS Admin'!E31</f>
        <v>0</v>
      </c>
      <c r="F53" s="63">
        <f>'Front Office'!F31+HSKP!F31+Reservation!F31+'ROOMS Admin'!F31</f>
        <v>0</v>
      </c>
      <c r="G53" s="63">
        <f>'Front Office'!G31+HSKP!G31+Reservation!G31+'ROOMS Admin'!G31</f>
        <v>0</v>
      </c>
      <c r="H53" s="63">
        <f>'Front Office'!H31+HSKP!H31+Reservation!H31+'ROOMS Admin'!H31</f>
        <v>0</v>
      </c>
      <c r="I53" s="63">
        <f>'Front Office'!I31+HSKP!I31+Reservation!I31+'ROOMS Admin'!I31</f>
        <v>0</v>
      </c>
      <c r="J53" s="63">
        <f>'Front Office'!J31+HSKP!J31+Reservation!J31+'ROOMS Admin'!J31</f>
        <v>0</v>
      </c>
      <c r="K53" s="63">
        <f>'Front Office'!K31+HSKP!K31+Reservation!K31+'ROOMS Admin'!K31</f>
        <v>0</v>
      </c>
      <c r="L53" s="63">
        <f>'Front Office'!L31+HSKP!L31+Reservation!L31+'ROOMS Admin'!L31</f>
        <v>0</v>
      </c>
      <c r="M53" s="63">
        <f>'Front Office'!M31+HSKP!M31+Reservation!M31+'ROOMS Admin'!M31</f>
        <v>0</v>
      </c>
      <c r="N53" s="63">
        <f>'Front Office'!N31+HSKP!N31+Reservation!N31+'ROOMS Admin'!N31</f>
        <v>0</v>
      </c>
      <c r="O53" s="63">
        <f>'Front Office'!O31+HSKP!O31+Reservation!O31+'ROOMS Admin'!O31</f>
        <v>0</v>
      </c>
      <c r="P53" s="63">
        <f>'Front Office'!P31+HSKP!P31+Reservation!P31+'ROOMS Admin'!P31</f>
        <v>0</v>
      </c>
      <c r="Q53" s="355">
        <f t="shared" si="12"/>
        <v>0</v>
      </c>
      <c r="R53" s="3">
        <f t="shared" si="11"/>
        <v>0</v>
      </c>
      <c r="S53" s="146">
        <f t="shared" si="13"/>
        <v>0</v>
      </c>
      <c r="T53" s="315">
        <v>0</v>
      </c>
      <c r="U53" s="40"/>
    </row>
    <row r="54" spans="1:21" s="3" customFormat="1" ht="24.95" customHeight="1">
      <c r="A54" s="3" t="s">
        <v>176</v>
      </c>
      <c r="B54" s="50" t="s">
        <v>136</v>
      </c>
      <c r="D54" s="26" t="s">
        <v>177</v>
      </c>
      <c r="E54" s="63">
        <f>'Front Office'!E32+HSKP!E32+Reservation!E32+'ROOMS Admin'!E32</f>
        <v>2500</v>
      </c>
      <c r="F54" s="63">
        <f>'Front Office'!F32+HSKP!F32+Reservation!F32+'ROOMS Admin'!F32</f>
        <v>2500</v>
      </c>
      <c r="G54" s="63">
        <f>'Front Office'!G32+HSKP!G32+Reservation!G32+'ROOMS Admin'!G32</f>
        <v>2500</v>
      </c>
      <c r="H54" s="63">
        <f>'Front Office'!H32+HSKP!H32+Reservation!H32+'ROOMS Admin'!H32</f>
        <v>2500</v>
      </c>
      <c r="I54" s="63">
        <f>'Front Office'!I32+HSKP!I32+Reservation!I32+'ROOMS Admin'!I32</f>
        <v>2500</v>
      </c>
      <c r="J54" s="63">
        <f>'Front Office'!J32+HSKP!J32+Reservation!J32+'ROOMS Admin'!J32</f>
        <v>2500</v>
      </c>
      <c r="K54" s="63">
        <f>'Front Office'!K32+HSKP!K32+Reservation!K32+'ROOMS Admin'!K32</f>
        <v>2500</v>
      </c>
      <c r="L54" s="63">
        <f>'Front Office'!L32+HSKP!L32+Reservation!L32+'ROOMS Admin'!L32</f>
        <v>2500</v>
      </c>
      <c r="M54" s="63">
        <f>'Front Office'!M32+HSKP!M32+Reservation!M32+'ROOMS Admin'!M32</f>
        <v>2500</v>
      </c>
      <c r="N54" s="63">
        <f>'Front Office'!N32+HSKP!N32+Reservation!N32+'ROOMS Admin'!N32</f>
        <v>2500</v>
      </c>
      <c r="O54" s="63">
        <f>'Front Office'!O32+HSKP!O32+Reservation!O32+'ROOMS Admin'!O32</f>
        <v>2500</v>
      </c>
      <c r="P54" s="63">
        <f>'Front Office'!P32+HSKP!P32+Reservation!P32+'ROOMS Admin'!P32</f>
        <v>2500</v>
      </c>
      <c r="Q54" s="355">
        <f t="shared" si="12"/>
        <v>30000</v>
      </c>
      <c r="R54" s="3">
        <f t="shared" si="11"/>
        <v>0.64998375040623979</v>
      </c>
      <c r="S54" s="146">
        <f t="shared" si="13"/>
        <v>1.3636070584810342E-3</v>
      </c>
      <c r="T54" s="315">
        <v>0.89747393744987969</v>
      </c>
      <c r="U54" s="40"/>
    </row>
    <row r="55" spans="1:21" s="3" customFormat="1" ht="24.95" hidden="1" customHeight="1">
      <c r="A55" s="3" t="s">
        <v>178</v>
      </c>
      <c r="B55" s="50" t="s">
        <v>136</v>
      </c>
      <c r="D55" s="26" t="s">
        <v>179</v>
      </c>
      <c r="E55" s="63">
        <f>'Front Office'!E33+HSKP!E33+Reservation!E33+'ROOMS Admin'!E33</f>
        <v>0</v>
      </c>
      <c r="F55" s="63">
        <f>'Front Office'!F33+HSKP!F33+Reservation!F33+'ROOMS Admin'!F33</f>
        <v>0</v>
      </c>
      <c r="G55" s="63">
        <f>'Front Office'!G33+HSKP!G33+Reservation!G33+'ROOMS Admin'!G33</f>
        <v>0</v>
      </c>
      <c r="H55" s="63">
        <f>'Front Office'!H33+HSKP!H33+Reservation!H33+'ROOMS Admin'!H33</f>
        <v>0</v>
      </c>
      <c r="I55" s="63">
        <f>'Front Office'!I33+HSKP!I33+Reservation!I33+'ROOMS Admin'!I33</f>
        <v>0</v>
      </c>
      <c r="J55" s="63">
        <f>'Front Office'!J33+HSKP!J33+Reservation!J33+'ROOMS Admin'!J33</f>
        <v>0</v>
      </c>
      <c r="K55" s="63">
        <f>'Front Office'!K33+HSKP!K33+Reservation!K33+'ROOMS Admin'!K33</f>
        <v>0</v>
      </c>
      <c r="L55" s="63">
        <f>'Front Office'!L33+HSKP!L33+Reservation!L33+'ROOMS Admin'!L33</f>
        <v>0</v>
      </c>
      <c r="M55" s="63">
        <f>'Front Office'!M33+HSKP!M33+Reservation!M33+'ROOMS Admin'!M33</f>
        <v>0</v>
      </c>
      <c r="N55" s="63">
        <f>'Front Office'!N33+HSKP!N33+Reservation!N33+'ROOMS Admin'!N33</f>
        <v>0</v>
      </c>
      <c r="O55" s="63">
        <f>'Front Office'!O33+HSKP!O33+Reservation!O33+'ROOMS Admin'!O33</f>
        <v>0</v>
      </c>
      <c r="P55" s="63">
        <f>'Front Office'!P33+HSKP!P33+Reservation!P33+'ROOMS Admin'!P33</f>
        <v>0</v>
      </c>
      <c r="Q55" s="355">
        <f t="shared" si="12"/>
        <v>0</v>
      </c>
      <c r="R55" s="3">
        <f t="shared" si="11"/>
        <v>0</v>
      </c>
      <c r="S55" s="146">
        <f t="shared" si="13"/>
        <v>0</v>
      </c>
      <c r="T55" s="315">
        <v>0</v>
      </c>
      <c r="U55" s="40"/>
    </row>
    <row r="56" spans="1:21" s="3" customFormat="1" ht="24.75" customHeight="1">
      <c r="A56" s="3" t="s">
        <v>180</v>
      </c>
      <c r="B56" s="50" t="s">
        <v>136</v>
      </c>
      <c r="D56" s="26" t="s">
        <v>181</v>
      </c>
      <c r="E56" s="63">
        <f>'Front Office'!E34+HSKP!E34+Reservation!E34+'ROOMS Admin'!E34</f>
        <v>3529.6</v>
      </c>
      <c r="F56" s="63">
        <f>'Front Office'!F34+HSKP!F34+Reservation!F34+'ROOMS Admin'!F34</f>
        <v>3030.4</v>
      </c>
      <c r="G56" s="63">
        <f>'Front Office'!G34+HSKP!G34+Reservation!G34+'ROOMS Admin'!G34</f>
        <v>5614.4</v>
      </c>
      <c r="H56" s="63">
        <f>'Front Office'!H34+HSKP!H34+Reservation!H34+'ROOMS Admin'!H34</f>
        <v>7459.2</v>
      </c>
      <c r="I56" s="63">
        <f>'Front Office'!I34+HSKP!I34+Reservation!I34+'ROOMS Admin'!I34</f>
        <v>7708.7999999999993</v>
      </c>
      <c r="J56" s="63">
        <f>'Front Office'!J34+HSKP!J34+Reservation!J34+'ROOMS Admin'!J34</f>
        <v>7171.2</v>
      </c>
      <c r="K56" s="63">
        <f>'Front Office'!K34+HSKP!K34+Reservation!K34+'ROOMS Admin'!K34</f>
        <v>8150.4</v>
      </c>
      <c r="L56" s="63">
        <f>'Front Office'!L34+HSKP!L34+Reservation!L34+'ROOMS Admin'!L34</f>
        <v>8246.4</v>
      </c>
      <c r="M56" s="63">
        <f>'Front Office'!M34+HSKP!M34+Reservation!M34+'ROOMS Admin'!M34</f>
        <v>8323.1999999999989</v>
      </c>
      <c r="N56" s="63">
        <f>'Front Office'!N34+HSKP!N34+Reservation!N34+'ROOMS Admin'!N34</f>
        <v>8486.4</v>
      </c>
      <c r="O56" s="63">
        <f>'Front Office'!O34+HSKP!O34+Reservation!O34+'ROOMS Admin'!O34</f>
        <v>8131.2</v>
      </c>
      <c r="P56" s="63">
        <f>'Front Office'!P34+HSKP!P34+Reservation!P34+'ROOMS Admin'!P34</f>
        <v>7766.4</v>
      </c>
      <c r="Q56" s="355">
        <f t="shared" si="12"/>
        <v>83617.599999999991</v>
      </c>
      <c r="R56" s="3">
        <f t="shared" si="11"/>
        <v>1.8116693749322932</v>
      </c>
      <c r="S56" s="146">
        <f t="shared" si="13"/>
        <v>3.8007183191081238E-3</v>
      </c>
      <c r="T56" s="315">
        <v>1.5285797914995989</v>
      </c>
      <c r="U56" s="40"/>
    </row>
    <row r="57" spans="1:21" s="3" customFormat="1" ht="24.95" hidden="1" customHeight="1">
      <c r="A57" s="3" t="s">
        <v>182</v>
      </c>
      <c r="B57" s="50" t="s">
        <v>136</v>
      </c>
      <c r="D57" s="26" t="s">
        <v>183</v>
      </c>
      <c r="E57" s="63">
        <f>'Front Office'!E35+HSKP!E35+Reservation!E35+'ROOMS Admin'!E35</f>
        <v>0</v>
      </c>
      <c r="F57" s="63">
        <f>'Front Office'!F35+HSKP!F35+Reservation!F35+'ROOMS Admin'!F35</f>
        <v>0</v>
      </c>
      <c r="G57" s="63">
        <f>'Front Office'!G35+HSKP!G35+Reservation!G35+'ROOMS Admin'!G35</f>
        <v>0</v>
      </c>
      <c r="H57" s="63">
        <f>'Front Office'!H35+HSKP!H35+Reservation!H35+'ROOMS Admin'!H35</f>
        <v>0</v>
      </c>
      <c r="I57" s="63">
        <f>'Front Office'!I35+HSKP!I35+Reservation!I35+'ROOMS Admin'!I35</f>
        <v>0</v>
      </c>
      <c r="J57" s="63">
        <f>'Front Office'!J35+HSKP!J35+Reservation!J35+'ROOMS Admin'!J35</f>
        <v>0</v>
      </c>
      <c r="K57" s="63">
        <f>'Front Office'!K35+HSKP!K35+Reservation!K35+'ROOMS Admin'!K35</f>
        <v>0</v>
      </c>
      <c r="L57" s="63">
        <f>'Front Office'!L35+HSKP!L35+Reservation!L35+'ROOMS Admin'!L35</f>
        <v>0</v>
      </c>
      <c r="M57" s="63">
        <f>'Front Office'!M35+HSKP!M35+Reservation!M35+'ROOMS Admin'!M35</f>
        <v>0</v>
      </c>
      <c r="N57" s="63">
        <f>'Front Office'!N35+HSKP!N35+Reservation!N35+'ROOMS Admin'!N35</f>
        <v>0</v>
      </c>
      <c r="O57" s="63">
        <f>'Front Office'!O35+HSKP!O35+Reservation!O35+'ROOMS Admin'!O35</f>
        <v>0</v>
      </c>
      <c r="P57" s="63">
        <f>'Front Office'!P35+HSKP!P35+Reservation!P35+'ROOMS Admin'!P35</f>
        <v>0</v>
      </c>
      <c r="Q57" s="355">
        <f t="shared" si="12"/>
        <v>0</v>
      </c>
      <c r="R57" s="3">
        <f t="shared" si="11"/>
        <v>0</v>
      </c>
      <c r="S57" s="146">
        <f t="shared" si="13"/>
        <v>0</v>
      </c>
      <c r="T57" s="315">
        <v>0</v>
      </c>
      <c r="U57" s="40"/>
    </row>
    <row r="58" spans="1:21" s="3" customFormat="1" ht="24.95" customHeight="1">
      <c r="A58" s="3" t="s">
        <v>184</v>
      </c>
      <c r="B58" s="50" t="s">
        <v>136</v>
      </c>
      <c r="D58" s="26" t="s">
        <v>185</v>
      </c>
      <c r="E58" s="63">
        <f>'Front Office'!E36+HSKP!E36+Reservation!E36+'ROOMS Admin'!E36</f>
        <v>0</v>
      </c>
      <c r="F58" s="63">
        <f>'Front Office'!F36+HSKP!F36+Reservation!F36+'ROOMS Admin'!F36</f>
        <v>0</v>
      </c>
      <c r="G58" s="63">
        <f>'Front Office'!G36+HSKP!G36+Reservation!G36+'ROOMS Admin'!G36</f>
        <v>0</v>
      </c>
      <c r="H58" s="63">
        <f>'Front Office'!H36+HSKP!H36+Reservation!H36+'ROOMS Admin'!H36</f>
        <v>400</v>
      </c>
      <c r="I58" s="63">
        <f>'Front Office'!I36+HSKP!I36+Reservation!I36+'ROOMS Admin'!I36</f>
        <v>800</v>
      </c>
      <c r="J58" s="63">
        <f>'Front Office'!J36+HSKP!J36+Reservation!J36+'ROOMS Admin'!J36</f>
        <v>800</v>
      </c>
      <c r="K58" s="63">
        <f>'Front Office'!K36+HSKP!K36+Reservation!K36+'ROOMS Admin'!K36</f>
        <v>800</v>
      </c>
      <c r="L58" s="63">
        <f>'Front Office'!L36+HSKP!L36+Reservation!L36+'ROOMS Admin'!L36</f>
        <v>400</v>
      </c>
      <c r="M58" s="63">
        <f>'Front Office'!M36+HSKP!M36+Reservation!M36+'ROOMS Admin'!M36</f>
        <v>400</v>
      </c>
      <c r="N58" s="63">
        <f>'Front Office'!N36+HSKP!N36+Reservation!N36+'ROOMS Admin'!N36</f>
        <v>400</v>
      </c>
      <c r="O58" s="63">
        <f>'Front Office'!O36+HSKP!O36+Reservation!O36+'ROOMS Admin'!O36</f>
        <v>400</v>
      </c>
      <c r="P58" s="63">
        <f>'Front Office'!P36+HSKP!P36+Reservation!P36+'ROOMS Admin'!P36</f>
        <v>400</v>
      </c>
      <c r="Q58" s="355">
        <f t="shared" si="12"/>
        <v>4800</v>
      </c>
      <c r="R58" s="3">
        <f t="shared" si="11"/>
        <v>0.10399740006499837</v>
      </c>
      <c r="S58" s="146">
        <f t="shared" si="13"/>
        <v>2.181771293569655E-4</v>
      </c>
      <c r="T58" s="315">
        <v>0</v>
      </c>
      <c r="U58" s="40"/>
    </row>
    <row r="59" spans="1:21" s="3" customFormat="1" ht="24.95" customHeight="1">
      <c r="A59" s="3" t="s">
        <v>186</v>
      </c>
      <c r="B59" s="50" t="s">
        <v>136</v>
      </c>
      <c r="D59" s="26" t="s">
        <v>187</v>
      </c>
      <c r="E59" s="63">
        <f>'Front Office'!E37+HSKP!E37+Reservation!E37+'ROOMS Admin'!E37</f>
        <v>0</v>
      </c>
      <c r="F59" s="63">
        <f>'Front Office'!F37+HSKP!F37+Reservation!F37+'ROOMS Admin'!F37</f>
        <v>0</v>
      </c>
      <c r="G59" s="63">
        <f>'Front Office'!G37+HSKP!G37+Reservation!G37+'ROOMS Admin'!G37</f>
        <v>0</v>
      </c>
      <c r="H59" s="63">
        <f>'Front Office'!H37+HSKP!H37+Reservation!H37+'ROOMS Admin'!H37</f>
        <v>1200</v>
      </c>
      <c r="I59" s="63">
        <f>'Front Office'!I37+HSKP!I37+Reservation!I37+'ROOMS Admin'!I37</f>
        <v>2400</v>
      </c>
      <c r="J59" s="63">
        <f>'Front Office'!J37+HSKP!J37+Reservation!J37+'ROOMS Admin'!J37</f>
        <v>2400</v>
      </c>
      <c r="K59" s="63">
        <f>'Front Office'!K37+HSKP!K37+Reservation!K37+'ROOMS Admin'!K37</f>
        <v>2400</v>
      </c>
      <c r="L59" s="63">
        <f>'Front Office'!L37+HSKP!L37+Reservation!L37+'ROOMS Admin'!L37</f>
        <v>1200</v>
      </c>
      <c r="M59" s="63">
        <f>'Front Office'!M37+HSKP!M37+Reservation!M37+'ROOMS Admin'!M37</f>
        <v>1200</v>
      </c>
      <c r="N59" s="63">
        <f>'Front Office'!N37+HSKP!N37+Reservation!N37+'ROOMS Admin'!N37</f>
        <v>1200</v>
      </c>
      <c r="O59" s="63">
        <f>'Front Office'!O37+HSKP!O37+Reservation!O37+'ROOMS Admin'!O37</f>
        <v>1200</v>
      </c>
      <c r="P59" s="63">
        <f>'Front Office'!P37+HSKP!P37+Reservation!P37+'ROOMS Admin'!P37</f>
        <v>1200</v>
      </c>
      <c r="Q59" s="355">
        <f t="shared" si="12"/>
        <v>14400</v>
      </c>
      <c r="R59" s="3">
        <f t="shared" si="11"/>
        <v>0.31199220019499513</v>
      </c>
      <c r="S59" s="146">
        <f t="shared" si="13"/>
        <v>6.5453138807089646E-4</v>
      </c>
      <c r="T59" s="315">
        <v>1.3662389735364875E-2</v>
      </c>
      <c r="U59" s="40"/>
    </row>
    <row r="60" spans="1:21" s="3" customFormat="1" ht="24.95" hidden="1" customHeight="1">
      <c r="A60" s="3" t="s">
        <v>188</v>
      </c>
      <c r="B60" s="50" t="s">
        <v>136</v>
      </c>
      <c r="D60" s="26" t="s">
        <v>189</v>
      </c>
      <c r="E60" s="63">
        <f>'Front Office'!E38+HSKP!E38+Reservation!E38+'ROOMS Admin'!E38</f>
        <v>0</v>
      </c>
      <c r="F60" s="63">
        <f>'Front Office'!F38+HSKP!F38+Reservation!F38+'ROOMS Admin'!F38</f>
        <v>0</v>
      </c>
      <c r="G60" s="63">
        <f>'Front Office'!G38+HSKP!G38+Reservation!G38+'ROOMS Admin'!G38</f>
        <v>0</v>
      </c>
      <c r="H60" s="63">
        <f>'Front Office'!H38+HSKP!H38+Reservation!H38+'ROOMS Admin'!H38</f>
        <v>0</v>
      </c>
      <c r="I60" s="63">
        <f>'Front Office'!I38+HSKP!I38+Reservation!I38+'ROOMS Admin'!I38</f>
        <v>0</v>
      </c>
      <c r="J60" s="63">
        <f>'Front Office'!J38+HSKP!J38+Reservation!J38+'ROOMS Admin'!J38</f>
        <v>0</v>
      </c>
      <c r="K60" s="63">
        <f>'Front Office'!K38+HSKP!K38+Reservation!K38+'ROOMS Admin'!K38</f>
        <v>0</v>
      </c>
      <c r="L60" s="63">
        <f>'Front Office'!L38+HSKP!L38+Reservation!L38+'ROOMS Admin'!L38</f>
        <v>0</v>
      </c>
      <c r="M60" s="63">
        <f>'Front Office'!M38+HSKP!M38+Reservation!M38+'ROOMS Admin'!M38</f>
        <v>0</v>
      </c>
      <c r="N60" s="63">
        <f>'Front Office'!N38+HSKP!N38+Reservation!N38+'ROOMS Admin'!N38</f>
        <v>0</v>
      </c>
      <c r="O60" s="63">
        <f>'Front Office'!O38+HSKP!O38+Reservation!O38+'ROOMS Admin'!O38</f>
        <v>0</v>
      </c>
      <c r="P60" s="63">
        <f>'Front Office'!P38+HSKP!P38+Reservation!P38+'ROOMS Admin'!P38</f>
        <v>0</v>
      </c>
      <c r="Q60" s="355">
        <f t="shared" si="12"/>
        <v>0</v>
      </c>
      <c r="R60" s="3">
        <f t="shared" si="11"/>
        <v>0</v>
      </c>
      <c r="S60" s="146">
        <f t="shared" si="13"/>
        <v>0</v>
      </c>
      <c r="T60" s="315">
        <v>0</v>
      </c>
      <c r="U60" s="40"/>
    </row>
    <row r="61" spans="1:21" s="3" customFormat="1" ht="24.95" customHeight="1">
      <c r="A61" s="3" t="s">
        <v>190</v>
      </c>
      <c r="B61" s="50" t="s">
        <v>136</v>
      </c>
      <c r="D61" s="26" t="s">
        <v>1182</v>
      </c>
      <c r="E61" s="63">
        <f>'Front Office'!E39+HSKP!E39+Reservation!E39+'ROOMS Admin'!E39</f>
        <v>1950</v>
      </c>
      <c r="F61" s="63">
        <f>'Front Office'!F39+HSKP!F39+Reservation!F39+'ROOMS Admin'!F39</f>
        <v>1950</v>
      </c>
      <c r="G61" s="63">
        <f>'Front Office'!G39+HSKP!G39+Reservation!G39+'ROOMS Admin'!G39</f>
        <v>1950</v>
      </c>
      <c r="H61" s="63">
        <f>'Front Office'!H39+HSKP!H39+Reservation!H39+'ROOMS Admin'!H39</f>
        <v>3867</v>
      </c>
      <c r="I61" s="63">
        <f>'Front Office'!I39+HSKP!I39+Reservation!I39+'ROOMS Admin'!I39</f>
        <v>3867</v>
      </c>
      <c r="J61" s="63">
        <f>'Front Office'!J39+HSKP!J39+Reservation!J39+'ROOMS Admin'!J39</f>
        <v>5784</v>
      </c>
      <c r="K61" s="63">
        <f>'Front Office'!K39+HSKP!K39+Reservation!K39+'ROOMS Admin'!K39</f>
        <v>5784</v>
      </c>
      <c r="L61" s="63">
        <f>'Front Office'!L39+HSKP!L39+Reservation!L39+'ROOMS Admin'!L39</f>
        <v>5784</v>
      </c>
      <c r="M61" s="63">
        <f>'Front Office'!M39+HSKP!M39+Reservation!M39+'ROOMS Admin'!M39</f>
        <v>3867</v>
      </c>
      <c r="N61" s="63">
        <f>'Front Office'!N39+HSKP!N39+Reservation!N39+'ROOMS Admin'!N39</f>
        <v>3867</v>
      </c>
      <c r="O61" s="63">
        <f>'Front Office'!O39+HSKP!O39+Reservation!O39+'ROOMS Admin'!O39</f>
        <v>3867</v>
      </c>
      <c r="P61" s="63">
        <f>'Front Office'!P39+HSKP!P39+Reservation!P39+'ROOMS Admin'!P39</f>
        <v>3867</v>
      </c>
      <c r="Q61" s="355">
        <f t="shared" si="12"/>
        <v>46404</v>
      </c>
      <c r="R61" s="3">
        <f t="shared" si="11"/>
        <v>1.0053948651283717</v>
      </c>
      <c r="S61" s="146">
        <f t="shared" si="13"/>
        <v>2.1092273980584638E-3</v>
      </c>
      <c r="T61" s="315">
        <v>0.98241058540497195</v>
      </c>
      <c r="U61" s="40"/>
    </row>
    <row r="62" spans="1:21" s="3" customFormat="1" ht="24.95" hidden="1" customHeight="1">
      <c r="A62" s="3" t="s">
        <v>192</v>
      </c>
      <c r="B62" s="50" t="s">
        <v>136</v>
      </c>
      <c r="D62" s="26" t="s">
        <v>193</v>
      </c>
      <c r="E62" s="63">
        <f>'Front Office'!E40+HSKP!E40+Reservation!E40+'ROOMS Admin'!E40</f>
        <v>0</v>
      </c>
      <c r="F62" s="63">
        <f>'Front Office'!F40+HSKP!F40+Reservation!F40+'ROOMS Admin'!F40</f>
        <v>0</v>
      </c>
      <c r="G62" s="63">
        <f>'Front Office'!G40+HSKP!G40+Reservation!G40+'ROOMS Admin'!G40</f>
        <v>0</v>
      </c>
      <c r="H62" s="63">
        <f>'Front Office'!H40+HSKP!H40+Reservation!H40+'ROOMS Admin'!H40</f>
        <v>0</v>
      </c>
      <c r="I62" s="63">
        <f>'Front Office'!I40+HSKP!I40+Reservation!I40+'ROOMS Admin'!I40</f>
        <v>0</v>
      </c>
      <c r="J62" s="63">
        <f>'Front Office'!J40+HSKP!J40+Reservation!J40+'ROOMS Admin'!J40</f>
        <v>0</v>
      </c>
      <c r="K62" s="63">
        <f>'Front Office'!K40+HSKP!K40+Reservation!K40+'ROOMS Admin'!K40</f>
        <v>0</v>
      </c>
      <c r="L62" s="63">
        <f>'Front Office'!L40+HSKP!L40+Reservation!L40+'ROOMS Admin'!L40</f>
        <v>0</v>
      </c>
      <c r="M62" s="63">
        <f>'Front Office'!M40+HSKP!M40+Reservation!M40+'ROOMS Admin'!M40</f>
        <v>0</v>
      </c>
      <c r="N62" s="63">
        <f>'Front Office'!N40+HSKP!N40+Reservation!N40+'ROOMS Admin'!N40</f>
        <v>0</v>
      </c>
      <c r="O62" s="63">
        <f>'Front Office'!O40+HSKP!O40+Reservation!O40+'ROOMS Admin'!O40</f>
        <v>0</v>
      </c>
      <c r="P62" s="63">
        <f>'Front Office'!P40+HSKP!P40+Reservation!P40+'ROOMS Admin'!P40</f>
        <v>0</v>
      </c>
      <c r="Q62" s="355">
        <f t="shared" si="12"/>
        <v>0</v>
      </c>
      <c r="R62" s="3">
        <f t="shared" si="11"/>
        <v>0</v>
      </c>
      <c r="S62" s="146">
        <f t="shared" si="13"/>
        <v>0</v>
      </c>
      <c r="T62" s="315">
        <v>0</v>
      </c>
      <c r="U62" s="40"/>
    </row>
    <row r="63" spans="1:21" s="3" customFormat="1" ht="24.95" customHeight="1">
      <c r="A63" s="3" t="s">
        <v>194</v>
      </c>
      <c r="B63" s="50" t="s">
        <v>136</v>
      </c>
      <c r="D63" s="26" t="s">
        <v>195</v>
      </c>
      <c r="E63" s="63">
        <f>'Front Office'!E41+HSKP!E41+Reservation!E41+'ROOMS Admin'!E41</f>
        <v>0</v>
      </c>
      <c r="F63" s="63">
        <f>'Front Office'!F41+HSKP!F41+Reservation!F41+'ROOMS Admin'!F41</f>
        <v>0</v>
      </c>
      <c r="G63" s="63">
        <f>'Front Office'!G41+HSKP!G41+Reservation!G41+'ROOMS Admin'!G41</f>
        <v>0</v>
      </c>
      <c r="H63" s="63">
        <f>'Front Office'!H41+HSKP!H41+Reservation!H41+'ROOMS Admin'!H41</f>
        <v>0</v>
      </c>
      <c r="I63" s="63">
        <f>'Front Office'!I41+HSKP!I41+Reservation!I41+'ROOMS Admin'!I41</f>
        <v>0</v>
      </c>
      <c r="J63" s="63">
        <f>'Front Office'!J41+HSKP!J41+Reservation!J41+'ROOMS Admin'!J41</f>
        <v>0</v>
      </c>
      <c r="K63" s="63">
        <f>'Front Office'!K41+HSKP!K41+Reservation!K41+'ROOMS Admin'!K41</f>
        <v>0</v>
      </c>
      <c r="L63" s="63">
        <f>'Front Office'!L41+HSKP!L41+Reservation!L41+'ROOMS Admin'!L41</f>
        <v>0</v>
      </c>
      <c r="M63" s="63">
        <f>'Front Office'!M41+HSKP!M41+Reservation!M41+'ROOMS Admin'!M41</f>
        <v>0</v>
      </c>
      <c r="N63" s="63">
        <f>'Front Office'!N41+HSKP!N41+Reservation!N41+'ROOMS Admin'!N41</f>
        <v>0</v>
      </c>
      <c r="O63" s="63">
        <f>'Front Office'!O41+HSKP!O41+Reservation!O41+'ROOMS Admin'!O41</f>
        <v>0</v>
      </c>
      <c r="P63" s="63">
        <f>'Front Office'!P41+HSKP!P41+Reservation!P41+'ROOMS Admin'!P41</f>
        <v>0</v>
      </c>
      <c r="Q63" s="355">
        <f t="shared" si="12"/>
        <v>0</v>
      </c>
      <c r="R63" s="3">
        <f t="shared" si="11"/>
        <v>0</v>
      </c>
      <c r="S63" s="146">
        <f t="shared" si="13"/>
        <v>0</v>
      </c>
      <c r="T63" s="315">
        <v>0</v>
      </c>
      <c r="U63" s="40"/>
    </row>
    <row r="64" spans="1:21" s="3" customFormat="1" ht="24.95" customHeight="1">
      <c r="A64" s="3" t="s">
        <v>196</v>
      </c>
      <c r="B64" s="50" t="s">
        <v>136</v>
      </c>
      <c r="D64" s="26" t="s">
        <v>197</v>
      </c>
      <c r="E64" s="63">
        <f>'Front Office'!E42+HSKP!E42+Reservation!E42+'ROOMS Admin'!E42</f>
        <v>880</v>
      </c>
      <c r="F64" s="63">
        <f>'Front Office'!F42+HSKP!F42+Reservation!F42+'ROOMS Admin'!F42</f>
        <v>880</v>
      </c>
      <c r="G64" s="63">
        <f>'Front Office'!G42+HSKP!G42+Reservation!G42+'ROOMS Admin'!G42</f>
        <v>880</v>
      </c>
      <c r="H64" s="63">
        <f>'Front Office'!H42+HSKP!H42+Reservation!H42+'ROOMS Admin'!H42</f>
        <v>880</v>
      </c>
      <c r="I64" s="63">
        <f>'Front Office'!I42+HSKP!I42+Reservation!I42+'ROOMS Admin'!I42</f>
        <v>880</v>
      </c>
      <c r="J64" s="63">
        <f>'Front Office'!J42+HSKP!J42+Reservation!J42+'ROOMS Admin'!J42</f>
        <v>880</v>
      </c>
      <c r="K64" s="63">
        <f>'Front Office'!K42+HSKP!K42+Reservation!K42+'ROOMS Admin'!K42</f>
        <v>880</v>
      </c>
      <c r="L64" s="63">
        <f>'Front Office'!L42+HSKP!L42+Reservation!L42+'ROOMS Admin'!L42</f>
        <v>880</v>
      </c>
      <c r="M64" s="63">
        <f>'Front Office'!M42+HSKP!M42+Reservation!M42+'ROOMS Admin'!M42</f>
        <v>880</v>
      </c>
      <c r="N64" s="63">
        <f>'Front Office'!N42+HSKP!N42+Reservation!N42+'ROOMS Admin'!N42</f>
        <v>880</v>
      </c>
      <c r="O64" s="63">
        <f>'Front Office'!O42+HSKP!O42+Reservation!O42+'ROOMS Admin'!O42</f>
        <v>880</v>
      </c>
      <c r="P64" s="63">
        <f>'Front Office'!P42+HSKP!P42+Reservation!P42+'ROOMS Admin'!P42</f>
        <v>880</v>
      </c>
      <c r="Q64" s="355">
        <f t="shared" si="12"/>
        <v>10560</v>
      </c>
      <c r="R64" s="3">
        <f t="shared" si="11"/>
        <v>0.22879428014299644</v>
      </c>
      <c r="S64" s="146">
        <f t="shared" si="13"/>
        <v>4.7998968458532409E-4</v>
      </c>
      <c r="T64" s="315">
        <v>0.32077024859663195</v>
      </c>
      <c r="U64" s="40"/>
    </row>
    <row r="65" spans="1:21" s="3" customFormat="1" ht="24.95" hidden="1" customHeight="1">
      <c r="A65" s="3" t="s">
        <v>198</v>
      </c>
      <c r="B65" s="50" t="s">
        <v>136</v>
      </c>
      <c r="D65" s="26" t="s">
        <v>199</v>
      </c>
      <c r="E65" s="63">
        <f>'Front Office'!E43+HSKP!E43+Reservation!E43+'ROOMS Admin'!E43</f>
        <v>0</v>
      </c>
      <c r="F65" s="63">
        <f>'Front Office'!F43+HSKP!F43+Reservation!F43+'ROOMS Admin'!F43</f>
        <v>0</v>
      </c>
      <c r="G65" s="63">
        <f>'Front Office'!G43+HSKP!G43+Reservation!G43+'ROOMS Admin'!G43</f>
        <v>0</v>
      </c>
      <c r="H65" s="63">
        <f>'Front Office'!H43+HSKP!H43+Reservation!H43+'ROOMS Admin'!H43</f>
        <v>0</v>
      </c>
      <c r="I65" s="63">
        <f>'Front Office'!I43+HSKP!I43+Reservation!I43+'ROOMS Admin'!I43</f>
        <v>0</v>
      </c>
      <c r="J65" s="63">
        <f>'Front Office'!J43+HSKP!J43+Reservation!J43+'ROOMS Admin'!J43</f>
        <v>0</v>
      </c>
      <c r="K65" s="63">
        <f>'Front Office'!K43+HSKP!K43+Reservation!K43+'ROOMS Admin'!K43</f>
        <v>0</v>
      </c>
      <c r="L65" s="63">
        <f>'Front Office'!L43+HSKP!L43+Reservation!L43+'ROOMS Admin'!L43</f>
        <v>0</v>
      </c>
      <c r="M65" s="63">
        <f>'Front Office'!M43+HSKP!M43+Reservation!M43+'ROOMS Admin'!M43</f>
        <v>0</v>
      </c>
      <c r="N65" s="63">
        <f>'Front Office'!N43+HSKP!N43+Reservation!N43+'ROOMS Admin'!N43</f>
        <v>0</v>
      </c>
      <c r="O65" s="63">
        <f>'Front Office'!O43+HSKP!O43+Reservation!O43+'ROOMS Admin'!O43</f>
        <v>0</v>
      </c>
      <c r="P65" s="63">
        <f>'Front Office'!P43+HSKP!P43+Reservation!P43+'ROOMS Admin'!P43</f>
        <v>0</v>
      </c>
      <c r="Q65" s="355">
        <f t="shared" si="12"/>
        <v>0</v>
      </c>
      <c r="R65" s="3">
        <f t="shared" si="11"/>
        <v>0</v>
      </c>
      <c r="S65" s="146">
        <f t="shared" si="13"/>
        <v>0</v>
      </c>
      <c r="T65" s="315">
        <v>0</v>
      </c>
      <c r="U65" s="40"/>
    </row>
    <row r="66" spans="1:21" s="3" customFormat="1" ht="24.95" hidden="1" customHeight="1">
      <c r="A66" s="3" t="s">
        <v>200</v>
      </c>
      <c r="B66" s="50" t="s">
        <v>136</v>
      </c>
      <c r="D66" s="26" t="s">
        <v>201</v>
      </c>
      <c r="E66" s="63">
        <f>'Front Office'!E44+HSKP!E44+Reservation!E44+'ROOMS Admin'!E44</f>
        <v>0</v>
      </c>
      <c r="F66" s="63">
        <f>'Front Office'!F44+HSKP!F44+Reservation!F44+'ROOMS Admin'!F44</f>
        <v>0</v>
      </c>
      <c r="G66" s="63">
        <f>'Front Office'!G44+HSKP!G44+Reservation!G44+'ROOMS Admin'!G44</f>
        <v>0</v>
      </c>
      <c r="H66" s="63">
        <f>'Front Office'!H44+HSKP!H44+Reservation!H44+'ROOMS Admin'!H44</f>
        <v>0</v>
      </c>
      <c r="I66" s="63">
        <f>'Front Office'!I44+HSKP!I44+Reservation!I44+'ROOMS Admin'!I44</f>
        <v>0</v>
      </c>
      <c r="J66" s="63">
        <f>'Front Office'!J44+HSKP!J44+Reservation!J44+'ROOMS Admin'!J44</f>
        <v>0</v>
      </c>
      <c r="K66" s="63">
        <f>'Front Office'!K44+HSKP!K44+Reservation!K44+'ROOMS Admin'!K44</f>
        <v>0</v>
      </c>
      <c r="L66" s="63">
        <f>'Front Office'!L44+HSKP!L44+Reservation!L44+'ROOMS Admin'!L44</f>
        <v>0</v>
      </c>
      <c r="M66" s="63">
        <f>'Front Office'!M44+HSKP!M44+Reservation!M44+'ROOMS Admin'!M44</f>
        <v>0</v>
      </c>
      <c r="N66" s="63">
        <f>'Front Office'!N44+HSKP!N44+Reservation!N44+'ROOMS Admin'!N44</f>
        <v>0</v>
      </c>
      <c r="O66" s="63">
        <f>'Front Office'!O44+HSKP!O44+Reservation!O44+'ROOMS Admin'!O44</f>
        <v>0</v>
      </c>
      <c r="P66" s="63">
        <f>'Front Office'!P44+HSKP!P44+Reservation!P44+'ROOMS Admin'!P44</f>
        <v>0</v>
      </c>
      <c r="Q66" s="355">
        <f t="shared" si="12"/>
        <v>0</v>
      </c>
      <c r="R66" s="3">
        <f t="shared" si="11"/>
        <v>0</v>
      </c>
      <c r="S66" s="146">
        <f t="shared" si="13"/>
        <v>0</v>
      </c>
      <c r="T66" s="315">
        <v>0</v>
      </c>
      <c r="U66" s="40"/>
    </row>
    <row r="67" spans="1:21" s="3" customFormat="1" ht="24.95" hidden="1" customHeight="1">
      <c r="A67" s="3" t="s">
        <v>202</v>
      </c>
      <c r="B67" s="50" t="s">
        <v>136</v>
      </c>
      <c r="D67" s="26" t="s">
        <v>203</v>
      </c>
      <c r="E67" s="63">
        <f>'Front Office'!E45+HSKP!E45+Reservation!E45+'ROOMS Admin'!E45</f>
        <v>0</v>
      </c>
      <c r="F67" s="63">
        <f>'Front Office'!F45+HSKP!F45+Reservation!F45+'ROOMS Admin'!F45</f>
        <v>0</v>
      </c>
      <c r="G67" s="63">
        <f>'Front Office'!G45+HSKP!G45+Reservation!G45+'ROOMS Admin'!G45</f>
        <v>0</v>
      </c>
      <c r="H67" s="63">
        <f>'Front Office'!H45+HSKP!H45+Reservation!H45+'ROOMS Admin'!H45</f>
        <v>0</v>
      </c>
      <c r="I67" s="63">
        <f>'Front Office'!I45+HSKP!I45+Reservation!I45+'ROOMS Admin'!I45</f>
        <v>0</v>
      </c>
      <c r="J67" s="63">
        <f>'Front Office'!J45+HSKP!J45+Reservation!J45+'ROOMS Admin'!J45</f>
        <v>0</v>
      </c>
      <c r="K67" s="63">
        <f>'Front Office'!K45+HSKP!K45+Reservation!K45+'ROOMS Admin'!K45</f>
        <v>0</v>
      </c>
      <c r="L67" s="63">
        <f>'Front Office'!L45+HSKP!L45+Reservation!L45+'ROOMS Admin'!L45</f>
        <v>0</v>
      </c>
      <c r="M67" s="63">
        <f>'Front Office'!M45+HSKP!M45+Reservation!M45+'ROOMS Admin'!M45</f>
        <v>0</v>
      </c>
      <c r="N67" s="63">
        <f>'Front Office'!N45+HSKP!N45+Reservation!N45+'ROOMS Admin'!N45</f>
        <v>0</v>
      </c>
      <c r="O67" s="63">
        <f>'Front Office'!O45+HSKP!O45+Reservation!O45+'ROOMS Admin'!O45</f>
        <v>0</v>
      </c>
      <c r="P67" s="63">
        <f>'Front Office'!P45+HSKP!P45+Reservation!P45+'ROOMS Admin'!P45</f>
        <v>0</v>
      </c>
      <c r="Q67" s="355">
        <f t="shared" si="12"/>
        <v>0</v>
      </c>
      <c r="R67" s="3">
        <f t="shared" si="11"/>
        <v>0</v>
      </c>
      <c r="S67" s="146">
        <f t="shared" si="13"/>
        <v>0</v>
      </c>
      <c r="T67" s="315">
        <v>0</v>
      </c>
      <c r="U67" s="40"/>
    </row>
    <row r="68" spans="1:21" s="3" customFormat="1" ht="24.95" hidden="1" customHeight="1">
      <c r="A68" s="3" t="s">
        <v>204</v>
      </c>
      <c r="B68" s="50" t="s">
        <v>136</v>
      </c>
      <c r="D68" s="26" t="s">
        <v>205</v>
      </c>
      <c r="E68" s="63">
        <f>'Front Office'!E46+HSKP!E46+Reservation!E46+'ROOMS Admin'!E46</f>
        <v>0</v>
      </c>
      <c r="F68" s="63">
        <f>'Front Office'!F46+HSKP!F46+Reservation!F46+'ROOMS Admin'!F46</f>
        <v>0</v>
      </c>
      <c r="G68" s="63">
        <f>'Front Office'!G46+HSKP!G46+Reservation!G46+'ROOMS Admin'!G46</f>
        <v>0</v>
      </c>
      <c r="H68" s="63">
        <f>'Front Office'!H46+HSKP!H46+Reservation!H46+'ROOMS Admin'!H46</f>
        <v>0</v>
      </c>
      <c r="I68" s="63">
        <f>'Front Office'!I46+HSKP!I46+Reservation!I46+'ROOMS Admin'!I46</f>
        <v>0</v>
      </c>
      <c r="J68" s="63">
        <f>'Front Office'!J46+HSKP!J46+Reservation!J46+'ROOMS Admin'!J46</f>
        <v>0</v>
      </c>
      <c r="K68" s="63">
        <f>'Front Office'!K46+HSKP!K46+Reservation!K46+'ROOMS Admin'!K46</f>
        <v>0</v>
      </c>
      <c r="L68" s="63">
        <f>'Front Office'!L46+HSKP!L46+Reservation!L46+'ROOMS Admin'!L46</f>
        <v>0</v>
      </c>
      <c r="M68" s="63">
        <f>'Front Office'!M46+HSKP!M46+Reservation!M46+'ROOMS Admin'!M46</f>
        <v>0</v>
      </c>
      <c r="N68" s="63">
        <f>'Front Office'!N46+HSKP!N46+Reservation!N46+'ROOMS Admin'!N46</f>
        <v>0</v>
      </c>
      <c r="O68" s="63">
        <f>'Front Office'!O46+HSKP!O46+Reservation!O46+'ROOMS Admin'!O46</f>
        <v>0</v>
      </c>
      <c r="P68" s="63">
        <f>'Front Office'!P46+HSKP!P46+Reservation!P46+'ROOMS Admin'!P46</f>
        <v>0</v>
      </c>
      <c r="Q68" s="355">
        <f t="shared" si="12"/>
        <v>0</v>
      </c>
      <c r="R68" s="3">
        <f t="shared" ref="R68:R99" si="14">Q68/$Q$111</f>
        <v>0</v>
      </c>
      <c r="S68" s="146">
        <f t="shared" si="13"/>
        <v>0</v>
      </c>
      <c r="T68" s="315">
        <v>0</v>
      </c>
      <c r="U68" s="40"/>
    </row>
    <row r="69" spans="1:21" s="3" customFormat="1" ht="24.95" hidden="1" customHeight="1">
      <c r="A69" s="3" t="s">
        <v>206</v>
      </c>
      <c r="B69" s="50" t="s">
        <v>136</v>
      </c>
      <c r="D69" s="26" t="s">
        <v>207</v>
      </c>
      <c r="E69" s="63">
        <f>'Front Office'!E47+HSKP!E47+Reservation!E47+'ROOMS Admin'!E47</f>
        <v>0</v>
      </c>
      <c r="F69" s="63">
        <f>'Front Office'!F47+HSKP!F47+Reservation!F47+'ROOMS Admin'!F47</f>
        <v>0</v>
      </c>
      <c r="G69" s="63">
        <f>'Front Office'!G47+HSKP!G47+Reservation!G47+'ROOMS Admin'!G47</f>
        <v>0</v>
      </c>
      <c r="H69" s="63">
        <f>'Front Office'!H47+HSKP!H47+Reservation!H47+'ROOMS Admin'!H47</f>
        <v>0</v>
      </c>
      <c r="I69" s="63">
        <f>'Front Office'!I47+HSKP!I47+Reservation!I47+'ROOMS Admin'!I47</f>
        <v>0</v>
      </c>
      <c r="J69" s="63">
        <f>'Front Office'!J47+HSKP!J47+Reservation!J47+'ROOMS Admin'!J47</f>
        <v>0</v>
      </c>
      <c r="K69" s="63">
        <f>'Front Office'!K47+HSKP!K47+Reservation!K47+'ROOMS Admin'!K47</f>
        <v>0</v>
      </c>
      <c r="L69" s="63">
        <f>'Front Office'!L47+HSKP!L47+Reservation!L47+'ROOMS Admin'!L47</f>
        <v>0</v>
      </c>
      <c r="M69" s="63">
        <f>'Front Office'!M47+HSKP!M47+Reservation!M47+'ROOMS Admin'!M47</f>
        <v>0</v>
      </c>
      <c r="N69" s="63">
        <f>'Front Office'!N47+HSKP!N47+Reservation!N47+'ROOMS Admin'!N47</f>
        <v>0</v>
      </c>
      <c r="O69" s="63">
        <f>'Front Office'!O47+HSKP!O47+Reservation!O47+'ROOMS Admin'!O47</f>
        <v>0</v>
      </c>
      <c r="P69" s="63">
        <f>'Front Office'!P47+HSKP!P47+Reservation!P47+'ROOMS Admin'!P47</f>
        <v>0</v>
      </c>
      <c r="Q69" s="355">
        <f t="shared" si="12"/>
        <v>0</v>
      </c>
      <c r="R69" s="3">
        <f t="shared" si="14"/>
        <v>0</v>
      </c>
      <c r="S69" s="146">
        <f t="shared" si="13"/>
        <v>0</v>
      </c>
      <c r="T69" s="315">
        <v>0</v>
      </c>
      <c r="U69" s="40"/>
    </row>
    <row r="70" spans="1:21" s="3" customFormat="1" ht="24.95" hidden="1" customHeight="1">
      <c r="A70" s="3" t="s">
        <v>208</v>
      </c>
      <c r="B70" s="50" t="s">
        <v>136</v>
      </c>
      <c r="D70" s="26" t="s">
        <v>209</v>
      </c>
      <c r="E70" s="63">
        <f>'Front Office'!E48+HSKP!E48+Reservation!E48+'ROOMS Admin'!E48</f>
        <v>0</v>
      </c>
      <c r="F70" s="63">
        <f>'Front Office'!F48+HSKP!F48+Reservation!F48+'ROOMS Admin'!F48</f>
        <v>0</v>
      </c>
      <c r="G70" s="63">
        <f>'Front Office'!G48+HSKP!G48+Reservation!G48+'ROOMS Admin'!G48</f>
        <v>0</v>
      </c>
      <c r="H70" s="63">
        <f>'Front Office'!H48+HSKP!H48+Reservation!H48+'ROOMS Admin'!H48</f>
        <v>0</v>
      </c>
      <c r="I70" s="63">
        <f>'Front Office'!I48+HSKP!I48+Reservation!I48+'ROOMS Admin'!I48</f>
        <v>0</v>
      </c>
      <c r="J70" s="63">
        <f>'Front Office'!J48+HSKP!J48+Reservation!J48+'ROOMS Admin'!J48</f>
        <v>0</v>
      </c>
      <c r="K70" s="63">
        <f>'Front Office'!K48+HSKP!K48+Reservation!K48+'ROOMS Admin'!K48</f>
        <v>0</v>
      </c>
      <c r="L70" s="63">
        <f>'Front Office'!L48+HSKP!L48+Reservation!L48+'ROOMS Admin'!L48</f>
        <v>0</v>
      </c>
      <c r="M70" s="63">
        <f>'Front Office'!M48+HSKP!M48+Reservation!M48+'ROOMS Admin'!M48</f>
        <v>0</v>
      </c>
      <c r="N70" s="63">
        <f>'Front Office'!N48+HSKP!N48+Reservation!N48+'ROOMS Admin'!N48</f>
        <v>0</v>
      </c>
      <c r="O70" s="63">
        <f>'Front Office'!O48+HSKP!O48+Reservation!O48+'ROOMS Admin'!O48</f>
        <v>0</v>
      </c>
      <c r="P70" s="63">
        <f>'Front Office'!P48+HSKP!P48+Reservation!P48+'ROOMS Admin'!P48</f>
        <v>0</v>
      </c>
      <c r="Q70" s="355">
        <f t="shared" si="12"/>
        <v>0</v>
      </c>
      <c r="R70" s="3">
        <f t="shared" si="14"/>
        <v>0</v>
      </c>
      <c r="S70" s="146">
        <f t="shared" si="13"/>
        <v>0</v>
      </c>
      <c r="T70" s="315">
        <v>0</v>
      </c>
      <c r="U70" s="40"/>
    </row>
    <row r="71" spans="1:21" s="3" customFormat="1" ht="24.95" customHeight="1">
      <c r="A71" s="3" t="s">
        <v>210</v>
      </c>
      <c r="B71" s="50" t="s">
        <v>136</v>
      </c>
      <c r="D71" s="26" t="s">
        <v>211</v>
      </c>
      <c r="E71" s="63">
        <f>'Front Office'!E49+HSKP!E49+Reservation!E49+'ROOMS Admin'!E49</f>
        <v>4600</v>
      </c>
      <c r="F71" s="63">
        <f>'Front Office'!F49+HSKP!F49+Reservation!F49+'ROOMS Admin'!F49</f>
        <v>4600</v>
      </c>
      <c r="G71" s="63">
        <f>'Front Office'!G49+HSKP!G49+Reservation!G49+'ROOMS Admin'!G49</f>
        <v>4600</v>
      </c>
      <c r="H71" s="63">
        <f>'Front Office'!H49+HSKP!H49+Reservation!H49+'ROOMS Admin'!H49</f>
        <v>4600</v>
      </c>
      <c r="I71" s="63">
        <f>'Front Office'!I49+HSKP!I49+Reservation!I49+'ROOMS Admin'!I49</f>
        <v>4600</v>
      </c>
      <c r="J71" s="63">
        <f>'Front Office'!J49+HSKP!J49+Reservation!J49+'ROOMS Admin'!J49</f>
        <v>4600</v>
      </c>
      <c r="K71" s="63">
        <f>'Front Office'!K49+HSKP!K49+Reservation!K49+'ROOMS Admin'!K49</f>
        <v>4600</v>
      </c>
      <c r="L71" s="63">
        <f>'Front Office'!L49+HSKP!L49+Reservation!L49+'ROOMS Admin'!L49</f>
        <v>4600</v>
      </c>
      <c r="M71" s="63">
        <f>'Front Office'!M49+HSKP!M49+Reservation!M49+'ROOMS Admin'!M49</f>
        <v>4600</v>
      </c>
      <c r="N71" s="63">
        <f>'Front Office'!N49+HSKP!N49+Reservation!N49+'ROOMS Admin'!N49</f>
        <v>4600</v>
      </c>
      <c r="O71" s="63">
        <f>'Front Office'!O49+HSKP!O49+Reservation!O49+'ROOMS Admin'!O49</f>
        <v>4600</v>
      </c>
      <c r="P71" s="63">
        <f>'Front Office'!P49+HSKP!P49+Reservation!P49+'ROOMS Admin'!P49</f>
        <v>4600</v>
      </c>
      <c r="Q71" s="355">
        <f t="shared" si="12"/>
        <v>55200</v>
      </c>
      <c r="R71" s="3">
        <f t="shared" si="14"/>
        <v>1.1959701007474812</v>
      </c>
      <c r="S71" s="146">
        <f t="shared" si="13"/>
        <v>2.5090369876051032E-3</v>
      </c>
      <c r="T71" s="315">
        <v>3.3927738572574175</v>
      </c>
      <c r="U71" s="40"/>
    </row>
    <row r="72" spans="1:21" s="3" customFormat="1" ht="24.95" hidden="1" customHeight="1">
      <c r="A72" s="3" t="s">
        <v>212</v>
      </c>
      <c r="B72" s="50" t="s">
        <v>136</v>
      </c>
      <c r="D72" s="26" t="s">
        <v>213</v>
      </c>
      <c r="E72" s="63">
        <f>'Front Office'!E50+HSKP!E50+Reservation!E50+'ROOMS Admin'!E50</f>
        <v>0</v>
      </c>
      <c r="F72" s="63">
        <f>'Front Office'!F50+HSKP!F50+Reservation!F50+'ROOMS Admin'!F50</f>
        <v>0</v>
      </c>
      <c r="G72" s="63">
        <f>'Front Office'!G50+HSKP!G50+Reservation!G50+'ROOMS Admin'!G50</f>
        <v>0</v>
      </c>
      <c r="H72" s="63">
        <f>'Front Office'!H50+HSKP!H50+Reservation!H50+'ROOMS Admin'!H50</f>
        <v>0</v>
      </c>
      <c r="I72" s="63">
        <f>'Front Office'!I50+HSKP!I50+Reservation!I50+'ROOMS Admin'!I50</f>
        <v>0</v>
      </c>
      <c r="J72" s="63">
        <f>'Front Office'!J50+HSKP!J50+Reservation!J50+'ROOMS Admin'!J50</f>
        <v>0</v>
      </c>
      <c r="K72" s="63">
        <f>'Front Office'!K50+HSKP!K50+Reservation!K50+'ROOMS Admin'!K50</f>
        <v>0</v>
      </c>
      <c r="L72" s="63">
        <f>'Front Office'!L50+HSKP!L50+Reservation!L50+'ROOMS Admin'!L50</f>
        <v>0</v>
      </c>
      <c r="M72" s="63">
        <f>'Front Office'!M50+HSKP!M50+Reservation!M50+'ROOMS Admin'!M50</f>
        <v>0</v>
      </c>
      <c r="N72" s="63">
        <f>'Front Office'!N50+HSKP!N50+Reservation!N50+'ROOMS Admin'!N50</f>
        <v>0</v>
      </c>
      <c r="O72" s="63">
        <f>'Front Office'!O50+HSKP!O50+Reservation!O50+'ROOMS Admin'!O50</f>
        <v>0</v>
      </c>
      <c r="P72" s="63">
        <f>'Front Office'!P50+HSKP!P50+Reservation!P50+'ROOMS Admin'!P50</f>
        <v>0</v>
      </c>
      <c r="Q72" s="355">
        <f t="shared" si="12"/>
        <v>0</v>
      </c>
      <c r="R72" s="3">
        <f t="shared" si="14"/>
        <v>0</v>
      </c>
      <c r="S72" s="146">
        <f t="shared" si="13"/>
        <v>0</v>
      </c>
      <c r="T72" s="315">
        <v>0</v>
      </c>
      <c r="U72" s="40"/>
    </row>
    <row r="73" spans="1:21" s="3" customFormat="1" ht="24.95" hidden="1" customHeight="1">
      <c r="A73" s="3" t="s">
        <v>214</v>
      </c>
      <c r="B73" s="50" t="s">
        <v>136</v>
      </c>
      <c r="D73" s="26" t="s">
        <v>215</v>
      </c>
      <c r="E73" s="63">
        <f>'Front Office'!E51+HSKP!E51+Reservation!E51+'ROOMS Admin'!E51</f>
        <v>0</v>
      </c>
      <c r="F73" s="63">
        <f>'Front Office'!F51+HSKP!F51+Reservation!F51+'ROOMS Admin'!F51</f>
        <v>0</v>
      </c>
      <c r="G73" s="63">
        <f>'Front Office'!G51+HSKP!G51+Reservation!G51+'ROOMS Admin'!G51</f>
        <v>0</v>
      </c>
      <c r="H73" s="63">
        <f>'Front Office'!H51+HSKP!H51+Reservation!H51+'ROOMS Admin'!H51</f>
        <v>0</v>
      </c>
      <c r="I73" s="63">
        <f>'Front Office'!I51+HSKP!I51+Reservation!I51+'ROOMS Admin'!I51</f>
        <v>0</v>
      </c>
      <c r="J73" s="63">
        <f>'Front Office'!J51+HSKP!J51+Reservation!J51+'ROOMS Admin'!J51</f>
        <v>0</v>
      </c>
      <c r="K73" s="63">
        <f>'Front Office'!K51+HSKP!K51+Reservation!K51+'ROOMS Admin'!K51</f>
        <v>0</v>
      </c>
      <c r="L73" s="63">
        <f>'Front Office'!L51+HSKP!L51+Reservation!L51+'ROOMS Admin'!L51</f>
        <v>0</v>
      </c>
      <c r="M73" s="63">
        <f>'Front Office'!M51+HSKP!M51+Reservation!M51+'ROOMS Admin'!M51</f>
        <v>0</v>
      </c>
      <c r="N73" s="63">
        <f>'Front Office'!N51+HSKP!N51+Reservation!N51+'ROOMS Admin'!N51</f>
        <v>0</v>
      </c>
      <c r="O73" s="63">
        <f>'Front Office'!O51+HSKP!O51+Reservation!O51+'ROOMS Admin'!O51</f>
        <v>0</v>
      </c>
      <c r="P73" s="63">
        <f>'Front Office'!P51+HSKP!P51+Reservation!P51+'ROOMS Admin'!P51</f>
        <v>0</v>
      </c>
      <c r="Q73" s="355">
        <f t="shared" si="12"/>
        <v>0</v>
      </c>
      <c r="R73" s="3">
        <f t="shared" si="14"/>
        <v>0</v>
      </c>
      <c r="S73" s="146">
        <f t="shared" si="13"/>
        <v>0</v>
      </c>
      <c r="T73" s="315">
        <v>0</v>
      </c>
      <c r="U73" s="40"/>
    </row>
    <row r="74" spans="1:21" s="3" customFormat="1" ht="24.95" hidden="1" customHeight="1">
      <c r="A74" s="3" t="s">
        <v>216</v>
      </c>
      <c r="B74" s="50" t="s">
        <v>136</v>
      </c>
      <c r="D74" s="26" t="s">
        <v>217</v>
      </c>
      <c r="E74" s="63">
        <f>'Front Office'!E52+HSKP!E52+Reservation!E52+'ROOMS Admin'!E52</f>
        <v>0</v>
      </c>
      <c r="F74" s="63">
        <f>'Front Office'!F52+HSKP!F52+Reservation!F52+'ROOMS Admin'!F52</f>
        <v>0</v>
      </c>
      <c r="G74" s="63">
        <f>'Front Office'!G52+HSKP!G52+Reservation!G52+'ROOMS Admin'!G52</f>
        <v>0</v>
      </c>
      <c r="H74" s="63">
        <f>'Front Office'!H52+HSKP!H52+Reservation!H52+'ROOMS Admin'!H52</f>
        <v>0</v>
      </c>
      <c r="I74" s="63">
        <f>'Front Office'!I52+HSKP!I52+Reservation!I52+'ROOMS Admin'!I52</f>
        <v>0</v>
      </c>
      <c r="J74" s="63">
        <f>'Front Office'!J52+HSKP!J52+Reservation!J52+'ROOMS Admin'!J52</f>
        <v>0</v>
      </c>
      <c r="K74" s="63">
        <f>'Front Office'!K52+HSKP!K52+Reservation!K52+'ROOMS Admin'!K52</f>
        <v>0</v>
      </c>
      <c r="L74" s="63">
        <f>'Front Office'!L52+HSKP!L52+Reservation!L52+'ROOMS Admin'!L52</f>
        <v>0</v>
      </c>
      <c r="M74" s="63">
        <f>'Front Office'!M52+HSKP!M52+Reservation!M52+'ROOMS Admin'!M52</f>
        <v>0</v>
      </c>
      <c r="N74" s="63">
        <f>'Front Office'!N52+HSKP!N52+Reservation!N52+'ROOMS Admin'!N52</f>
        <v>0</v>
      </c>
      <c r="O74" s="63">
        <f>'Front Office'!O52+HSKP!O52+Reservation!O52+'ROOMS Admin'!O52</f>
        <v>0</v>
      </c>
      <c r="P74" s="63">
        <f>'Front Office'!P52+HSKP!P52+Reservation!P52+'ROOMS Admin'!P52</f>
        <v>0</v>
      </c>
      <c r="Q74" s="355">
        <f t="shared" si="12"/>
        <v>0</v>
      </c>
      <c r="R74" s="3">
        <f t="shared" si="14"/>
        <v>0</v>
      </c>
      <c r="S74" s="146">
        <f t="shared" si="13"/>
        <v>0</v>
      </c>
      <c r="T74" s="315">
        <v>0</v>
      </c>
      <c r="U74" s="40"/>
    </row>
    <row r="75" spans="1:21" s="3" customFormat="1" ht="24.95" hidden="1" customHeight="1">
      <c r="A75" s="3" t="s">
        <v>218</v>
      </c>
      <c r="B75" s="50" t="s">
        <v>136</v>
      </c>
      <c r="D75" s="26" t="s">
        <v>219</v>
      </c>
      <c r="E75" s="63">
        <f>'Front Office'!E53+HSKP!E53+Reservation!E53+'ROOMS Admin'!E53</f>
        <v>0</v>
      </c>
      <c r="F75" s="63">
        <f>'Front Office'!F53+HSKP!F53+Reservation!F53+'ROOMS Admin'!F53</f>
        <v>0</v>
      </c>
      <c r="G75" s="63">
        <f>'Front Office'!G53+HSKP!G53+Reservation!G53+'ROOMS Admin'!G53</f>
        <v>0</v>
      </c>
      <c r="H75" s="63">
        <f>'Front Office'!H53+HSKP!H53+Reservation!H53+'ROOMS Admin'!H53</f>
        <v>0</v>
      </c>
      <c r="I75" s="63">
        <f>'Front Office'!I53+HSKP!I53+Reservation!I53+'ROOMS Admin'!I53</f>
        <v>0</v>
      </c>
      <c r="J75" s="63">
        <f>'Front Office'!J53+HSKP!J53+Reservation!J53+'ROOMS Admin'!J53</f>
        <v>0</v>
      </c>
      <c r="K75" s="63">
        <f>'Front Office'!K53+HSKP!K53+Reservation!K53+'ROOMS Admin'!K53</f>
        <v>0</v>
      </c>
      <c r="L75" s="63">
        <f>'Front Office'!L53+HSKP!L53+Reservation!L53+'ROOMS Admin'!L53</f>
        <v>0</v>
      </c>
      <c r="M75" s="63">
        <f>'Front Office'!M53+HSKP!M53+Reservation!M53+'ROOMS Admin'!M53</f>
        <v>0</v>
      </c>
      <c r="N75" s="63">
        <f>'Front Office'!N53+HSKP!N53+Reservation!N53+'ROOMS Admin'!N53</f>
        <v>0</v>
      </c>
      <c r="O75" s="63">
        <f>'Front Office'!O53+HSKP!O53+Reservation!O53+'ROOMS Admin'!O53</f>
        <v>0</v>
      </c>
      <c r="P75" s="63">
        <f>'Front Office'!P53+HSKP!P53+Reservation!P53+'ROOMS Admin'!P53</f>
        <v>0</v>
      </c>
      <c r="Q75" s="355">
        <f t="shared" si="12"/>
        <v>0</v>
      </c>
      <c r="R75" s="3">
        <f t="shared" si="14"/>
        <v>0</v>
      </c>
      <c r="S75" s="146">
        <f t="shared" si="13"/>
        <v>0</v>
      </c>
      <c r="T75" s="315">
        <v>0</v>
      </c>
      <c r="U75" s="40"/>
    </row>
    <row r="76" spans="1:21" s="3" customFormat="1" ht="24.95" hidden="1" customHeight="1">
      <c r="A76" s="3" t="s">
        <v>220</v>
      </c>
      <c r="B76" s="50" t="s">
        <v>136</v>
      </c>
      <c r="D76" s="26" t="s">
        <v>221</v>
      </c>
      <c r="E76" s="63">
        <f>'Front Office'!E54+HSKP!E54+Reservation!E54+'ROOMS Admin'!E54</f>
        <v>0</v>
      </c>
      <c r="F76" s="63">
        <f>'Front Office'!F54+HSKP!F54+Reservation!F54+'ROOMS Admin'!F54</f>
        <v>0</v>
      </c>
      <c r="G76" s="63">
        <f>'Front Office'!G54+HSKP!G54+Reservation!G54+'ROOMS Admin'!G54</f>
        <v>0</v>
      </c>
      <c r="H76" s="63">
        <f>'Front Office'!H54+HSKP!H54+Reservation!H54+'ROOMS Admin'!H54</f>
        <v>0</v>
      </c>
      <c r="I76" s="63">
        <f>'Front Office'!I54+HSKP!I54+Reservation!I54+'ROOMS Admin'!I54</f>
        <v>0</v>
      </c>
      <c r="J76" s="63">
        <f>'Front Office'!J54+HSKP!J54+Reservation!J54+'ROOMS Admin'!J54</f>
        <v>0</v>
      </c>
      <c r="K76" s="63">
        <f>'Front Office'!K54+HSKP!K54+Reservation!K54+'ROOMS Admin'!K54</f>
        <v>0</v>
      </c>
      <c r="L76" s="63">
        <f>'Front Office'!L54+HSKP!L54+Reservation!L54+'ROOMS Admin'!L54</f>
        <v>0</v>
      </c>
      <c r="M76" s="63">
        <f>'Front Office'!M54+HSKP!M54+Reservation!M54+'ROOMS Admin'!M54</f>
        <v>0</v>
      </c>
      <c r="N76" s="63">
        <f>'Front Office'!N54+HSKP!N54+Reservation!N54+'ROOMS Admin'!N54</f>
        <v>0</v>
      </c>
      <c r="O76" s="63">
        <f>'Front Office'!O54+HSKP!O54+Reservation!O54+'ROOMS Admin'!O54</f>
        <v>0</v>
      </c>
      <c r="P76" s="63">
        <f>'Front Office'!P54+HSKP!P54+Reservation!P54+'ROOMS Admin'!P54</f>
        <v>0</v>
      </c>
      <c r="Q76" s="355">
        <f t="shared" si="12"/>
        <v>0</v>
      </c>
      <c r="R76" s="3">
        <f t="shared" si="14"/>
        <v>0</v>
      </c>
      <c r="S76" s="146">
        <f t="shared" si="13"/>
        <v>0</v>
      </c>
      <c r="T76" s="315">
        <v>0</v>
      </c>
      <c r="U76" s="40"/>
    </row>
    <row r="77" spans="1:21" s="3" customFormat="1" ht="24.95" hidden="1" customHeight="1">
      <c r="A77" s="3" t="s">
        <v>222</v>
      </c>
      <c r="B77" s="50" t="s">
        <v>136</v>
      </c>
      <c r="D77" s="26" t="s">
        <v>223</v>
      </c>
      <c r="E77" s="63">
        <f>'Front Office'!E55+HSKP!E55+Reservation!E55+'ROOMS Admin'!E55</f>
        <v>0</v>
      </c>
      <c r="F77" s="63">
        <f>'Front Office'!F55+HSKP!F55+Reservation!F55+'ROOMS Admin'!F55</f>
        <v>0</v>
      </c>
      <c r="G77" s="63">
        <f>'Front Office'!G55+HSKP!G55+Reservation!G55+'ROOMS Admin'!G55</f>
        <v>0</v>
      </c>
      <c r="H77" s="63">
        <f>'Front Office'!H55+HSKP!H55+Reservation!H55+'ROOMS Admin'!H55</f>
        <v>0</v>
      </c>
      <c r="I77" s="63">
        <f>'Front Office'!I55+HSKP!I55+Reservation!I55+'ROOMS Admin'!I55</f>
        <v>0</v>
      </c>
      <c r="J77" s="63">
        <f>'Front Office'!J55+HSKP!J55+Reservation!J55+'ROOMS Admin'!J55</f>
        <v>0</v>
      </c>
      <c r="K77" s="63">
        <f>'Front Office'!K55+HSKP!K55+Reservation!K55+'ROOMS Admin'!K55</f>
        <v>0</v>
      </c>
      <c r="L77" s="63">
        <f>'Front Office'!L55+HSKP!L55+Reservation!L55+'ROOMS Admin'!L55</f>
        <v>0</v>
      </c>
      <c r="M77" s="63">
        <f>'Front Office'!M55+HSKP!M55+Reservation!M55+'ROOMS Admin'!M55</f>
        <v>0</v>
      </c>
      <c r="N77" s="63">
        <f>'Front Office'!N55+HSKP!N55+Reservation!N55+'ROOMS Admin'!N55</f>
        <v>0</v>
      </c>
      <c r="O77" s="63">
        <f>'Front Office'!O55+HSKP!O55+Reservation!O55+'ROOMS Admin'!O55</f>
        <v>0</v>
      </c>
      <c r="P77" s="63">
        <f>'Front Office'!P55+HSKP!P55+Reservation!P55+'ROOMS Admin'!P55</f>
        <v>0</v>
      </c>
      <c r="Q77" s="355">
        <f t="shared" si="12"/>
        <v>0</v>
      </c>
      <c r="R77" s="3">
        <f t="shared" si="14"/>
        <v>0</v>
      </c>
      <c r="S77" s="146">
        <f t="shared" si="13"/>
        <v>0</v>
      </c>
      <c r="T77" s="315">
        <v>0</v>
      </c>
      <c r="U77" s="40"/>
    </row>
    <row r="78" spans="1:21" s="3" customFormat="1" ht="24.95" hidden="1" customHeight="1">
      <c r="A78" s="3" t="s">
        <v>224</v>
      </c>
      <c r="B78" s="50" t="s">
        <v>136</v>
      </c>
      <c r="D78" s="26" t="s">
        <v>225</v>
      </c>
      <c r="E78" s="63">
        <f>'Front Office'!E56+HSKP!E56+Reservation!E56+'ROOMS Admin'!E56</f>
        <v>0</v>
      </c>
      <c r="F78" s="63">
        <f>'Front Office'!F56+HSKP!F56+Reservation!F56+'ROOMS Admin'!F56</f>
        <v>0</v>
      </c>
      <c r="G78" s="63">
        <f>'Front Office'!G56+HSKP!G56+Reservation!G56+'ROOMS Admin'!G56</f>
        <v>0</v>
      </c>
      <c r="H78" s="63">
        <f>'Front Office'!H56+HSKP!H56+Reservation!H56+'ROOMS Admin'!H56</f>
        <v>0</v>
      </c>
      <c r="I78" s="63">
        <f>'Front Office'!I56+HSKP!I56+Reservation!I56+'ROOMS Admin'!I56</f>
        <v>0</v>
      </c>
      <c r="J78" s="63">
        <f>'Front Office'!J56+HSKP!J56+Reservation!J56+'ROOMS Admin'!J56</f>
        <v>0</v>
      </c>
      <c r="K78" s="63">
        <f>'Front Office'!K56+HSKP!K56+Reservation!K56+'ROOMS Admin'!K56</f>
        <v>0</v>
      </c>
      <c r="L78" s="63">
        <f>'Front Office'!L56+HSKP!L56+Reservation!L56+'ROOMS Admin'!L56</f>
        <v>0</v>
      </c>
      <c r="M78" s="63">
        <f>'Front Office'!M56+HSKP!M56+Reservation!M56+'ROOMS Admin'!M56</f>
        <v>0</v>
      </c>
      <c r="N78" s="63">
        <f>'Front Office'!N56+HSKP!N56+Reservation!N56+'ROOMS Admin'!N56</f>
        <v>0</v>
      </c>
      <c r="O78" s="63">
        <f>'Front Office'!O56+HSKP!O56+Reservation!O56+'ROOMS Admin'!O56</f>
        <v>0</v>
      </c>
      <c r="P78" s="63">
        <f>'Front Office'!P56+HSKP!P56+Reservation!P56+'ROOMS Admin'!P56</f>
        <v>0</v>
      </c>
      <c r="Q78" s="355">
        <f t="shared" si="12"/>
        <v>0</v>
      </c>
      <c r="R78" s="3">
        <f t="shared" si="14"/>
        <v>0</v>
      </c>
      <c r="S78" s="146">
        <f t="shared" si="13"/>
        <v>0</v>
      </c>
      <c r="T78" s="315">
        <v>0</v>
      </c>
      <c r="U78" s="40"/>
    </row>
    <row r="79" spans="1:21" s="3" customFormat="1" ht="24.95" hidden="1" customHeight="1">
      <c r="A79" s="3" t="s">
        <v>226</v>
      </c>
      <c r="B79" s="50" t="s">
        <v>136</v>
      </c>
      <c r="D79" s="26" t="s">
        <v>227</v>
      </c>
      <c r="E79" s="63">
        <f>'Front Office'!E57+HSKP!E57+Reservation!E57+'ROOMS Admin'!E57</f>
        <v>0</v>
      </c>
      <c r="F79" s="63">
        <f>'Front Office'!F57+HSKP!F57+Reservation!F57+'ROOMS Admin'!F57</f>
        <v>0</v>
      </c>
      <c r="G79" s="63">
        <f>'Front Office'!G57+HSKP!G57+Reservation!G57+'ROOMS Admin'!G57</f>
        <v>0</v>
      </c>
      <c r="H79" s="63">
        <f>'Front Office'!H57+HSKP!H57+Reservation!H57+'ROOMS Admin'!H57</f>
        <v>0</v>
      </c>
      <c r="I79" s="63">
        <f>'Front Office'!I57+HSKP!I57+Reservation!I57+'ROOMS Admin'!I57</f>
        <v>0</v>
      </c>
      <c r="J79" s="63">
        <f>'Front Office'!J57+HSKP!J57+Reservation!J57+'ROOMS Admin'!J57</f>
        <v>0</v>
      </c>
      <c r="K79" s="63">
        <f>'Front Office'!K57+HSKP!K57+Reservation!K57+'ROOMS Admin'!K57</f>
        <v>0</v>
      </c>
      <c r="L79" s="63">
        <f>'Front Office'!L57+HSKP!L57+Reservation!L57+'ROOMS Admin'!L57</f>
        <v>0</v>
      </c>
      <c r="M79" s="63">
        <f>'Front Office'!M57+HSKP!M57+Reservation!M57+'ROOMS Admin'!M57</f>
        <v>0</v>
      </c>
      <c r="N79" s="63">
        <f>'Front Office'!N57+HSKP!N57+Reservation!N57+'ROOMS Admin'!N57</f>
        <v>0</v>
      </c>
      <c r="O79" s="63">
        <f>'Front Office'!O57+HSKP!O57+Reservation!O57+'ROOMS Admin'!O57</f>
        <v>0</v>
      </c>
      <c r="P79" s="63">
        <f>'Front Office'!P57+HSKP!P57+Reservation!P57+'ROOMS Admin'!P57</f>
        <v>0</v>
      </c>
      <c r="Q79" s="355">
        <f t="shared" si="12"/>
        <v>0</v>
      </c>
      <c r="R79" s="3">
        <f t="shared" si="14"/>
        <v>0</v>
      </c>
      <c r="S79" s="146">
        <f t="shared" si="13"/>
        <v>0</v>
      </c>
      <c r="T79" s="315">
        <v>0</v>
      </c>
      <c r="U79" s="40"/>
    </row>
    <row r="80" spans="1:21" s="3" customFormat="1" ht="24.95" hidden="1" customHeight="1">
      <c r="A80" s="3" t="s">
        <v>228</v>
      </c>
      <c r="B80" s="50" t="s">
        <v>136</v>
      </c>
      <c r="D80" s="26" t="s">
        <v>229</v>
      </c>
      <c r="E80" s="63">
        <f>'Front Office'!E58+HSKP!E58+Reservation!E58+'ROOMS Admin'!E58</f>
        <v>0</v>
      </c>
      <c r="F80" s="63">
        <f>'Front Office'!F58+HSKP!F58+Reservation!F58+'ROOMS Admin'!F58</f>
        <v>0</v>
      </c>
      <c r="G80" s="63">
        <f>'Front Office'!G58+HSKP!G58+Reservation!G58+'ROOMS Admin'!G58</f>
        <v>0</v>
      </c>
      <c r="H80" s="63">
        <f>'Front Office'!H58+HSKP!H58+Reservation!H58+'ROOMS Admin'!H58</f>
        <v>0</v>
      </c>
      <c r="I80" s="63">
        <f>'Front Office'!I58+HSKP!I58+Reservation!I58+'ROOMS Admin'!I58</f>
        <v>0</v>
      </c>
      <c r="J80" s="63">
        <f>'Front Office'!J58+HSKP!J58+Reservation!J58+'ROOMS Admin'!J58</f>
        <v>0</v>
      </c>
      <c r="K80" s="63">
        <f>'Front Office'!K58+HSKP!K58+Reservation!K58+'ROOMS Admin'!K58</f>
        <v>0</v>
      </c>
      <c r="L80" s="63">
        <f>'Front Office'!L58+HSKP!L58+Reservation!L58+'ROOMS Admin'!L58</f>
        <v>0</v>
      </c>
      <c r="M80" s="63">
        <f>'Front Office'!M58+HSKP!M58+Reservation!M58+'ROOMS Admin'!M58</f>
        <v>0</v>
      </c>
      <c r="N80" s="63">
        <f>'Front Office'!N58+HSKP!N58+Reservation!N58+'ROOMS Admin'!N58</f>
        <v>0</v>
      </c>
      <c r="O80" s="63">
        <f>'Front Office'!O58+HSKP!O58+Reservation!O58+'ROOMS Admin'!O58</f>
        <v>0</v>
      </c>
      <c r="P80" s="63">
        <f>'Front Office'!P58+HSKP!P58+Reservation!P58+'ROOMS Admin'!P58</f>
        <v>0</v>
      </c>
      <c r="Q80" s="355">
        <f t="shared" si="12"/>
        <v>0</v>
      </c>
      <c r="R80" s="3">
        <f t="shared" si="14"/>
        <v>0</v>
      </c>
      <c r="S80" s="146">
        <f t="shared" si="13"/>
        <v>0</v>
      </c>
      <c r="T80" s="315">
        <v>0</v>
      </c>
      <c r="U80" s="40"/>
    </row>
    <row r="81" spans="1:21" s="3" customFormat="1" ht="24.95" hidden="1" customHeight="1">
      <c r="A81" s="3" t="s">
        <v>230</v>
      </c>
      <c r="B81" s="50" t="s">
        <v>136</v>
      </c>
      <c r="D81" s="26" t="s">
        <v>231</v>
      </c>
      <c r="E81" s="63">
        <f>'Front Office'!E59+HSKP!E59+Reservation!E59+'ROOMS Admin'!E59</f>
        <v>0</v>
      </c>
      <c r="F81" s="63">
        <f>'Front Office'!F59+HSKP!F59+Reservation!F59+'ROOMS Admin'!F59</f>
        <v>0</v>
      </c>
      <c r="G81" s="63">
        <f>'Front Office'!G59+HSKP!G59+Reservation!G59+'ROOMS Admin'!G59</f>
        <v>0</v>
      </c>
      <c r="H81" s="63">
        <f>'Front Office'!H59+HSKP!H59+Reservation!H59+'ROOMS Admin'!H59</f>
        <v>0</v>
      </c>
      <c r="I81" s="63">
        <f>'Front Office'!I59+HSKP!I59+Reservation!I59+'ROOMS Admin'!I59</f>
        <v>0</v>
      </c>
      <c r="J81" s="63">
        <f>'Front Office'!J59+HSKP!J59+Reservation!J59+'ROOMS Admin'!J59</f>
        <v>0</v>
      </c>
      <c r="K81" s="63">
        <f>'Front Office'!K59+HSKP!K59+Reservation!K59+'ROOMS Admin'!K59</f>
        <v>0</v>
      </c>
      <c r="L81" s="63">
        <f>'Front Office'!L59+HSKP!L59+Reservation!L59+'ROOMS Admin'!L59</f>
        <v>0</v>
      </c>
      <c r="M81" s="63">
        <f>'Front Office'!M59+HSKP!M59+Reservation!M59+'ROOMS Admin'!M59</f>
        <v>0</v>
      </c>
      <c r="N81" s="63">
        <f>'Front Office'!N59+HSKP!N59+Reservation!N59+'ROOMS Admin'!N59</f>
        <v>0</v>
      </c>
      <c r="O81" s="63">
        <f>'Front Office'!O59+HSKP!O59+Reservation!O59+'ROOMS Admin'!O59</f>
        <v>0</v>
      </c>
      <c r="P81" s="63">
        <f>'Front Office'!P59+HSKP!P59+Reservation!P59+'ROOMS Admin'!P59</f>
        <v>0</v>
      </c>
      <c r="Q81" s="355">
        <f t="shared" si="12"/>
        <v>0</v>
      </c>
      <c r="R81" s="3">
        <f t="shared" si="14"/>
        <v>0</v>
      </c>
      <c r="S81" s="146">
        <f t="shared" si="13"/>
        <v>0</v>
      </c>
      <c r="T81" s="315">
        <v>0</v>
      </c>
      <c r="U81" s="40"/>
    </row>
    <row r="82" spans="1:21" s="3" customFormat="1" ht="24.95" hidden="1" customHeight="1">
      <c r="A82" s="3" t="s">
        <v>232</v>
      </c>
      <c r="B82" s="50" t="s">
        <v>136</v>
      </c>
      <c r="D82" s="26" t="s">
        <v>233</v>
      </c>
      <c r="E82" s="63">
        <f>'Front Office'!E60+HSKP!E60+Reservation!E60+'ROOMS Admin'!E60</f>
        <v>0</v>
      </c>
      <c r="F82" s="63">
        <f>'Front Office'!F60+HSKP!F60+Reservation!F60+'ROOMS Admin'!F60</f>
        <v>0</v>
      </c>
      <c r="G82" s="63">
        <f>'Front Office'!G60+HSKP!G60+Reservation!G60+'ROOMS Admin'!G60</f>
        <v>0</v>
      </c>
      <c r="H82" s="63">
        <f>'Front Office'!H60+HSKP!H60+Reservation!H60+'ROOMS Admin'!H60</f>
        <v>0</v>
      </c>
      <c r="I82" s="63">
        <f>'Front Office'!I60+HSKP!I60+Reservation!I60+'ROOMS Admin'!I60</f>
        <v>0</v>
      </c>
      <c r="J82" s="63">
        <f>'Front Office'!J60+HSKP!J60+Reservation!J60+'ROOMS Admin'!J60</f>
        <v>0</v>
      </c>
      <c r="K82" s="63">
        <f>'Front Office'!K60+HSKP!K60+Reservation!K60+'ROOMS Admin'!K60</f>
        <v>0</v>
      </c>
      <c r="L82" s="63">
        <f>'Front Office'!L60+HSKP!L60+Reservation!L60+'ROOMS Admin'!L60</f>
        <v>0</v>
      </c>
      <c r="M82" s="63">
        <f>'Front Office'!M60+HSKP!M60+Reservation!M60+'ROOMS Admin'!M60</f>
        <v>0</v>
      </c>
      <c r="N82" s="63">
        <f>'Front Office'!N60+HSKP!N60+Reservation!N60+'ROOMS Admin'!N60</f>
        <v>0</v>
      </c>
      <c r="O82" s="63">
        <f>'Front Office'!O60+HSKP!O60+Reservation!O60+'ROOMS Admin'!O60</f>
        <v>0</v>
      </c>
      <c r="P82" s="63">
        <f>'Front Office'!P60+HSKP!P60+Reservation!P60+'ROOMS Admin'!P60</f>
        <v>0</v>
      </c>
      <c r="Q82" s="355">
        <f t="shared" si="12"/>
        <v>0</v>
      </c>
      <c r="R82" s="3">
        <f t="shared" si="14"/>
        <v>0</v>
      </c>
      <c r="S82" s="146">
        <f t="shared" si="13"/>
        <v>0</v>
      </c>
      <c r="T82" s="315">
        <v>0</v>
      </c>
      <c r="U82" s="40"/>
    </row>
    <row r="83" spans="1:21" s="3" customFormat="1" ht="24.95" hidden="1" customHeight="1">
      <c r="A83" s="3" t="s">
        <v>234</v>
      </c>
      <c r="B83" s="50" t="s">
        <v>136</v>
      </c>
      <c r="D83" s="26" t="s">
        <v>235</v>
      </c>
      <c r="E83" s="63">
        <f>'Front Office'!E61+HSKP!E61+Reservation!E61+'ROOMS Admin'!E61</f>
        <v>0</v>
      </c>
      <c r="F83" s="63">
        <f>'Front Office'!F61+HSKP!F61+Reservation!F61+'ROOMS Admin'!F61</f>
        <v>0</v>
      </c>
      <c r="G83" s="63">
        <f>'Front Office'!G61+HSKP!G61+Reservation!G61+'ROOMS Admin'!G61</f>
        <v>0</v>
      </c>
      <c r="H83" s="63">
        <f>'Front Office'!H61+HSKP!H61+Reservation!H61+'ROOMS Admin'!H61</f>
        <v>0</v>
      </c>
      <c r="I83" s="63">
        <f>'Front Office'!I61+HSKP!I61+Reservation!I61+'ROOMS Admin'!I61</f>
        <v>0</v>
      </c>
      <c r="J83" s="63">
        <f>'Front Office'!J61+HSKP!J61+Reservation!J61+'ROOMS Admin'!J61</f>
        <v>0</v>
      </c>
      <c r="K83" s="63">
        <f>'Front Office'!K61+HSKP!K61+Reservation!K61+'ROOMS Admin'!K61</f>
        <v>0</v>
      </c>
      <c r="L83" s="63">
        <f>'Front Office'!L61+HSKP!L61+Reservation!L61+'ROOMS Admin'!L61</f>
        <v>0</v>
      </c>
      <c r="M83" s="63">
        <f>'Front Office'!M61+HSKP!M61+Reservation!M61+'ROOMS Admin'!M61</f>
        <v>0</v>
      </c>
      <c r="N83" s="63">
        <f>'Front Office'!N61+HSKP!N61+Reservation!N61+'ROOMS Admin'!N61</f>
        <v>0</v>
      </c>
      <c r="O83" s="63">
        <f>'Front Office'!O61+HSKP!O61+Reservation!O61+'ROOMS Admin'!O61</f>
        <v>0</v>
      </c>
      <c r="P83" s="63">
        <f>'Front Office'!P61+HSKP!P61+Reservation!P61+'ROOMS Admin'!P61</f>
        <v>0</v>
      </c>
      <c r="Q83" s="355">
        <f t="shared" si="12"/>
        <v>0</v>
      </c>
      <c r="R83" s="3">
        <f t="shared" si="14"/>
        <v>0</v>
      </c>
      <c r="S83" s="146">
        <f t="shared" si="13"/>
        <v>0</v>
      </c>
      <c r="T83" s="315">
        <v>0</v>
      </c>
      <c r="U83" s="40"/>
    </row>
    <row r="84" spans="1:21" s="3" customFormat="1" ht="24.95" hidden="1" customHeight="1">
      <c r="A84" s="3" t="s">
        <v>236</v>
      </c>
      <c r="B84" s="50" t="s">
        <v>136</v>
      </c>
      <c r="D84" s="26" t="s">
        <v>237</v>
      </c>
      <c r="E84" s="63">
        <f>'Front Office'!E62+HSKP!E62+Reservation!E62+'ROOMS Admin'!E62</f>
        <v>0</v>
      </c>
      <c r="F84" s="63">
        <f>'Front Office'!F62+HSKP!F62+Reservation!F62+'ROOMS Admin'!F62</f>
        <v>0</v>
      </c>
      <c r="G84" s="63">
        <f>'Front Office'!G62+HSKP!G62+Reservation!G62+'ROOMS Admin'!G62</f>
        <v>0</v>
      </c>
      <c r="H84" s="63">
        <f>'Front Office'!H62+HSKP!H62+Reservation!H62+'ROOMS Admin'!H62</f>
        <v>0</v>
      </c>
      <c r="I84" s="63">
        <f>'Front Office'!I62+HSKP!I62+Reservation!I62+'ROOMS Admin'!I62</f>
        <v>0</v>
      </c>
      <c r="J84" s="63">
        <f>'Front Office'!J62+HSKP!J62+Reservation!J62+'ROOMS Admin'!J62</f>
        <v>0</v>
      </c>
      <c r="K84" s="63">
        <f>'Front Office'!K62+HSKP!K62+Reservation!K62+'ROOMS Admin'!K62</f>
        <v>0</v>
      </c>
      <c r="L84" s="63">
        <f>'Front Office'!L62+HSKP!L62+Reservation!L62+'ROOMS Admin'!L62</f>
        <v>0</v>
      </c>
      <c r="M84" s="63">
        <f>'Front Office'!M62+HSKP!M62+Reservation!M62+'ROOMS Admin'!M62</f>
        <v>0</v>
      </c>
      <c r="N84" s="63">
        <f>'Front Office'!N62+HSKP!N62+Reservation!N62+'ROOMS Admin'!N62</f>
        <v>0</v>
      </c>
      <c r="O84" s="63">
        <f>'Front Office'!O62+HSKP!O62+Reservation!O62+'ROOMS Admin'!O62</f>
        <v>0</v>
      </c>
      <c r="P84" s="63">
        <f>'Front Office'!P62+HSKP!P62+Reservation!P62+'ROOMS Admin'!P62</f>
        <v>0</v>
      </c>
      <c r="Q84" s="355">
        <f t="shared" si="12"/>
        <v>0</v>
      </c>
      <c r="R84" s="3">
        <f t="shared" si="14"/>
        <v>0</v>
      </c>
      <c r="S84" s="146">
        <f t="shared" si="13"/>
        <v>0</v>
      </c>
      <c r="T84" s="315">
        <v>0</v>
      </c>
      <c r="U84" s="40"/>
    </row>
    <row r="85" spans="1:21" s="3" customFormat="1" ht="24.95" hidden="1" customHeight="1">
      <c r="A85" s="3" t="s">
        <v>238</v>
      </c>
      <c r="B85" s="50" t="s">
        <v>136</v>
      </c>
      <c r="D85" s="26" t="s">
        <v>239</v>
      </c>
      <c r="E85" s="63">
        <f>'Front Office'!E63+HSKP!E63+Reservation!E63+'ROOMS Admin'!E63</f>
        <v>0</v>
      </c>
      <c r="F85" s="63">
        <f>'Front Office'!F63+HSKP!F63+Reservation!F63+'ROOMS Admin'!F63</f>
        <v>0</v>
      </c>
      <c r="G85" s="63">
        <f>'Front Office'!G63+HSKP!G63+Reservation!G63+'ROOMS Admin'!G63</f>
        <v>0</v>
      </c>
      <c r="H85" s="63">
        <f>'Front Office'!H63+HSKP!H63+Reservation!H63+'ROOMS Admin'!H63</f>
        <v>0</v>
      </c>
      <c r="I85" s="63">
        <f>'Front Office'!I63+HSKP!I63+Reservation!I63+'ROOMS Admin'!I63</f>
        <v>0</v>
      </c>
      <c r="J85" s="63">
        <f>'Front Office'!J63+HSKP!J63+Reservation!J63+'ROOMS Admin'!J63</f>
        <v>0</v>
      </c>
      <c r="K85" s="63">
        <f>'Front Office'!K63+HSKP!K63+Reservation!K63+'ROOMS Admin'!K63</f>
        <v>0</v>
      </c>
      <c r="L85" s="63">
        <f>'Front Office'!L63+HSKP!L63+Reservation!L63+'ROOMS Admin'!L63</f>
        <v>0</v>
      </c>
      <c r="M85" s="63">
        <f>'Front Office'!M63+HSKP!M63+Reservation!M63+'ROOMS Admin'!M63</f>
        <v>0</v>
      </c>
      <c r="N85" s="63">
        <f>'Front Office'!N63+HSKP!N63+Reservation!N63+'ROOMS Admin'!N63</f>
        <v>0</v>
      </c>
      <c r="O85" s="63">
        <f>'Front Office'!O63+HSKP!O63+Reservation!O63+'ROOMS Admin'!O63</f>
        <v>0</v>
      </c>
      <c r="P85" s="63">
        <f>'Front Office'!P63+HSKP!P63+Reservation!P63+'ROOMS Admin'!P63</f>
        <v>0</v>
      </c>
      <c r="Q85" s="355">
        <f t="shared" si="12"/>
        <v>0</v>
      </c>
      <c r="R85" s="3">
        <f t="shared" si="14"/>
        <v>0</v>
      </c>
      <c r="S85" s="146">
        <f t="shared" si="13"/>
        <v>0</v>
      </c>
      <c r="T85" s="315">
        <v>0</v>
      </c>
      <c r="U85" s="40"/>
    </row>
    <row r="86" spans="1:21" s="3" customFormat="1" ht="24.95" hidden="1" customHeight="1">
      <c r="A86" s="3" t="s">
        <v>240</v>
      </c>
      <c r="B86" s="50" t="s">
        <v>136</v>
      </c>
      <c r="D86" s="26" t="s">
        <v>241</v>
      </c>
      <c r="E86" s="63">
        <f>'Front Office'!E64+HSKP!E64+Reservation!E64+'ROOMS Admin'!E64</f>
        <v>0</v>
      </c>
      <c r="F86" s="63">
        <f>'Front Office'!F64+HSKP!F64+Reservation!F64+'ROOMS Admin'!F64</f>
        <v>0</v>
      </c>
      <c r="G86" s="63">
        <f>'Front Office'!G64+HSKP!G64+Reservation!G64+'ROOMS Admin'!G64</f>
        <v>0</v>
      </c>
      <c r="H86" s="63">
        <f>'Front Office'!H64+HSKP!H64+Reservation!H64+'ROOMS Admin'!H64</f>
        <v>0</v>
      </c>
      <c r="I86" s="63">
        <f>'Front Office'!I64+HSKP!I64+Reservation!I64+'ROOMS Admin'!I64</f>
        <v>0</v>
      </c>
      <c r="J86" s="63">
        <f>'Front Office'!J64+HSKP!J64+Reservation!J64+'ROOMS Admin'!J64</f>
        <v>0</v>
      </c>
      <c r="K86" s="63">
        <f>'Front Office'!K64+HSKP!K64+Reservation!K64+'ROOMS Admin'!K64</f>
        <v>0</v>
      </c>
      <c r="L86" s="63">
        <f>'Front Office'!L64+HSKP!L64+Reservation!L64+'ROOMS Admin'!L64</f>
        <v>0</v>
      </c>
      <c r="M86" s="63">
        <f>'Front Office'!M64+HSKP!M64+Reservation!M64+'ROOMS Admin'!M64</f>
        <v>0</v>
      </c>
      <c r="N86" s="63">
        <f>'Front Office'!N64+HSKP!N64+Reservation!N64+'ROOMS Admin'!N64</f>
        <v>0</v>
      </c>
      <c r="O86" s="63">
        <f>'Front Office'!O64+HSKP!O64+Reservation!O64+'ROOMS Admin'!O64</f>
        <v>0</v>
      </c>
      <c r="P86" s="63">
        <f>'Front Office'!P64+HSKP!P64+Reservation!P64+'ROOMS Admin'!P64</f>
        <v>0</v>
      </c>
      <c r="Q86" s="355">
        <f t="shared" si="12"/>
        <v>0</v>
      </c>
      <c r="R86" s="3">
        <f t="shared" si="14"/>
        <v>0</v>
      </c>
      <c r="S86" s="146">
        <f t="shared" si="13"/>
        <v>0</v>
      </c>
      <c r="T86" s="315">
        <v>0</v>
      </c>
      <c r="U86" s="40"/>
    </row>
    <row r="87" spans="1:21" s="3" customFormat="1" ht="24.95" hidden="1" customHeight="1">
      <c r="A87" s="3" t="s">
        <v>242</v>
      </c>
      <c r="B87" s="50" t="s">
        <v>136</v>
      </c>
      <c r="D87" s="26" t="s">
        <v>243</v>
      </c>
      <c r="E87" s="63">
        <f>'Front Office'!E65+HSKP!E65+Reservation!E65+'ROOMS Admin'!E65</f>
        <v>0</v>
      </c>
      <c r="F87" s="63">
        <f>'Front Office'!F65+HSKP!F65+Reservation!F65+'ROOMS Admin'!F65</f>
        <v>0</v>
      </c>
      <c r="G87" s="63">
        <f>'Front Office'!G65+HSKP!G65+Reservation!G65+'ROOMS Admin'!G65</f>
        <v>0</v>
      </c>
      <c r="H87" s="63">
        <f>'Front Office'!H65+HSKP!H65+Reservation!H65+'ROOMS Admin'!H65</f>
        <v>0</v>
      </c>
      <c r="I87" s="63">
        <f>'Front Office'!I65+HSKP!I65+Reservation!I65+'ROOMS Admin'!I65</f>
        <v>0</v>
      </c>
      <c r="J87" s="63">
        <f>'Front Office'!J65+HSKP!J65+Reservation!J65+'ROOMS Admin'!J65</f>
        <v>0</v>
      </c>
      <c r="K87" s="63">
        <f>'Front Office'!K65+HSKP!K65+Reservation!K65+'ROOMS Admin'!K65</f>
        <v>0</v>
      </c>
      <c r="L87" s="63">
        <f>'Front Office'!L65+HSKP!L65+Reservation!L65+'ROOMS Admin'!L65</f>
        <v>0</v>
      </c>
      <c r="M87" s="63">
        <f>'Front Office'!M65+HSKP!M65+Reservation!M65+'ROOMS Admin'!M65</f>
        <v>0</v>
      </c>
      <c r="N87" s="63">
        <f>'Front Office'!N65+HSKP!N65+Reservation!N65+'ROOMS Admin'!N65</f>
        <v>0</v>
      </c>
      <c r="O87" s="63">
        <f>'Front Office'!O65+HSKP!O65+Reservation!O65+'ROOMS Admin'!O65</f>
        <v>0</v>
      </c>
      <c r="P87" s="63">
        <f>'Front Office'!P65+HSKP!P65+Reservation!P65+'ROOMS Admin'!P65</f>
        <v>0</v>
      </c>
      <c r="Q87" s="355">
        <f t="shared" si="12"/>
        <v>0</v>
      </c>
      <c r="R87" s="3">
        <f t="shared" si="14"/>
        <v>0</v>
      </c>
      <c r="S87" s="146">
        <f t="shared" si="13"/>
        <v>0</v>
      </c>
      <c r="T87" s="315">
        <v>0</v>
      </c>
      <c r="U87" s="40"/>
    </row>
    <row r="88" spans="1:21" s="3" customFormat="1" ht="24.95" hidden="1" customHeight="1">
      <c r="A88" s="3" t="s">
        <v>244</v>
      </c>
      <c r="B88" s="50" t="s">
        <v>136</v>
      </c>
      <c r="D88" s="26" t="s">
        <v>245</v>
      </c>
      <c r="E88" s="63">
        <f>'Front Office'!E66+HSKP!E66+Reservation!E66+'ROOMS Admin'!E66</f>
        <v>0</v>
      </c>
      <c r="F88" s="63">
        <f>'Front Office'!F66+HSKP!F66+Reservation!F66+'ROOMS Admin'!F66</f>
        <v>0</v>
      </c>
      <c r="G88" s="63">
        <f>'Front Office'!G66+HSKP!G66+Reservation!G66+'ROOMS Admin'!G66</f>
        <v>0</v>
      </c>
      <c r="H88" s="63">
        <f>'Front Office'!H66+HSKP!H66+Reservation!H66+'ROOMS Admin'!H66</f>
        <v>0</v>
      </c>
      <c r="I88" s="63">
        <f>'Front Office'!I66+HSKP!I66+Reservation!I66+'ROOMS Admin'!I66</f>
        <v>0</v>
      </c>
      <c r="J88" s="63">
        <f>'Front Office'!J66+HSKP!J66+Reservation!J66+'ROOMS Admin'!J66</f>
        <v>0</v>
      </c>
      <c r="K88" s="63">
        <f>'Front Office'!K66+HSKP!K66+Reservation!K66+'ROOMS Admin'!K66</f>
        <v>0</v>
      </c>
      <c r="L88" s="63">
        <f>'Front Office'!L66+HSKP!L66+Reservation!L66+'ROOMS Admin'!L66</f>
        <v>0</v>
      </c>
      <c r="M88" s="63">
        <f>'Front Office'!M66+HSKP!M66+Reservation!M66+'ROOMS Admin'!M66</f>
        <v>0</v>
      </c>
      <c r="N88" s="63">
        <f>'Front Office'!N66+HSKP!N66+Reservation!N66+'ROOMS Admin'!N66</f>
        <v>0</v>
      </c>
      <c r="O88" s="63">
        <f>'Front Office'!O66+HSKP!O66+Reservation!O66+'ROOMS Admin'!O66</f>
        <v>0</v>
      </c>
      <c r="P88" s="63">
        <f>'Front Office'!P66+HSKP!P66+Reservation!P66+'ROOMS Admin'!P66</f>
        <v>0</v>
      </c>
      <c r="Q88" s="355">
        <f t="shared" si="12"/>
        <v>0</v>
      </c>
      <c r="R88" s="3">
        <f t="shared" si="14"/>
        <v>0</v>
      </c>
      <c r="S88" s="146">
        <f t="shared" si="13"/>
        <v>0</v>
      </c>
      <c r="T88" s="315">
        <v>0</v>
      </c>
      <c r="U88" s="40"/>
    </row>
    <row r="89" spans="1:21" s="3" customFormat="1" ht="24.95" customHeight="1">
      <c r="A89" s="3" t="s">
        <v>246</v>
      </c>
      <c r="B89" s="50" t="s">
        <v>136</v>
      </c>
      <c r="D89" s="26" t="s">
        <v>247</v>
      </c>
      <c r="E89" s="63">
        <f>'Front Office'!E67+HSKP!E67+Reservation!E67+'ROOMS Admin'!E67</f>
        <v>500</v>
      </c>
      <c r="F89" s="63">
        <f>'Front Office'!F67+HSKP!F67+Reservation!F67+'ROOMS Admin'!F67</f>
        <v>400</v>
      </c>
      <c r="G89" s="63">
        <f>'Front Office'!G67+HSKP!G67+Reservation!G67+'ROOMS Admin'!G67</f>
        <v>400</v>
      </c>
      <c r="H89" s="63">
        <f>'Front Office'!H67+HSKP!H67+Reservation!H67+'ROOMS Admin'!H67</f>
        <v>400</v>
      </c>
      <c r="I89" s="63">
        <f>'Front Office'!I67+HSKP!I67+Reservation!I67+'ROOMS Admin'!I67</f>
        <v>500</v>
      </c>
      <c r="J89" s="63">
        <f>'Front Office'!J67+HSKP!J67+Reservation!J67+'ROOMS Admin'!J67</f>
        <v>400</v>
      </c>
      <c r="K89" s="63">
        <f>'Front Office'!K67+HSKP!K67+Reservation!K67+'ROOMS Admin'!K67</f>
        <v>400</v>
      </c>
      <c r="L89" s="63">
        <f>'Front Office'!L67+HSKP!L67+Reservation!L67+'ROOMS Admin'!L67</f>
        <v>400</v>
      </c>
      <c r="M89" s="63">
        <f>'Front Office'!M67+HSKP!M67+Reservation!M67+'ROOMS Admin'!M67</f>
        <v>400</v>
      </c>
      <c r="N89" s="63">
        <f>'Front Office'!N67+HSKP!N67+Reservation!N67+'ROOMS Admin'!N67</f>
        <v>500</v>
      </c>
      <c r="O89" s="63">
        <f>'Front Office'!O67+HSKP!O67+Reservation!O67+'ROOMS Admin'!O67</f>
        <v>400</v>
      </c>
      <c r="P89" s="63">
        <f>'Front Office'!P67+HSKP!P67+Reservation!P67+'ROOMS Admin'!P67</f>
        <v>400</v>
      </c>
      <c r="Q89" s="355">
        <f t="shared" si="12"/>
        <v>5100</v>
      </c>
      <c r="R89" s="3">
        <f t="shared" si="14"/>
        <v>0.11049723756906077</v>
      </c>
      <c r="S89" s="146">
        <f t="shared" si="13"/>
        <v>2.3181319994177582E-4</v>
      </c>
      <c r="T89" s="315">
        <v>0.1595204490777867</v>
      </c>
      <c r="U89" s="40"/>
    </row>
    <row r="90" spans="1:21" s="3" customFormat="1" ht="24.95" customHeight="1">
      <c r="A90" s="3" t="s">
        <v>248</v>
      </c>
      <c r="B90" s="50" t="s">
        <v>136</v>
      </c>
      <c r="D90" s="26" t="s">
        <v>249</v>
      </c>
      <c r="E90" s="63">
        <f>'Front Office'!E68+HSKP!E68+Reservation!E68+'ROOMS Admin'!E68</f>
        <v>1500</v>
      </c>
      <c r="F90" s="63">
        <f>'Front Office'!F68+HSKP!F68+Reservation!F68+'ROOMS Admin'!F68</f>
        <v>1500</v>
      </c>
      <c r="G90" s="63">
        <f>'Front Office'!G68+HSKP!G68+Reservation!G68+'ROOMS Admin'!G68</f>
        <v>1500</v>
      </c>
      <c r="H90" s="63">
        <f>'Front Office'!H68+HSKP!H68+Reservation!H68+'ROOMS Admin'!H68</f>
        <v>1500</v>
      </c>
      <c r="I90" s="63">
        <f>'Front Office'!I68+HSKP!I68+Reservation!I68+'ROOMS Admin'!I68</f>
        <v>1500</v>
      </c>
      <c r="J90" s="63">
        <f>'Front Office'!J68+HSKP!J68+Reservation!J68+'ROOMS Admin'!J68</f>
        <v>1500</v>
      </c>
      <c r="K90" s="63">
        <f>'Front Office'!K68+HSKP!K68+Reservation!K68+'ROOMS Admin'!K68</f>
        <v>1500</v>
      </c>
      <c r="L90" s="63">
        <f>'Front Office'!L68+HSKP!L68+Reservation!L68+'ROOMS Admin'!L68</f>
        <v>1500</v>
      </c>
      <c r="M90" s="63">
        <f>'Front Office'!M68+HSKP!M68+Reservation!M68+'ROOMS Admin'!M68</f>
        <v>1500</v>
      </c>
      <c r="N90" s="63">
        <f>'Front Office'!N68+HSKP!N68+Reservation!N68+'ROOMS Admin'!N68</f>
        <v>1500</v>
      </c>
      <c r="O90" s="63">
        <f>'Front Office'!O68+HSKP!O68+Reservation!O68+'ROOMS Admin'!O68</f>
        <v>1500</v>
      </c>
      <c r="P90" s="63">
        <f>'Front Office'!P68+HSKP!P68+Reservation!P68+'ROOMS Admin'!P68</f>
        <v>1500</v>
      </c>
      <c r="Q90" s="355">
        <f t="shared" si="12"/>
        <v>18000</v>
      </c>
      <c r="R90" s="3">
        <f t="shared" si="14"/>
        <v>0.3899902502437439</v>
      </c>
      <c r="S90" s="146">
        <f t="shared" si="13"/>
        <v>8.1816423508862058E-4</v>
      </c>
      <c r="T90" s="315">
        <v>0.38535725741780269</v>
      </c>
      <c r="U90" s="40"/>
    </row>
    <row r="91" spans="1:21" s="3" customFormat="1" ht="24.95" customHeight="1">
      <c r="A91" s="3" t="s">
        <v>250</v>
      </c>
      <c r="B91" s="50" t="s">
        <v>136</v>
      </c>
      <c r="D91" s="26" t="s">
        <v>251</v>
      </c>
      <c r="E91" s="63">
        <f>'Front Office'!E69+HSKP!E69+Reservation!E69+'ROOMS Admin'!E69</f>
        <v>15682.06</v>
      </c>
      <c r="F91" s="63">
        <f>'Front Office'!F69+HSKP!F69+Reservation!F69+'ROOMS Admin'!F69</f>
        <v>16819.980000000003</v>
      </c>
      <c r="G91" s="63">
        <f>'Front Office'!G69+HSKP!G69+Reservation!G69+'ROOMS Admin'!G69</f>
        <v>15640</v>
      </c>
      <c r="H91" s="63">
        <f>'Front Office'!H69+HSKP!H69+Reservation!H69+'ROOMS Admin'!H69</f>
        <v>16917.55</v>
      </c>
      <c r="I91" s="63">
        <f>'Front Office'!I69+HSKP!I69+Reservation!I69+'ROOMS Admin'!I69</f>
        <v>17075.02</v>
      </c>
      <c r="J91" s="63">
        <f>'Front Office'!J69+HSKP!J69+Reservation!J69+'ROOMS Admin'!J69</f>
        <v>17190.05</v>
      </c>
      <c r="K91" s="63">
        <f>'Front Office'!K69+HSKP!K69+Reservation!K69+'ROOMS Admin'!K69</f>
        <v>17063.21</v>
      </c>
      <c r="L91" s="63">
        <f>'Front Office'!L69+HSKP!L69+Reservation!L69+'ROOMS Admin'!L69</f>
        <v>17123.78</v>
      </c>
      <c r="M91" s="63">
        <f>'Front Office'!M69+HSKP!M69+Reservation!M69+'ROOMS Admin'!M69</f>
        <v>17916.84</v>
      </c>
      <c r="N91" s="63">
        <f>'Front Office'!N69+HSKP!N69+Reservation!N69+'ROOMS Admin'!N69</f>
        <v>19054.739999999998</v>
      </c>
      <c r="O91" s="63">
        <f>'Front Office'!O69+HSKP!O69+Reservation!O69+'ROOMS Admin'!O69</f>
        <v>16596.900000000001</v>
      </c>
      <c r="P91" s="63">
        <f>'Front Office'!P69+HSKP!P69+Reservation!P69+'ROOMS Admin'!P69</f>
        <v>16366.75</v>
      </c>
      <c r="Q91" s="355">
        <f t="shared" si="12"/>
        <v>203446.87999999998</v>
      </c>
      <c r="R91" s="3">
        <f t="shared" si="14"/>
        <v>4.4079055356949404</v>
      </c>
      <c r="S91" s="146">
        <f t="shared" si="13"/>
        <v>9.2473867197981306E-3</v>
      </c>
      <c r="T91" s="315">
        <v>3.9979627105052127</v>
      </c>
      <c r="U91" s="40"/>
    </row>
    <row r="92" spans="1:21" s="3" customFormat="1" ht="24.75" hidden="1" customHeight="1">
      <c r="A92" s="3" t="s">
        <v>252</v>
      </c>
      <c r="B92" s="50" t="s">
        <v>136</v>
      </c>
      <c r="D92" s="26" t="s">
        <v>253</v>
      </c>
      <c r="E92" s="63">
        <f>'Front Office'!E70+HSKP!E70+Reservation!E70+'ROOMS Admin'!E70</f>
        <v>0</v>
      </c>
      <c r="F92" s="63">
        <f>'Front Office'!F70+HSKP!F70+Reservation!F70+'ROOMS Admin'!F70</f>
        <v>0</v>
      </c>
      <c r="G92" s="63">
        <f>'Front Office'!G70+HSKP!G70+Reservation!G70+'ROOMS Admin'!G70</f>
        <v>0</v>
      </c>
      <c r="H92" s="63">
        <f>'Front Office'!H70+HSKP!H70+Reservation!H70+'ROOMS Admin'!H70</f>
        <v>0</v>
      </c>
      <c r="I92" s="63">
        <f>'Front Office'!I70+HSKP!I70+Reservation!I70+'ROOMS Admin'!I70</f>
        <v>0</v>
      </c>
      <c r="J92" s="63">
        <f>'Front Office'!J70+HSKP!J70+Reservation!J70+'ROOMS Admin'!J70</f>
        <v>0</v>
      </c>
      <c r="K92" s="63">
        <f>'Front Office'!K70+HSKP!K70+Reservation!K70+'ROOMS Admin'!K70</f>
        <v>0</v>
      </c>
      <c r="L92" s="63">
        <f>'Front Office'!L70+HSKP!L70+Reservation!L70+'ROOMS Admin'!L70</f>
        <v>0</v>
      </c>
      <c r="M92" s="63">
        <f>'Front Office'!M70+HSKP!M70+Reservation!M70+'ROOMS Admin'!M70</f>
        <v>0</v>
      </c>
      <c r="N92" s="63">
        <f>'Front Office'!N70+HSKP!N70+Reservation!N70+'ROOMS Admin'!N70</f>
        <v>0</v>
      </c>
      <c r="O92" s="63">
        <f>'Front Office'!O70+HSKP!O70+Reservation!O70+'ROOMS Admin'!O70</f>
        <v>0</v>
      </c>
      <c r="P92" s="63">
        <f>'Front Office'!P70+HSKP!P70+Reservation!P70+'ROOMS Admin'!P70</f>
        <v>0</v>
      </c>
      <c r="Q92" s="355">
        <f t="shared" si="12"/>
        <v>0</v>
      </c>
      <c r="R92" s="3">
        <f t="shared" si="14"/>
        <v>0</v>
      </c>
      <c r="S92" s="146">
        <f t="shared" si="13"/>
        <v>0</v>
      </c>
      <c r="T92" s="315">
        <v>0</v>
      </c>
      <c r="U92" s="40"/>
    </row>
    <row r="93" spans="1:21" s="3" customFormat="1" ht="24.95" customHeight="1">
      <c r="A93" s="3" t="s">
        <v>254</v>
      </c>
      <c r="B93" s="50" t="s">
        <v>136</v>
      </c>
      <c r="D93" s="26" t="s">
        <v>255</v>
      </c>
      <c r="E93" s="63">
        <f>'Front Office'!E71+HSKP!E71+Reservation!E71+'ROOMS Admin'!E71</f>
        <v>2850</v>
      </c>
      <c r="F93" s="63">
        <f>'Front Office'!F71+HSKP!F71+Reservation!F71+'ROOMS Admin'!F71</f>
        <v>2850</v>
      </c>
      <c r="G93" s="63">
        <f>'Front Office'!G71+HSKP!G71+Reservation!G71+'ROOMS Admin'!G71</f>
        <v>2850</v>
      </c>
      <c r="H93" s="63">
        <f>'Front Office'!H71+HSKP!H71+Reservation!H71+'ROOMS Admin'!H71</f>
        <v>2850</v>
      </c>
      <c r="I93" s="63">
        <f>'Front Office'!I71+HSKP!I71+Reservation!I71+'ROOMS Admin'!I71</f>
        <v>2850</v>
      </c>
      <c r="J93" s="63">
        <f>'Front Office'!J71+HSKP!J71+Reservation!J71+'ROOMS Admin'!J71</f>
        <v>2850</v>
      </c>
      <c r="K93" s="63">
        <f>'Front Office'!K71+HSKP!K71+Reservation!K71+'ROOMS Admin'!K71</f>
        <v>2850</v>
      </c>
      <c r="L93" s="63">
        <f>'Front Office'!L71+HSKP!L71+Reservation!L71+'ROOMS Admin'!L71</f>
        <v>2850</v>
      </c>
      <c r="M93" s="63">
        <f>'Front Office'!M71+HSKP!M71+Reservation!M71+'ROOMS Admin'!M71</f>
        <v>2850</v>
      </c>
      <c r="N93" s="63">
        <f>'Front Office'!N71+HSKP!N71+Reservation!N71+'ROOMS Admin'!N71</f>
        <v>2850</v>
      </c>
      <c r="O93" s="63">
        <f>'Front Office'!O71+HSKP!O71+Reservation!O71+'ROOMS Admin'!O71</f>
        <v>2850</v>
      </c>
      <c r="P93" s="63">
        <f>'Front Office'!P71+HSKP!P71+Reservation!P71+'ROOMS Admin'!P71</f>
        <v>2850</v>
      </c>
      <c r="Q93" s="355">
        <f t="shared" si="12"/>
        <v>34200</v>
      </c>
      <c r="R93" s="3">
        <f t="shared" si="14"/>
        <v>0.74098147546311344</v>
      </c>
      <c r="S93" s="146">
        <f t="shared" si="13"/>
        <v>1.5545120466683791E-3</v>
      </c>
      <c r="T93" s="315">
        <v>0.95003488372093015</v>
      </c>
      <c r="U93" s="40"/>
    </row>
    <row r="94" spans="1:21" s="3" customFormat="1" ht="24.95" customHeight="1">
      <c r="A94" s="3" t="s">
        <v>256</v>
      </c>
      <c r="B94" s="50" t="s">
        <v>136</v>
      </c>
      <c r="D94" s="26" t="s">
        <v>257</v>
      </c>
      <c r="E94" s="63">
        <f>'Front Office'!E72+HSKP!E72+Reservation!E72+'ROOMS Admin'!E72</f>
        <v>200</v>
      </c>
      <c r="F94" s="63">
        <f>'Front Office'!F72+HSKP!F72+Reservation!F72+'ROOMS Admin'!F72</f>
        <v>200</v>
      </c>
      <c r="G94" s="63">
        <f>'Front Office'!G72+HSKP!G72+Reservation!G72+'ROOMS Admin'!G72</f>
        <v>200</v>
      </c>
      <c r="H94" s="63">
        <f>'Front Office'!H72+HSKP!H72+Reservation!H72+'ROOMS Admin'!H72</f>
        <v>200</v>
      </c>
      <c r="I94" s="63">
        <f>'Front Office'!I72+HSKP!I72+Reservation!I72+'ROOMS Admin'!I72</f>
        <v>200</v>
      </c>
      <c r="J94" s="63">
        <f>'Front Office'!J72+HSKP!J72+Reservation!J72+'ROOMS Admin'!J72</f>
        <v>200</v>
      </c>
      <c r="K94" s="63">
        <f>'Front Office'!K72+HSKP!K72+Reservation!K72+'ROOMS Admin'!K72</f>
        <v>200</v>
      </c>
      <c r="L94" s="63">
        <f>'Front Office'!L72+HSKP!L72+Reservation!L72+'ROOMS Admin'!L72</f>
        <v>200</v>
      </c>
      <c r="M94" s="63">
        <f>'Front Office'!M72+HSKP!M72+Reservation!M72+'ROOMS Admin'!M72</f>
        <v>200</v>
      </c>
      <c r="N94" s="63">
        <f>'Front Office'!N72+HSKP!N72+Reservation!N72+'ROOMS Admin'!N72</f>
        <v>200</v>
      </c>
      <c r="O94" s="63">
        <f>'Front Office'!O72+HSKP!O72+Reservation!O72+'ROOMS Admin'!O72</f>
        <v>200</v>
      </c>
      <c r="P94" s="63">
        <f>'Front Office'!P72+HSKP!P72+Reservation!P72+'ROOMS Admin'!P72</f>
        <v>200</v>
      </c>
      <c r="Q94" s="355">
        <f t="shared" si="12"/>
        <v>2400</v>
      </c>
      <c r="R94" s="3">
        <f t="shared" si="14"/>
        <v>5.1998700032499186E-2</v>
      </c>
      <c r="S94" s="146">
        <f t="shared" si="13"/>
        <v>1.0908856467848275E-4</v>
      </c>
      <c r="T94" s="315">
        <v>9.5508821170809929E-2</v>
      </c>
      <c r="U94" s="40"/>
    </row>
    <row r="95" spans="1:21" s="3" customFormat="1" ht="24.95" customHeight="1">
      <c r="A95" s="3" t="s">
        <v>258</v>
      </c>
      <c r="B95" s="50" t="s">
        <v>136</v>
      </c>
      <c r="D95" s="26" t="s">
        <v>259</v>
      </c>
      <c r="E95" s="63">
        <f>'Front Office'!E73+HSKP!E73+Reservation!E73+'ROOMS Admin'!E73</f>
        <v>300</v>
      </c>
      <c r="F95" s="63">
        <f>'Front Office'!F73+HSKP!F73+Reservation!F73+'ROOMS Admin'!F73</f>
        <v>300</v>
      </c>
      <c r="G95" s="63">
        <f>'Front Office'!G73+HSKP!G73+Reservation!G73+'ROOMS Admin'!G73</f>
        <v>300</v>
      </c>
      <c r="H95" s="63">
        <f>'Front Office'!H73+HSKP!H73+Reservation!H73+'ROOMS Admin'!H73</f>
        <v>300</v>
      </c>
      <c r="I95" s="63">
        <f>'Front Office'!I73+HSKP!I73+Reservation!I73+'ROOMS Admin'!I73</f>
        <v>300</v>
      </c>
      <c r="J95" s="63">
        <f>'Front Office'!J73+HSKP!J73+Reservation!J73+'ROOMS Admin'!J73</f>
        <v>300</v>
      </c>
      <c r="K95" s="63">
        <f>'Front Office'!K73+HSKP!K73+Reservation!K73+'ROOMS Admin'!K73</f>
        <v>300</v>
      </c>
      <c r="L95" s="63">
        <f>'Front Office'!L73+HSKP!L73+Reservation!L73+'ROOMS Admin'!L73</f>
        <v>300</v>
      </c>
      <c r="M95" s="63">
        <f>'Front Office'!M73+HSKP!M73+Reservation!M73+'ROOMS Admin'!M73</f>
        <v>300</v>
      </c>
      <c r="N95" s="63">
        <f>'Front Office'!N73+HSKP!N73+Reservation!N73+'ROOMS Admin'!N73</f>
        <v>300</v>
      </c>
      <c r="O95" s="63">
        <f>'Front Office'!O73+HSKP!O73+Reservation!O73+'ROOMS Admin'!O73</f>
        <v>300</v>
      </c>
      <c r="P95" s="63">
        <f>'Front Office'!P73+HSKP!P73+Reservation!P73+'ROOMS Admin'!P73</f>
        <v>300</v>
      </c>
      <c r="Q95" s="355">
        <f t="shared" si="12"/>
        <v>3600</v>
      </c>
      <c r="R95" s="3">
        <f t="shared" si="14"/>
        <v>7.7998050048748782E-2</v>
      </c>
      <c r="S95" s="146">
        <f t="shared" si="13"/>
        <v>1.6363284701772412E-4</v>
      </c>
      <c r="T95" s="315">
        <v>1.3191659983961507E-2</v>
      </c>
      <c r="U95" s="40"/>
    </row>
    <row r="96" spans="1:21" s="3" customFormat="1" ht="24.95" customHeight="1">
      <c r="A96" s="3" t="s">
        <v>260</v>
      </c>
      <c r="B96" s="50" t="s">
        <v>136</v>
      </c>
      <c r="D96" s="26" t="s">
        <v>261</v>
      </c>
      <c r="E96" s="63">
        <f>'Front Office'!E74+HSKP!E74+Reservation!E74+'ROOMS Admin'!E74</f>
        <v>0</v>
      </c>
      <c r="F96" s="63">
        <f>'Front Office'!F74+HSKP!F74+Reservation!F74+'ROOMS Admin'!F74</f>
        <v>0</v>
      </c>
      <c r="G96" s="63">
        <f>'Front Office'!G74+HSKP!G74+Reservation!G74+'ROOMS Admin'!G74</f>
        <v>0</v>
      </c>
      <c r="H96" s="63">
        <f>'Front Office'!H74+HSKP!H74+Reservation!H74+'ROOMS Admin'!H74</f>
        <v>7500</v>
      </c>
      <c r="I96" s="63">
        <f>'Front Office'!I74+HSKP!I74+Reservation!I74+'ROOMS Admin'!I74</f>
        <v>2500</v>
      </c>
      <c r="J96" s="63">
        <f>'Front Office'!J74+HSKP!J74+Reservation!J74+'ROOMS Admin'!J74</f>
        <v>0</v>
      </c>
      <c r="K96" s="63">
        <f>'Front Office'!K74+HSKP!K74+Reservation!K74+'ROOMS Admin'!K74</f>
        <v>0</v>
      </c>
      <c r="L96" s="63">
        <f>'Front Office'!L74+HSKP!L74+Reservation!L74+'ROOMS Admin'!L74</f>
        <v>0</v>
      </c>
      <c r="M96" s="63">
        <f>'Front Office'!M74+HSKP!M74+Reservation!M74+'ROOMS Admin'!M74</f>
        <v>0</v>
      </c>
      <c r="N96" s="63">
        <f>'Front Office'!N74+HSKP!N74+Reservation!N74+'ROOMS Admin'!N74</f>
        <v>0</v>
      </c>
      <c r="O96" s="63">
        <f>'Front Office'!O74+HSKP!O74+Reservation!O74+'ROOMS Admin'!O74</f>
        <v>0</v>
      </c>
      <c r="P96" s="63">
        <f>'Front Office'!P74+HSKP!P74+Reservation!P74+'ROOMS Admin'!P74</f>
        <v>0</v>
      </c>
      <c r="Q96" s="355">
        <f t="shared" si="12"/>
        <v>10000</v>
      </c>
      <c r="R96" s="3">
        <f t="shared" si="14"/>
        <v>0.21666125013541329</v>
      </c>
      <c r="S96" s="146">
        <f t="shared" si="13"/>
        <v>4.5453568616034474E-4</v>
      </c>
      <c r="T96" s="315">
        <v>0</v>
      </c>
      <c r="U96" s="40"/>
    </row>
    <row r="97" spans="1:21" s="3" customFormat="1" ht="24.95" hidden="1" customHeight="1">
      <c r="A97" s="3" t="s">
        <v>262</v>
      </c>
      <c r="B97" s="50" t="s">
        <v>136</v>
      </c>
      <c r="D97" s="26" t="s">
        <v>263</v>
      </c>
      <c r="E97" s="63">
        <f>'Front Office'!E75+HSKP!E75+Reservation!E75+'ROOMS Admin'!E75</f>
        <v>0</v>
      </c>
      <c r="F97" s="63">
        <f>'Front Office'!F75+HSKP!F75+Reservation!F75+'ROOMS Admin'!F75</f>
        <v>0</v>
      </c>
      <c r="G97" s="63">
        <f>'Front Office'!G75+HSKP!G75+Reservation!G75+'ROOMS Admin'!G75</f>
        <v>0</v>
      </c>
      <c r="H97" s="63">
        <f>'Front Office'!H75+HSKP!H75+Reservation!H75+'ROOMS Admin'!H75</f>
        <v>0</v>
      </c>
      <c r="I97" s="63">
        <f>'Front Office'!I75+HSKP!I75+Reservation!I75+'ROOMS Admin'!I75</f>
        <v>0</v>
      </c>
      <c r="J97" s="63">
        <f>'Front Office'!J75+HSKP!J75+Reservation!J75+'ROOMS Admin'!J75</f>
        <v>0</v>
      </c>
      <c r="K97" s="63">
        <f>'Front Office'!K75+HSKP!K75+Reservation!K75+'ROOMS Admin'!K75</f>
        <v>0</v>
      </c>
      <c r="L97" s="63">
        <f>'Front Office'!L75+HSKP!L75+Reservation!L75+'ROOMS Admin'!L75</f>
        <v>0</v>
      </c>
      <c r="M97" s="63">
        <f>'Front Office'!M75+HSKP!M75+Reservation!M75+'ROOMS Admin'!M75</f>
        <v>0</v>
      </c>
      <c r="N97" s="63">
        <f>'Front Office'!N75+HSKP!N75+Reservation!N75+'ROOMS Admin'!N75</f>
        <v>0</v>
      </c>
      <c r="O97" s="63">
        <f>'Front Office'!O75+HSKP!O75+Reservation!O75+'ROOMS Admin'!O75</f>
        <v>0</v>
      </c>
      <c r="P97" s="63">
        <f>'Front Office'!P75+HSKP!P75+Reservation!P75+'ROOMS Admin'!P75</f>
        <v>0</v>
      </c>
      <c r="Q97" s="355">
        <f t="shared" si="12"/>
        <v>0</v>
      </c>
      <c r="R97" s="3">
        <f t="shared" si="14"/>
        <v>0</v>
      </c>
      <c r="S97" s="146">
        <f t="shared" si="13"/>
        <v>0</v>
      </c>
      <c r="T97" s="315">
        <v>0</v>
      </c>
      <c r="U97" s="40"/>
    </row>
    <row r="98" spans="1:21" s="3" customFormat="1" ht="24.95" hidden="1" customHeight="1">
      <c r="A98" s="3" t="s">
        <v>264</v>
      </c>
      <c r="B98" s="50" t="s">
        <v>136</v>
      </c>
      <c r="D98" s="26" t="s">
        <v>265</v>
      </c>
      <c r="E98" s="63">
        <f>'Front Office'!E76+HSKP!E76+Reservation!E76+'ROOMS Admin'!E76</f>
        <v>0</v>
      </c>
      <c r="F98" s="63">
        <f>'Front Office'!F76+HSKP!F76+Reservation!F76+'ROOMS Admin'!F76</f>
        <v>0</v>
      </c>
      <c r="G98" s="63">
        <f>'Front Office'!G76+HSKP!G76+Reservation!G76+'ROOMS Admin'!G76</f>
        <v>0</v>
      </c>
      <c r="H98" s="63">
        <f>'Front Office'!H76+HSKP!H76+Reservation!H76+'ROOMS Admin'!H76</f>
        <v>0</v>
      </c>
      <c r="I98" s="63">
        <f>'Front Office'!I76+HSKP!I76+Reservation!I76+'ROOMS Admin'!I76</f>
        <v>0</v>
      </c>
      <c r="J98" s="63">
        <f>'Front Office'!J76+HSKP!J76+Reservation!J76+'ROOMS Admin'!J76</f>
        <v>0</v>
      </c>
      <c r="K98" s="63">
        <f>'Front Office'!K76+HSKP!K76+Reservation!K76+'ROOMS Admin'!K76</f>
        <v>0</v>
      </c>
      <c r="L98" s="63">
        <f>'Front Office'!L76+HSKP!L76+Reservation!L76+'ROOMS Admin'!L76</f>
        <v>0</v>
      </c>
      <c r="M98" s="63">
        <f>'Front Office'!M76+HSKP!M76+Reservation!M76+'ROOMS Admin'!M76</f>
        <v>0</v>
      </c>
      <c r="N98" s="63">
        <f>'Front Office'!N76+HSKP!N76+Reservation!N76+'ROOMS Admin'!N76</f>
        <v>0</v>
      </c>
      <c r="O98" s="63">
        <f>'Front Office'!O76+HSKP!O76+Reservation!O76+'ROOMS Admin'!O76</f>
        <v>0</v>
      </c>
      <c r="P98" s="63">
        <f>'Front Office'!P76+HSKP!P76+Reservation!P76+'ROOMS Admin'!P76</f>
        <v>0</v>
      </c>
      <c r="Q98" s="355">
        <f t="shared" si="12"/>
        <v>0</v>
      </c>
      <c r="R98" s="3">
        <f t="shared" si="14"/>
        <v>0</v>
      </c>
      <c r="S98" s="146">
        <f t="shared" si="13"/>
        <v>0</v>
      </c>
      <c r="T98" s="315">
        <v>0</v>
      </c>
      <c r="U98" s="40"/>
    </row>
    <row r="99" spans="1:21" s="3" customFormat="1" ht="24.95" customHeight="1">
      <c r="A99" s="3" t="s">
        <v>266</v>
      </c>
      <c r="B99" s="50" t="s">
        <v>136</v>
      </c>
      <c r="D99" s="26" t="s">
        <v>267</v>
      </c>
      <c r="E99" s="63">
        <f>'Front Office'!E77+HSKP!E77+Reservation!E77+'ROOMS Admin'!E77</f>
        <v>0</v>
      </c>
      <c r="F99" s="63">
        <f>'Front Office'!F77+HSKP!F77+Reservation!F77+'ROOMS Admin'!F77</f>
        <v>0</v>
      </c>
      <c r="G99" s="63">
        <f>'Front Office'!G77+HSKP!G77+Reservation!G77+'ROOMS Admin'!G77</f>
        <v>0</v>
      </c>
      <c r="H99" s="63">
        <f>'Front Office'!H77+HSKP!H77+Reservation!H77+'ROOMS Admin'!H77</f>
        <v>0</v>
      </c>
      <c r="I99" s="63">
        <f>'Front Office'!I77+HSKP!I77+Reservation!I77+'ROOMS Admin'!I77</f>
        <v>0</v>
      </c>
      <c r="J99" s="63">
        <f>'Front Office'!J77+HSKP!J77+Reservation!J77+'ROOMS Admin'!J77</f>
        <v>0</v>
      </c>
      <c r="K99" s="63">
        <f>'Front Office'!K77+HSKP!K77+Reservation!K77+'ROOMS Admin'!K77</f>
        <v>0</v>
      </c>
      <c r="L99" s="63">
        <f>'Front Office'!L77+HSKP!L77+Reservation!L77+'ROOMS Admin'!L77</f>
        <v>0</v>
      </c>
      <c r="M99" s="63">
        <f>'Front Office'!M77+HSKP!M77+Reservation!M77+'ROOMS Admin'!M77</f>
        <v>0</v>
      </c>
      <c r="N99" s="63">
        <f>'Front Office'!N77+HSKP!N77+Reservation!N77+'ROOMS Admin'!N77</f>
        <v>0</v>
      </c>
      <c r="O99" s="63">
        <f>'Front Office'!O77+HSKP!O77+Reservation!O77+'ROOMS Admin'!O77</f>
        <v>0</v>
      </c>
      <c r="P99" s="63">
        <f>'Front Office'!P77+HSKP!P77+Reservation!P77+'ROOMS Admin'!P77</f>
        <v>0</v>
      </c>
      <c r="Q99" s="355">
        <f t="shared" si="12"/>
        <v>0</v>
      </c>
      <c r="R99" s="3">
        <f t="shared" si="14"/>
        <v>0</v>
      </c>
      <c r="S99" s="146">
        <f t="shared" si="13"/>
        <v>0</v>
      </c>
      <c r="T99" s="315">
        <v>0</v>
      </c>
      <c r="U99" s="40"/>
    </row>
    <row r="100" spans="1:21" s="3" customFormat="1" ht="24.95" customHeight="1">
      <c r="A100" s="3" t="s">
        <v>268</v>
      </c>
      <c r="B100" s="50" t="s">
        <v>136</v>
      </c>
      <c r="D100" s="26" t="s">
        <v>269</v>
      </c>
      <c r="E100" s="63">
        <f>'Front Office'!E78+HSKP!E78+Reservation!E78+'ROOMS Admin'!E78</f>
        <v>0</v>
      </c>
      <c r="F100" s="63">
        <f>'Front Office'!F78+HSKP!F78+Reservation!F78+'ROOMS Admin'!F78</f>
        <v>0</v>
      </c>
      <c r="G100" s="63">
        <f>'Front Office'!G78+HSKP!G78+Reservation!G78+'ROOMS Admin'!G78</f>
        <v>0</v>
      </c>
      <c r="H100" s="63">
        <f>'Front Office'!H78+HSKP!H78+Reservation!H78+'ROOMS Admin'!H78</f>
        <v>0</v>
      </c>
      <c r="I100" s="63">
        <f>'Front Office'!I78+HSKP!I78+Reservation!I78+'ROOMS Admin'!I78</f>
        <v>0</v>
      </c>
      <c r="J100" s="63">
        <f>'Front Office'!J78+HSKP!J78+Reservation!J78+'ROOMS Admin'!J78</f>
        <v>0</v>
      </c>
      <c r="K100" s="63">
        <f>'Front Office'!K78+HSKP!K78+Reservation!K78+'ROOMS Admin'!K78</f>
        <v>0</v>
      </c>
      <c r="L100" s="63">
        <f>'Front Office'!L78+HSKP!L78+Reservation!L78+'ROOMS Admin'!L78</f>
        <v>0</v>
      </c>
      <c r="M100" s="63">
        <f>'Front Office'!M78+HSKP!M78+Reservation!M78+'ROOMS Admin'!M78</f>
        <v>0</v>
      </c>
      <c r="N100" s="63">
        <f>'Front Office'!N78+HSKP!N78+Reservation!N78+'ROOMS Admin'!N78</f>
        <v>0</v>
      </c>
      <c r="O100" s="63">
        <f>'Front Office'!O78+HSKP!O78+Reservation!O78+'ROOMS Admin'!O78</f>
        <v>0</v>
      </c>
      <c r="P100" s="63">
        <f>'Front Office'!P78+HSKP!P78+Reservation!P78+'ROOMS Admin'!P78</f>
        <v>0</v>
      </c>
      <c r="Q100" s="355">
        <f t="shared" si="12"/>
        <v>0</v>
      </c>
      <c r="R100" s="3">
        <f t="shared" ref="R100:R103" si="15">Q100/$Q$111</f>
        <v>0</v>
      </c>
      <c r="S100" s="146">
        <f t="shared" si="13"/>
        <v>0</v>
      </c>
      <c r="T100" s="315">
        <v>0</v>
      </c>
      <c r="U100" s="40"/>
    </row>
    <row r="101" spans="1:21" s="3" customFormat="1" ht="24.95" customHeight="1">
      <c r="A101" s="3" t="s">
        <v>270</v>
      </c>
      <c r="B101" s="50" t="s">
        <v>136</v>
      </c>
      <c r="D101" s="26" t="s">
        <v>271</v>
      </c>
      <c r="E101" s="63">
        <f>'Front Office'!E79+HSKP!E79+Reservation!E79+'ROOMS Admin'!E79</f>
        <v>0</v>
      </c>
      <c r="F101" s="63">
        <f>'Front Office'!F79+HSKP!F79+Reservation!F79+'ROOMS Admin'!F79</f>
        <v>0</v>
      </c>
      <c r="G101" s="63">
        <f>'Front Office'!G79+HSKP!G79+Reservation!G79+'ROOMS Admin'!G79</f>
        <v>0</v>
      </c>
      <c r="H101" s="63">
        <f>'Front Office'!H79+HSKP!H79+Reservation!H79+'ROOMS Admin'!H79</f>
        <v>0</v>
      </c>
      <c r="I101" s="63">
        <f>'Front Office'!I79+HSKP!I79+Reservation!I79+'ROOMS Admin'!I79</f>
        <v>0</v>
      </c>
      <c r="J101" s="63">
        <f>'Front Office'!J79+HSKP!J79+Reservation!J79+'ROOMS Admin'!J79</f>
        <v>0</v>
      </c>
      <c r="K101" s="63">
        <f>'Front Office'!K79+HSKP!K79+Reservation!K79+'ROOMS Admin'!K79</f>
        <v>0</v>
      </c>
      <c r="L101" s="63">
        <f>'Front Office'!L79+HSKP!L79+Reservation!L79+'ROOMS Admin'!L79</f>
        <v>0</v>
      </c>
      <c r="M101" s="63">
        <f>'Front Office'!M79+HSKP!M79+Reservation!M79+'ROOMS Admin'!M79</f>
        <v>0</v>
      </c>
      <c r="N101" s="63">
        <f>'Front Office'!N79+HSKP!N79+Reservation!N79+'ROOMS Admin'!N79</f>
        <v>0</v>
      </c>
      <c r="O101" s="63">
        <f>'Front Office'!O79+HSKP!O79+Reservation!O79+'ROOMS Admin'!O79</f>
        <v>0</v>
      </c>
      <c r="P101" s="63">
        <f>'Front Office'!P79+HSKP!P79+Reservation!P79+'ROOMS Admin'!P79</f>
        <v>0</v>
      </c>
      <c r="Q101" s="355">
        <f>SUM(E101:P101)</f>
        <v>0</v>
      </c>
      <c r="R101" s="3">
        <f t="shared" si="15"/>
        <v>0</v>
      </c>
      <c r="S101" s="146">
        <f t="shared" ref="S101:S103" si="16">Q101/$Q$20</f>
        <v>0</v>
      </c>
      <c r="T101" s="315">
        <v>0</v>
      </c>
      <c r="U101" s="40"/>
    </row>
    <row r="102" spans="1:21" s="3" customFormat="1" ht="24.95" customHeight="1">
      <c r="A102" s="3" t="s">
        <v>272</v>
      </c>
      <c r="B102" s="50" t="s">
        <v>136</v>
      </c>
      <c r="D102" s="26" t="s">
        <v>273</v>
      </c>
      <c r="E102" s="63">
        <f>'Front Office'!E80+HSKP!E80+Reservation!E80+'ROOMS Admin'!E80</f>
        <v>500</v>
      </c>
      <c r="F102" s="63">
        <f>'Front Office'!F80+HSKP!F80+Reservation!F80+'ROOMS Admin'!F80</f>
        <v>500</v>
      </c>
      <c r="G102" s="63">
        <f>'Front Office'!G80+HSKP!G80+Reservation!G80+'ROOMS Admin'!G80</f>
        <v>500</v>
      </c>
      <c r="H102" s="63">
        <f>'Front Office'!H80+HSKP!H80+Reservation!H80+'ROOMS Admin'!H80</f>
        <v>500</v>
      </c>
      <c r="I102" s="63">
        <f>'Front Office'!I80+HSKP!I80+Reservation!I80+'ROOMS Admin'!I80</f>
        <v>500</v>
      </c>
      <c r="J102" s="63">
        <f>'Front Office'!J80+HSKP!J80+Reservation!J80+'ROOMS Admin'!J80</f>
        <v>500</v>
      </c>
      <c r="K102" s="63">
        <f>'Front Office'!K80+HSKP!K80+Reservation!K80+'ROOMS Admin'!K80</f>
        <v>500</v>
      </c>
      <c r="L102" s="63">
        <f>'Front Office'!L80+HSKP!L80+Reservation!L80+'ROOMS Admin'!L80</f>
        <v>500</v>
      </c>
      <c r="M102" s="63">
        <f>'Front Office'!M80+HSKP!M80+Reservation!M80+'ROOMS Admin'!M80</f>
        <v>500</v>
      </c>
      <c r="N102" s="63">
        <f>'Front Office'!N80+HSKP!N80+Reservation!N80+'ROOMS Admin'!N80</f>
        <v>500</v>
      </c>
      <c r="O102" s="63">
        <f>'Front Office'!O80+HSKP!O80+Reservation!O80+'ROOMS Admin'!O80</f>
        <v>500</v>
      </c>
      <c r="P102" s="63">
        <f>'Front Office'!P80+HSKP!P80+Reservation!P80+'ROOMS Admin'!P80</f>
        <v>500</v>
      </c>
      <c r="Q102" s="355">
        <f>SUM(E102:P102)</f>
        <v>6000</v>
      </c>
      <c r="R102" s="3">
        <f t="shared" si="15"/>
        <v>0.12999675008124797</v>
      </c>
      <c r="S102" s="146">
        <f t="shared" si="16"/>
        <v>2.7272141169620688E-4</v>
      </c>
      <c r="T102" s="315">
        <v>0.12815677626303126</v>
      </c>
      <c r="U102" s="40"/>
    </row>
    <row r="103" spans="1:21" s="3" customFormat="1" ht="24.95" customHeight="1">
      <c r="D103" s="19" t="s">
        <v>274</v>
      </c>
      <c r="E103" s="160">
        <f>SUM(E36:E102)</f>
        <v>176709.1</v>
      </c>
      <c r="F103" s="160">
        <f t="shared" ref="F103:Q103" si="17">SUM(F36:F102)</f>
        <v>146683.10999999999</v>
      </c>
      <c r="G103" s="160">
        <f t="shared" si="17"/>
        <v>183724.43</v>
      </c>
      <c r="H103" s="160">
        <f t="shared" si="17"/>
        <v>225046.84</v>
      </c>
      <c r="I103" s="160">
        <f t="shared" si="17"/>
        <v>248844.28999999998</v>
      </c>
      <c r="J103" s="160">
        <f t="shared" si="17"/>
        <v>230995.33</v>
      </c>
      <c r="K103" s="160">
        <f t="shared" si="17"/>
        <v>248606.41999999998</v>
      </c>
      <c r="L103" s="160">
        <f t="shared" si="17"/>
        <v>258031.71</v>
      </c>
      <c r="M103" s="160">
        <f t="shared" si="17"/>
        <v>248221.99000000002</v>
      </c>
      <c r="N103" s="160">
        <f t="shared" si="17"/>
        <v>267218.89</v>
      </c>
      <c r="O103" s="160">
        <f t="shared" si="17"/>
        <v>243769.05000000002</v>
      </c>
      <c r="P103" s="160">
        <f t="shared" si="17"/>
        <v>247201.49000000002</v>
      </c>
      <c r="Q103" s="160">
        <f t="shared" si="17"/>
        <v>2725052.65</v>
      </c>
      <c r="R103" s="3">
        <f t="shared" si="15"/>
        <v>59.041331383382079</v>
      </c>
      <c r="S103" s="146">
        <f t="shared" si="16"/>
        <v>0.12386336760908158</v>
      </c>
      <c r="T103" s="35"/>
      <c r="U103" s="314"/>
    </row>
    <row r="104" spans="1:21" s="3" customFormat="1" ht="24.95" customHeight="1">
      <c r="D104" s="19" t="s">
        <v>275</v>
      </c>
      <c r="E104" s="160">
        <f>E20-E33-E103</f>
        <v>848199.84</v>
      </c>
      <c r="F104" s="160">
        <f t="shared" ref="F104:Q104" si="18">F20-F33-F103</f>
        <v>724854.10000000009</v>
      </c>
      <c r="G104" s="160">
        <f t="shared" si="18"/>
        <v>1090692.6200000001</v>
      </c>
      <c r="H104" s="160">
        <f t="shared" si="18"/>
        <v>1253084.7999999998</v>
      </c>
      <c r="I104" s="160">
        <f t="shared" si="18"/>
        <v>1317270.45</v>
      </c>
      <c r="J104" s="160">
        <f t="shared" si="18"/>
        <v>1144501.3099999998</v>
      </c>
      <c r="K104" s="160">
        <f t="shared" si="18"/>
        <v>1364120.4300000002</v>
      </c>
      <c r="L104" s="160">
        <f t="shared" si="18"/>
        <v>1404200.1400000001</v>
      </c>
      <c r="M104" s="160">
        <f t="shared" si="18"/>
        <v>1402745.63</v>
      </c>
      <c r="N104" s="160">
        <f t="shared" si="18"/>
        <v>1472033.5799999996</v>
      </c>
      <c r="O104" s="160">
        <f t="shared" si="18"/>
        <v>1424606.7</v>
      </c>
      <c r="P104" s="160">
        <f t="shared" si="18"/>
        <v>1348875.36</v>
      </c>
      <c r="Q104" s="160">
        <f t="shared" si="18"/>
        <v>14795184.959999995</v>
      </c>
      <c r="S104" s="39"/>
      <c r="T104" s="35"/>
      <c r="U104" s="314"/>
    </row>
    <row r="105" spans="1:21" s="3" customFormat="1" ht="24.95" customHeight="1">
      <c r="D105" s="19" t="s">
        <v>276</v>
      </c>
      <c r="E105" s="196">
        <f t="shared" ref="E105:Q105" si="19">+E104/E20</f>
        <v>0.61036940236750259</v>
      </c>
      <c r="F105" s="196">
        <f t="shared" si="19"/>
        <v>0.59327103415678206</v>
      </c>
      <c r="G105" s="196">
        <f t="shared" si="19"/>
        <v>0.66978067558833421</v>
      </c>
      <c r="H105" s="196">
        <f t="shared" si="19"/>
        <v>0.67670586110744779</v>
      </c>
      <c r="I105" s="196">
        <f t="shared" si="19"/>
        <v>0.6754411117047141</v>
      </c>
      <c r="J105" s="196">
        <f t="shared" si="19"/>
        <v>0.65714294326896339</v>
      </c>
      <c r="K105" s="196">
        <f t="shared" si="19"/>
        <v>0.68677758723004512</v>
      </c>
      <c r="L105" s="196">
        <f t="shared" si="19"/>
        <v>0.68939375037772566</v>
      </c>
      <c r="M105" s="196">
        <f t="shared" si="19"/>
        <v>0.68986849892507551</v>
      </c>
      <c r="N105" s="196">
        <f t="shared" si="19"/>
        <v>0.68479902723539898</v>
      </c>
      <c r="O105" s="196">
        <f t="shared" si="19"/>
        <v>0.69707498027344816</v>
      </c>
      <c r="P105" s="196">
        <f t="shared" si="19"/>
        <v>0.68567162098751633</v>
      </c>
      <c r="Q105" s="292">
        <f t="shared" si="19"/>
        <v>0.67249395476628104</v>
      </c>
      <c r="R105" s="3">
        <f>70%-Q105</f>
        <v>2.7506045233718912E-2</v>
      </c>
      <c r="S105" s="61">
        <f>R105*Q20</f>
        <v>605146.00000000244</v>
      </c>
      <c r="T105" s="115"/>
      <c r="U105" s="383"/>
    </row>
    <row r="106" spans="1:21" s="3" customFormat="1" ht="24.95" customHeight="1">
      <c r="L106" s="161"/>
      <c r="S106" s="39"/>
      <c r="T106" s="35"/>
      <c r="U106" s="315"/>
    </row>
    <row r="107" spans="1:21" s="3" customFormat="1" ht="24.95" customHeight="1">
      <c r="A107" s="3" t="s">
        <v>95</v>
      </c>
      <c r="B107" s="3" t="s">
        <v>96</v>
      </c>
      <c r="D107" s="197" t="s">
        <v>1117</v>
      </c>
      <c r="E107" s="198">
        <v>6293</v>
      </c>
      <c r="F107" s="198">
        <v>5684</v>
      </c>
      <c r="G107" s="198">
        <v>6293</v>
      </c>
      <c r="H107" s="198">
        <v>6090</v>
      </c>
      <c r="I107" s="198">
        <v>6293</v>
      </c>
      <c r="J107" s="198">
        <v>6090</v>
      </c>
      <c r="K107" s="198">
        <v>6293</v>
      </c>
      <c r="L107" s="198">
        <v>6293</v>
      </c>
      <c r="M107" s="198">
        <v>6090</v>
      </c>
      <c r="N107" s="198">
        <v>6293</v>
      </c>
      <c r="O107" s="198">
        <v>6090</v>
      </c>
      <c r="P107" s="198">
        <v>6293</v>
      </c>
      <c r="Q107" s="68">
        <f t="shared" ref="Q107:Q110" si="20">SUM(E107:P107)</f>
        <v>74095</v>
      </c>
      <c r="R107" s="3">
        <v>203</v>
      </c>
      <c r="S107" s="39"/>
      <c r="T107" s="35"/>
      <c r="U107" s="40"/>
    </row>
    <row r="108" spans="1:21" s="3" customFormat="1" ht="24.95" customHeight="1">
      <c r="A108" s="3" t="s">
        <v>277</v>
      </c>
      <c r="B108" s="3" t="s">
        <v>96</v>
      </c>
      <c r="D108" s="197" t="s">
        <v>278</v>
      </c>
      <c r="E108" s="198">
        <f>E107-E109</f>
        <v>6293</v>
      </c>
      <c r="F108" s="198">
        <f t="shared" ref="F108:P108" si="21">F107-F109</f>
        <v>5684</v>
      </c>
      <c r="G108" s="198">
        <f t="shared" si="21"/>
        <v>6293</v>
      </c>
      <c r="H108" s="198">
        <f t="shared" si="21"/>
        <v>6090</v>
      </c>
      <c r="I108" s="198">
        <f t="shared" si="21"/>
        <v>6293</v>
      </c>
      <c r="J108" s="198">
        <f t="shared" si="21"/>
        <v>6090</v>
      </c>
      <c r="K108" s="198">
        <f t="shared" si="21"/>
        <v>6293</v>
      </c>
      <c r="L108" s="198">
        <f t="shared" si="21"/>
        <v>6293</v>
      </c>
      <c r="M108" s="198">
        <f t="shared" si="21"/>
        <v>6090</v>
      </c>
      <c r="N108" s="198">
        <f t="shared" si="21"/>
        <v>6293</v>
      </c>
      <c r="O108" s="198">
        <f t="shared" si="21"/>
        <v>6090</v>
      </c>
      <c r="P108" s="198">
        <f t="shared" si="21"/>
        <v>6293</v>
      </c>
      <c r="Q108" s="68">
        <f t="shared" si="20"/>
        <v>74095</v>
      </c>
      <c r="S108" s="39"/>
      <c r="T108" s="35"/>
      <c r="U108" s="40"/>
    </row>
    <row r="109" spans="1:21" s="3" customFormat="1" ht="24.95" customHeight="1">
      <c r="A109" s="3" t="s">
        <v>279</v>
      </c>
      <c r="B109" s="3" t="s">
        <v>96</v>
      </c>
      <c r="D109" s="197" t="s">
        <v>280</v>
      </c>
      <c r="E109" s="68"/>
      <c r="F109" s="68"/>
      <c r="G109" s="68"/>
      <c r="H109" s="68"/>
      <c r="I109" s="68"/>
      <c r="J109" s="68"/>
      <c r="K109" s="68"/>
      <c r="L109" s="68"/>
      <c r="M109" s="68"/>
      <c r="N109" s="68"/>
      <c r="O109" s="68"/>
      <c r="P109" s="68"/>
      <c r="Q109" s="68">
        <f t="shared" si="20"/>
        <v>0</v>
      </c>
      <c r="S109" s="39"/>
      <c r="T109" s="35"/>
      <c r="U109" s="40"/>
    </row>
    <row r="110" spans="1:21" s="3" customFormat="1" ht="24.95" customHeight="1">
      <c r="A110" s="3" t="s">
        <v>281</v>
      </c>
      <c r="B110" s="3" t="s">
        <v>96</v>
      </c>
      <c r="D110" s="197" t="s">
        <v>282</v>
      </c>
      <c r="E110" s="68"/>
      <c r="F110" s="68"/>
      <c r="G110" s="68"/>
      <c r="H110" s="68"/>
      <c r="I110" s="68"/>
      <c r="J110" s="68"/>
      <c r="K110" s="68"/>
      <c r="L110" s="68"/>
      <c r="M110" s="68"/>
      <c r="N110" s="68"/>
      <c r="O110" s="68"/>
      <c r="P110" s="68"/>
      <c r="Q110" s="68">
        <f t="shared" si="20"/>
        <v>0</v>
      </c>
      <c r="S110" s="39"/>
      <c r="T110" s="35"/>
      <c r="U110" s="40"/>
    </row>
    <row r="111" spans="1:21" s="3" customFormat="1" ht="24.95" customHeight="1">
      <c r="A111" s="3" t="s">
        <v>98</v>
      </c>
      <c r="B111" s="3" t="s">
        <v>96</v>
      </c>
      <c r="D111" s="197" t="s">
        <v>283</v>
      </c>
      <c r="E111" s="198">
        <f>E28</f>
        <v>2880</v>
      </c>
      <c r="F111" s="198">
        <f t="shared" ref="F111:P111" si="22">F28</f>
        <v>2620</v>
      </c>
      <c r="G111" s="198">
        <f t="shared" si="22"/>
        <v>3445</v>
      </c>
      <c r="H111" s="198">
        <f t="shared" si="22"/>
        <v>3885</v>
      </c>
      <c r="I111" s="198">
        <f t="shared" si="22"/>
        <v>4015</v>
      </c>
      <c r="J111" s="198">
        <f t="shared" si="22"/>
        <v>3735</v>
      </c>
      <c r="K111" s="198">
        <f t="shared" si="22"/>
        <v>4245</v>
      </c>
      <c r="L111" s="198">
        <f t="shared" si="22"/>
        <v>4295</v>
      </c>
      <c r="M111" s="198">
        <f t="shared" si="22"/>
        <v>4335</v>
      </c>
      <c r="N111" s="198">
        <f t="shared" si="22"/>
        <v>4420</v>
      </c>
      <c r="O111" s="198">
        <f t="shared" si="22"/>
        <v>4235</v>
      </c>
      <c r="P111" s="198">
        <f t="shared" si="22"/>
        <v>4045</v>
      </c>
      <c r="Q111" s="68">
        <f>SUM(E111:P111)</f>
        <v>46155</v>
      </c>
      <c r="S111" s="39"/>
      <c r="T111" s="35"/>
      <c r="U111" s="40"/>
    </row>
    <row r="112" spans="1:21" s="3" customFormat="1" ht="24.95" customHeight="1">
      <c r="A112" s="3" t="s">
        <v>284</v>
      </c>
      <c r="B112" s="3" t="s">
        <v>96</v>
      </c>
      <c r="D112" s="197" t="s">
        <v>285</v>
      </c>
      <c r="E112" s="198">
        <v>100</v>
      </c>
      <c r="F112" s="198">
        <v>100</v>
      </c>
      <c r="G112" s="198">
        <v>100</v>
      </c>
      <c r="H112" s="198">
        <v>100</v>
      </c>
      <c r="I112" s="198">
        <v>120</v>
      </c>
      <c r="J112" s="198">
        <v>100</v>
      </c>
      <c r="K112" s="198">
        <v>100</v>
      </c>
      <c r="L112" s="198">
        <v>100</v>
      </c>
      <c r="M112" s="198">
        <v>100</v>
      </c>
      <c r="N112" s="198">
        <v>120</v>
      </c>
      <c r="O112" s="198">
        <v>100</v>
      </c>
      <c r="P112" s="198">
        <v>100</v>
      </c>
      <c r="Q112" s="68">
        <f>SUM(E112:P112)</f>
        <v>1240</v>
      </c>
      <c r="S112" s="39"/>
      <c r="T112" s="35"/>
      <c r="U112" s="40"/>
    </row>
    <row r="113" spans="1:21" s="3" customFormat="1" ht="24.95" customHeight="1">
      <c r="A113" s="3" t="s">
        <v>286</v>
      </c>
      <c r="B113" s="3" t="s">
        <v>96</v>
      </c>
      <c r="D113" s="197" t="s">
        <v>287</v>
      </c>
      <c r="E113" s="198">
        <v>60</v>
      </c>
      <c r="F113" s="198">
        <v>60</v>
      </c>
      <c r="G113" s="198">
        <v>60</v>
      </c>
      <c r="H113" s="198">
        <v>60</v>
      </c>
      <c r="I113" s="198">
        <v>80</v>
      </c>
      <c r="J113" s="198">
        <v>60</v>
      </c>
      <c r="K113" s="198">
        <v>60</v>
      </c>
      <c r="L113" s="198">
        <v>60</v>
      </c>
      <c r="M113" s="198">
        <v>60</v>
      </c>
      <c r="N113" s="198">
        <v>70</v>
      </c>
      <c r="O113" s="198">
        <v>60</v>
      </c>
      <c r="P113" s="198">
        <v>60</v>
      </c>
      <c r="Q113" s="68">
        <f>SUM(E113:P113)</f>
        <v>750</v>
      </c>
      <c r="S113" s="39"/>
      <c r="T113" s="35"/>
      <c r="U113" s="40"/>
    </row>
    <row r="114" spans="1:21" s="3" customFormat="1" ht="24.95" customHeight="1">
      <c r="D114" s="197" t="s">
        <v>288</v>
      </c>
      <c r="E114" s="48">
        <v>3331</v>
      </c>
      <c r="F114" s="48">
        <v>3289</v>
      </c>
      <c r="G114" s="48">
        <v>3871</v>
      </c>
      <c r="H114" s="48">
        <v>4100</v>
      </c>
      <c r="I114" s="48">
        <v>4341</v>
      </c>
      <c r="J114" s="48">
        <v>3770</v>
      </c>
      <c r="K114" s="48">
        <v>4231</v>
      </c>
      <c r="L114" s="48">
        <v>4251</v>
      </c>
      <c r="M114" s="48">
        <v>4200</v>
      </c>
      <c r="N114" s="48">
        <v>4491</v>
      </c>
      <c r="O114" s="48">
        <v>4110</v>
      </c>
      <c r="P114" s="48">
        <v>4031</v>
      </c>
      <c r="Q114" s="48">
        <f>SUM(E114:P114)</f>
        <v>48016</v>
      </c>
      <c r="S114" s="39"/>
      <c r="T114" s="35"/>
      <c r="U114" s="40"/>
    </row>
    <row r="115" spans="1:21" s="3" customFormat="1" ht="24.95" customHeight="1">
      <c r="D115" s="197" t="s">
        <v>289</v>
      </c>
      <c r="E115" s="199">
        <f>IF(E114=0,0,E114/E$107)</f>
        <v>0.52931829016367393</v>
      </c>
      <c r="F115" s="199">
        <f t="shared" ref="F115:P115" si="23">IF(F114=0,0,F114/F$107)</f>
        <v>0.57864180154820544</v>
      </c>
      <c r="G115" s="199">
        <f t="shared" si="23"/>
        <v>0.61512791991101223</v>
      </c>
      <c r="H115" s="199">
        <f t="shared" si="23"/>
        <v>0.6732348111658456</v>
      </c>
      <c r="I115" s="199">
        <f t="shared" si="23"/>
        <v>0.68981407913554749</v>
      </c>
      <c r="J115" s="199">
        <f t="shared" si="23"/>
        <v>0.61904761904761907</v>
      </c>
      <c r="K115" s="199">
        <f t="shared" si="23"/>
        <v>0.67233433974257106</v>
      </c>
      <c r="L115" s="199">
        <f t="shared" si="23"/>
        <v>0.6755124741776577</v>
      </c>
      <c r="M115" s="199">
        <f t="shared" si="23"/>
        <v>0.68965517241379315</v>
      </c>
      <c r="N115" s="199">
        <f t="shared" si="23"/>
        <v>0.71365008739869695</v>
      </c>
      <c r="O115" s="199">
        <f t="shared" si="23"/>
        <v>0.67487684729064035</v>
      </c>
      <c r="P115" s="199">
        <f t="shared" si="23"/>
        <v>0.64055299539170507</v>
      </c>
      <c r="Q115" s="199">
        <f>IF(Q114=0,0,Q114/Q$107)</f>
        <v>0.64803293069707812</v>
      </c>
      <c r="S115" s="39"/>
      <c r="T115" s="115"/>
      <c r="U115" s="40"/>
    </row>
    <row r="116" spans="1:21" s="3" customFormat="1" ht="24.95" customHeight="1">
      <c r="D116" s="197" t="s">
        <v>290</v>
      </c>
      <c r="E116" s="199">
        <f>IF(E111=0,0,E111/E$107)</f>
        <v>0.45765135865247097</v>
      </c>
      <c r="F116" s="199">
        <f t="shared" ref="F116:Q116" si="24">IF(F111=0,0,F111/F$107)</f>
        <v>0.46094299788881071</v>
      </c>
      <c r="G116" s="199">
        <f t="shared" si="24"/>
        <v>0.54743365644366759</v>
      </c>
      <c r="H116" s="199">
        <f t="shared" si="24"/>
        <v>0.63793103448275867</v>
      </c>
      <c r="I116" s="199">
        <f t="shared" si="24"/>
        <v>0.63801048784363579</v>
      </c>
      <c r="J116" s="199">
        <f t="shared" si="24"/>
        <v>0.61330049261083741</v>
      </c>
      <c r="K116" s="199">
        <f t="shared" si="24"/>
        <v>0.67455903384713178</v>
      </c>
      <c r="L116" s="199">
        <f t="shared" si="24"/>
        <v>0.6825043699348482</v>
      </c>
      <c r="M116" s="199">
        <f t="shared" si="24"/>
        <v>0.71182266009852213</v>
      </c>
      <c r="N116" s="199">
        <f t="shared" si="24"/>
        <v>0.70236771015413957</v>
      </c>
      <c r="O116" s="199">
        <f t="shared" si="24"/>
        <v>0.6954022988505747</v>
      </c>
      <c r="P116" s="199">
        <f t="shared" si="24"/>
        <v>0.64277768949626568</v>
      </c>
      <c r="Q116" s="277">
        <f t="shared" si="24"/>
        <v>0.62291652608138204</v>
      </c>
      <c r="S116" s="39"/>
      <c r="T116" s="115"/>
      <c r="U116" s="40"/>
    </row>
    <row r="117" spans="1:21" s="3" customFormat="1" ht="24.95" customHeight="1">
      <c r="D117" s="197" t="s">
        <v>101</v>
      </c>
      <c r="E117" s="200">
        <f t="shared" ref="E117:Q117" si="25">E20/E111</f>
        <v>482.51736111111109</v>
      </c>
      <c r="F117" s="200">
        <f t="shared" si="25"/>
        <v>466.3330152671756</v>
      </c>
      <c r="G117" s="200">
        <f t="shared" si="25"/>
        <v>472.69448476052247</v>
      </c>
      <c r="H117" s="200">
        <f t="shared" si="25"/>
        <v>476.63891891891893</v>
      </c>
      <c r="I117" s="200">
        <f t="shared" si="25"/>
        <v>485.73780821917808</v>
      </c>
      <c r="J117" s="200">
        <f t="shared" si="25"/>
        <v>466.30045515394914</v>
      </c>
      <c r="K117" s="200">
        <f t="shared" si="25"/>
        <v>467.90631330977624</v>
      </c>
      <c r="L117" s="200">
        <f t="shared" si="25"/>
        <v>474.24034924330618</v>
      </c>
      <c r="M117" s="200">
        <f t="shared" si="25"/>
        <v>469.05471741637831</v>
      </c>
      <c r="N117" s="200">
        <f t="shared" si="25"/>
        <v>486.3314027149321</v>
      </c>
      <c r="O117" s="200">
        <f t="shared" si="25"/>
        <v>482.57194805194803</v>
      </c>
      <c r="P117" s="200">
        <f t="shared" si="25"/>
        <v>486.33678615574786</v>
      </c>
      <c r="Q117" s="200">
        <f t="shared" si="25"/>
        <v>476.66499404181553</v>
      </c>
      <c r="S117" s="39"/>
      <c r="T117" s="35"/>
      <c r="U117" s="40"/>
    </row>
    <row r="118" spans="1:21" s="3" customFormat="1" ht="24.95" customHeight="1">
      <c r="D118" s="197" t="s">
        <v>291</v>
      </c>
      <c r="E118" s="200">
        <f>E20/E107</f>
        <v>220.82472588590497</v>
      </c>
      <c r="F118" s="200">
        <f t="shared" ref="F118:Q118" si="26">F20/F107</f>
        <v>214.95293807178044</v>
      </c>
      <c r="G118" s="200">
        <f t="shared" si="26"/>
        <v>258.76887017320831</v>
      </c>
      <c r="H118" s="200">
        <f t="shared" si="26"/>
        <v>304.06275862068964</v>
      </c>
      <c r="I118" s="200">
        <f t="shared" si="26"/>
        <v>309.90581598601619</v>
      </c>
      <c r="J118" s="200">
        <f t="shared" si="26"/>
        <v>285.98229885057469</v>
      </c>
      <c r="K118" s="200">
        <f t="shared" si="26"/>
        <v>315.63043063721597</v>
      </c>
      <c r="L118" s="200">
        <f t="shared" si="26"/>
        <v>323.67111075798505</v>
      </c>
      <c r="M118" s="200">
        <f t="shared" si="26"/>
        <v>333.88377668308704</v>
      </c>
      <c r="N118" s="200">
        <f t="shared" si="26"/>
        <v>341.58347370093753</v>
      </c>
      <c r="O118" s="200">
        <f t="shared" si="26"/>
        <v>335.58164203612478</v>
      </c>
      <c r="P118" s="200">
        <f t="shared" si="26"/>
        <v>312.60643572223108</v>
      </c>
      <c r="Q118" s="200">
        <f t="shared" si="26"/>
        <v>296.92250219313041</v>
      </c>
      <c r="S118" s="39"/>
      <c r="T118" s="35"/>
      <c r="U118" s="40"/>
    </row>
    <row r="119" spans="1:21" s="3" customFormat="1" ht="24.95" customHeight="1">
      <c r="D119" s="197" t="s">
        <v>292</v>
      </c>
      <c r="E119" s="201">
        <f>IF(E114=0,0,ROUND((E156+E103)/E114,2))</f>
        <v>162.55000000000001</v>
      </c>
      <c r="F119" s="201">
        <f t="shared" ref="F119:Q119" si="27">IF(F114=0,0,ROUND((F156+F103)/F114,2))</f>
        <v>151.09</v>
      </c>
      <c r="G119" s="201">
        <f t="shared" si="27"/>
        <v>138.91</v>
      </c>
      <c r="H119" s="201">
        <f t="shared" si="27"/>
        <v>146.01</v>
      </c>
      <c r="I119" s="201">
        <f t="shared" si="27"/>
        <v>145.81</v>
      </c>
      <c r="J119" s="201">
        <f t="shared" si="27"/>
        <v>158.38999999999999</v>
      </c>
      <c r="K119" s="201">
        <f t="shared" si="27"/>
        <v>147.04</v>
      </c>
      <c r="L119" s="201">
        <f t="shared" si="27"/>
        <v>148.83000000000001</v>
      </c>
      <c r="M119" s="201">
        <f t="shared" si="27"/>
        <v>150.13999999999999</v>
      </c>
      <c r="N119" s="201">
        <f t="shared" si="27"/>
        <v>150.87</v>
      </c>
      <c r="O119" s="201">
        <f t="shared" si="27"/>
        <v>150.63</v>
      </c>
      <c r="P119" s="201">
        <f t="shared" si="27"/>
        <v>153.4</v>
      </c>
      <c r="Q119" s="201">
        <f t="shared" si="27"/>
        <v>150.06</v>
      </c>
      <c r="S119" s="39"/>
      <c r="T119" s="35"/>
      <c r="U119" s="40"/>
    </row>
    <row r="120" spans="1:21" s="3" customFormat="1" ht="24.95" customHeight="1">
      <c r="L120" s="161"/>
      <c r="S120" s="39"/>
      <c r="T120" s="35"/>
      <c r="U120" s="115"/>
    </row>
    <row r="121" spans="1:21" s="3" customFormat="1" ht="24.95" customHeight="1">
      <c r="D121" s="19" t="s">
        <v>293</v>
      </c>
      <c r="L121" s="161"/>
      <c r="S121" s="39"/>
      <c r="T121" s="35"/>
      <c r="U121" s="115"/>
    </row>
    <row r="122" spans="1:21" s="3" customFormat="1" ht="24.95" customHeight="1">
      <c r="D122" s="19" t="s">
        <v>294</v>
      </c>
      <c r="L122" s="161"/>
      <c r="S122" s="39"/>
      <c r="T122" s="35"/>
      <c r="U122" s="115"/>
    </row>
    <row r="123" spans="1:21" s="3" customFormat="1" ht="24.95" customHeight="1">
      <c r="A123" s="3" t="s">
        <v>295</v>
      </c>
      <c r="B123" s="181" t="s">
        <v>296</v>
      </c>
      <c r="D123" s="3" t="s">
        <v>297</v>
      </c>
      <c r="E123" s="63">
        <f>'Front Office'!E86+HSKP!E86+Reservation!E86+'ROOMS Admin'!E86</f>
        <v>65000</v>
      </c>
      <c r="F123" s="63">
        <f>'Front Office'!F86+HSKP!F86+Reservation!F86+'ROOMS Admin'!F86</f>
        <v>65000</v>
      </c>
      <c r="G123" s="63">
        <f>'Front Office'!G86+HSKP!G86+Reservation!G86+'ROOMS Admin'!G86</f>
        <v>65000</v>
      </c>
      <c r="H123" s="63">
        <f>'Front Office'!H86+HSKP!H86+Reservation!H86+'ROOMS Admin'!H86</f>
        <v>65000</v>
      </c>
      <c r="I123" s="63">
        <f>'Front Office'!I86+HSKP!I86+Reservation!I86+'ROOMS Admin'!I86</f>
        <v>65000</v>
      </c>
      <c r="J123" s="63">
        <f>'Front Office'!J86+HSKP!J86+Reservation!J86+'ROOMS Admin'!J86</f>
        <v>65000</v>
      </c>
      <c r="K123" s="63">
        <f>'Front Office'!K86+HSKP!K86+Reservation!K86+'ROOMS Admin'!K86</f>
        <v>65000</v>
      </c>
      <c r="L123" s="63">
        <f>'Front Office'!L86+HSKP!L86+Reservation!L86+'ROOMS Admin'!L86</f>
        <v>65000</v>
      </c>
      <c r="M123" s="63">
        <f>'Front Office'!M86+HSKP!M86+Reservation!M86+'ROOMS Admin'!M86</f>
        <v>65000</v>
      </c>
      <c r="N123" s="63">
        <f>'Front Office'!N86+HSKP!N86+Reservation!N86+'ROOMS Admin'!N86</f>
        <v>65000</v>
      </c>
      <c r="O123" s="63">
        <f>'Front Office'!O86+HSKP!O86+Reservation!O86+'ROOMS Admin'!O86</f>
        <v>65000</v>
      </c>
      <c r="P123" s="63">
        <f>'Front Office'!P86+HSKP!P86+Reservation!P86+'ROOMS Admin'!P86</f>
        <v>65000</v>
      </c>
      <c r="Q123" s="355">
        <f>SUM(E123:P123)</f>
        <v>780000</v>
      </c>
      <c r="R123" s="3">
        <f>Q123/$Q$111</f>
        <v>16.899577510562235</v>
      </c>
      <c r="T123" s="35"/>
      <c r="U123" s="40"/>
    </row>
    <row r="124" spans="1:21" s="3" customFormat="1" ht="24.95" customHeight="1">
      <c r="A124" s="50" t="s">
        <v>298</v>
      </c>
      <c r="B124" s="181" t="s">
        <v>299</v>
      </c>
      <c r="D124" s="3" t="s">
        <v>300</v>
      </c>
      <c r="E124" s="63">
        <f>'Front Office'!E87</f>
        <v>33000</v>
      </c>
      <c r="F124" s="63">
        <f>'Front Office'!F87</f>
        <v>33000</v>
      </c>
      <c r="G124" s="63">
        <f>'Front Office'!G87</f>
        <v>33000</v>
      </c>
      <c r="H124" s="63">
        <f>'Front Office'!H87</f>
        <v>33000</v>
      </c>
      <c r="I124" s="63">
        <f>'Front Office'!I87</f>
        <v>33000</v>
      </c>
      <c r="J124" s="63">
        <f>'Front Office'!J87</f>
        <v>33000</v>
      </c>
      <c r="K124" s="63">
        <f>'Front Office'!K87</f>
        <v>33000</v>
      </c>
      <c r="L124" s="63">
        <f>'Front Office'!L87</f>
        <v>33000</v>
      </c>
      <c r="M124" s="63">
        <f>'Front Office'!M87</f>
        <v>33000</v>
      </c>
      <c r="N124" s="63">
        <f>'Front Office'!N87</f>
        <v>33000</v>
      </c>
      <c r="O124" s="63">
        <f>'Front Office'!O87</f>
        <v>33000</v>
      </c>
      <c r="P124" s="63">
        <f>'Front Office'!P87</f>
        <v>33000</v>
      </c>
      <c r="Q124" s="355">
        <f>SUM(E124:P124)</f>
        <v>396000</v>
      </c>
      <c r="R124" s="3">
        <f>Q124/$Q$111</f>
        <v>8.5797855053623664</v>
      </c>
      <c r="T124" s="35"/>
      <c r="U124" s="40"/>
    </row>
    <row r="125" spans="1:21" s="3" customFormat="1" ht="24.95" customHeight="1">
      <c r="A125" s="50" t="s">
        <v>298</v>
      </c>
      <c r="B125" s="181" t="s">
        <v>301</v>
      </c>
      <c r="D125" s="3" t="s">
        <v>302</v>
      </c>
      <c r="E125" s="63">
        <f>HSKP!E87</f>
        <v>22100</v>
      </c>
      <c r="F125" s="63">
        <f>HSKP!F87</f>
        <v>22100</v>
      </c>
      <c r="G125" s="63">
        <f>HSKP!G87</f>
        <v>22100</v>
      </c>
      <c r="H125" s="63">
        <f>HSKP!H87</f>
        <v>22100</v>
      </c>
      <c r="I125" s="63">
        <f>HSKP!I87</f>
        <v>22100</v>
      </c>
      <c r="J125" s="63">
        <f>HSKP!J87</f>
        <v>22100</v>
      </c>
      <c r="K125" s="63">
        <f>HSKP!K87</f>
        <v>22100</v>
      </c>
      <c r="L125" s="63">
        <f>HSKP!L87</f>
        <v>22100</v>
      </c>
      <c r="M125" s="63">
        <f>HSKP!M87</f>
        <v>22100</v>
      </c>
      <c r="N125" s="63">
        <f>HSKP!N87</f>
        <v>22100</v>
      </c>
      <c r="O125" s="63">
        <f>HSKP!O87</f>
        <v>22100</v>
      </c>
      <c r="P125" s="63">
        <f>HSKP!P87</f>
        <v>22100</v>
      </c>
      <c r="Q125" s="355">
        <f>SUM(E125:P125)</f>
        <v>265200</v>
      </c>
      <c r="R125" s="3">
        <f>Q125/$Q$111</f>
        <v>5.7458563535911606</v>
      </c>
      <c r="T125" s="35"/>
      <c r="U125" s="40"/>
    </row>
    <row r="126" spans="1:21" s="3" customFormat="1" ht="24.95" customHeight="1">
      <c r="A126" s="50" t="s">
        <v>298</v>
      </c>
      <c r="B126" s="181" t="s">
        <v>303</v>
      </c>
      <c r="D126" s="3" t="s">
        <v>304</v>
      </c>
      <c r="E126" s="63">
        <f>Reservation!E87</f>
        <v>0</v>
      </c>
      <c r="F126" s="63">
        <f>Reservation!F87</f>
        <v>0</v>
      </c>
      <c r="G126" s="63">
        <f>Reservation!G87</f>
        <v>0</v>
      </c>
      <c r="H126" s="63">
        <f>Reservation!H87</f>
        <v>0</v>
      </c>
      <c r="I126" s="63">
        <f>Reservation!I87</f>
        <v>0</v>
      </c>
      <c r="J126" s="63">
        <f>Reservation!J87</f>
        <v>0</v>
      </c>
      <c r="K126" s="63">
        <f>Reservation!K87</f>
        <v>0</v>
      </c>
      <c r="L126" s="63">
        <f>Reservation!L87</f>
        <v>0</v>
      </c>
      <c r="M126" s="63">
        <f>Reservation!M87</f>
        <v>0</v>
      </c>
      <c r="N126" s="63">
        <f>Reservation!N87</f>
        <v>0</v>
      </c>
      <c r="O126" s="63">
        <f>Reservation!O87</f>
        <v>0</v>
      </c>
      <c r="P126" s="63">
        <f>Reservation!P87</f>
        <v>0</v>
      </c>
      <c r="Q126" s="355">
        <f>SUM(E126:P126)</f>
        <v>0</v>
      </c>
      <c r="R126" s="3">
        <f>Q126/$Q$111</f>
        <v>0</v>
      </c>
      <c r="T126" s="35"/>
      <c r="U126" s="40"/>
    </row>
    <row r="127" spans="1:21" s="3" customFormat="1" ht="24.95" customHeight="1">
      <c r="D127" s="19" t="s">
        <v>305</v>
      </c>
      <c r="E127" s="160">
        <f>SUM(E123:E126)</f>
        <v>120100</v>
      </c>
      <c r="F127" s="160">
        <f t="shared" ref="F127:Q127" si="28">SUM(F123:F126)</f>
        <v>120100</v>
      </c>
      <c r="G127" s="160">
        <f t="shared" si="28"/>
        <v>120100</v>
      </c>
      <c r="H127" s="160">
        <f t="shared" si="28"/>
        <v>120100</v>
      </c>
      <c r="I127" s="160">
        <f t="shared" si="28"/>
        <v>120100</v>
      </c>
      <c r="J127" s="160">
        <f t="shared" si="28"/>
        <v>120100</v>
      </c>
      <c r="K127" s="160">
        <f t="shared" si="28"/>
        <v>120100</v>
      </c>
      <c r="L127" s="160">
        <f t="shared" si="28"/>
        <v>120100</v>
      </c>
      <c r="M127" s="160">
        <f t="shared" si="28"/>
        <v>120100</v>
      </c>
      <c r="N127" s="160">
        <f t="shared" si="28"/>
        <v>120100</v>
      </c>
      <c r="O127" s="160">
        <f t="shared" si="28"/>
        <v>120100</v>
      </c>
      <c r="P127" s="160">
        <f t="shared" si="28"/>
        <v>120100</v>
      </c>
      <c r="Q127" s="160">
        <f t="shared" si="28"/>
        <v>1441200</v>
      </c>
      <c r="R127" s="3">
        <f>Q127/$Q$111</f>
        <v>31.225219369515763</v>
      </c>
      <c r="T127" s="35"/>
      <c r="U127" s="40"/>
    </row>
    <row r="128" spans="1:21" s="3" customFormat="1" ht="24.95" customHeight="1">
      <c r="L128" s="161"/>
      <c r="T128" s="35"/>
      <c r="U128" s="115"/>
    </row>
    <row r="129" spans="1:21" s="3" customFormat="1" ht="24.95" customHeight="1">
      <c r="A129" s="3" t="s">
        <v>306</v>
      </c>
      <c r="B129" s="50" t="s">
        <v>296</v>
      </c>
      <c r="D129" s="26" t="s">
        <v>307</v>
      </c>
      <c r="E129" s="63">
        <f>'Front Office'!E90+HSKP!E90+Reservation!E90+'ROOMS Admin'!E90</f>
        <v>4360.42</v>
      </c>
      <c r="F129" s="63">
        <f>'Front Office'!F90+HSKP!F90+Reservation!F90+'ROOMS Admin'!F90</f>
        <v>13081.259999999998</v>
      </c>
      <c r="G129" s="63">
        <f>'Front Office'!G90+HSKP!G90+Reservation!G90+'ROOMS Admin'!G90</f>
        <v>0</v>
      </c>
      <c r="H129" s="63">
        <f>'Front Office'!H90+HSKP!H90+Reservation!H90+'ROOMS Admin'!H90</f>
        <v>4360.42</v>
      </c>
      <c r="I129" s="63">
        <f>'Front Office'!I90+HSKP!I90+Reservation!I90+'ROOMS Admin'!I90</f>
        <v>4360.42</v>
      </c>
      <c r="J129" s="63">
        <f>'Front Office'!J90+HSKP!J90+Reservation!J90+'ROOMS Admin'!J90</f>
        <v>4360.42</v>
      </c>
      <c r="K129" s="63">
        <f>'Front Office'!K90+HSKP!K90+Reservation!K90+'ROOMS Admin'!K90</f>
        <v>0</v>
      </c>
      <c r="L129" s="63">
        <f>'Front Office'!L90+HSKP!L90+Reservation!L90+'ROOMS Admin'!L90</f>
        <v>0</v>
      </c>
      <c r="M129" s="63">
        <f>'Front Office'!M90+HSKP!M90+Reservation!M90+'ROOMS Admin'!M90</f>
        <v>4469.4400000000005</v>
      </c>
      <c r="N129" s="63">
        <f>'Front Office'!N90+HSKP!N90+Reservation!N90+'ROOMS Admin'!N90</f>
        <v>13408.3</v>
      </c>
      <c r="O129" s="63">
        <f>'Front Office'!O90+HSKP!O90+Reservation!O90+'ROOMS Admin'!O90</f>
        <v>0</v>
      </c>
      <c r="P129" s="63">
        <f>'Front Office'!P90+HSKP!P90+Reservation!P90+'ROOMS Admin'!P90</f>
        <v>0</v>
      </c>
      <c r="Q129" s="355">
        <f t="shared" ref="Q129:Q135" si="29">SUM(E129:P129)</f>
        <v>48400.679999999993</v>
      </c>
      <c r="R129" s="3">
        <f t="shared" ref="R129:R136" si="30">Q129/$Q$111</f>
        <v>1.0486551836204094</v>
      </c>
      <c r="T129" s="35"/>
      <c r="U129" s="40"/>
    </row>
    <row r="130" spans="1:21" s="3" customFormat="1" ht="24.95" customHeight="1">
      <c r="A130" s="3" t="s">
        <v>308</v>
      </c>
      <c r="B130" s="50" t="s">
        <v>296</v>
      </c>
      <c r="D130" s="26" t="s">
        <v>309</v>
      </c>
      <c r="E130" s="63">
        <f>'Front Office'!E91+HSKP!E91+Reservation!E91+'ROOMS Admin'!E91</f>
        <v>15012.5</v>
      </c>
      <c r="F130" s="63">
        <f>'Front Office'!F91+HSKP!F91+Reservation!F91+'ROOMS Admin'!F91</f>
        <v>15012.5</v>
      </c>
      <c r="G130" s="63">
        <f>'Front Office'!G91+HSKP!G91+Reservation!G91+'ROOMS Admin'!G91</f>
        <v>15012.5</v>
      </c>
      <c r="H130" s="63">
        <f>'Front Office'!H91+HSKP!H91+Reservation!H91+'ROOMS Admin'!H91</f>
        <v>15012.5</v>
      </c>
      <c r="I130" s="63">
        <f>'Front Office'!I91+HSKP!I91+Reservation!I91+'ROOMS Admin'!I91</f>
        <v>15012.5</v>
      </c>
      <c r="J130" s="63">
        <f>'Front Office'!J91+HSKP!J91+Reservation!J91+'ROOMS Admin'!J91</f>
        <v>15012.5</v>
      </c>
      <c r="K130" s="63">
        <f>'Front Office'!K91+HSKP!K91+Reservation!K91+'ROOMS Admin'!K91</f>
        <v>15012.5</v>
      </c>
      <c r="L130" s="63">
        <f>'Front Office'!L91+HSKP!L91+Reservation!L91+'ROOMS Admin'!L91</f>
        <v>15012.5</v>
      </c>
      <c r="M130" s="63">
        <f>'Front Office'!M91+HSKP!M91+Reservation!M91+'ROOMS Admin'!M91</f>
        <v>15012.5</v>
      </c>
      <c r="N130" s="63">
        <f>'Front Office'!N91+HSKP!N91+Reservation!N91+'ROOMS Admin'!N91</f>
        <v>15012.5</v>
      </c>
      <c r="O130" s="63">
        <f>'Front Office'!O91+HSKP!O91+Reservation!O91+'ROOMS Admin'!O91</f>
        <v>15012.5</v>
      </c>
      <c r="P130" s="63">
        <f>'Front Office'!P91+HSKP!P91+Reservation!P91+'ROOMS Admin'!P91</f>
        <v>15012.5</v>
      </c>
      <c r="Q130" s="355">
        <f t="shared" si="29"/>
        <v>180150</v>
      </c>
      <c r="R130" s="3">
        <f t="shared" si="30"/>
        <v>3.9031524211894704</v>
      </c>
      <c r="T130" s="35"/>
      <c r="U130" s="40"/>
    </row>
    <row r="131" spans="1:21" s="3" customFormat="1" ht="24.95" customHeight="1">
      <c r="A131" s="3" t="s">
        <v>310</v>
      </c>
      <c r="B131" s="50" t="s">
        <v>296</v>
      </c>
      <c r="D131" s="26" t="s">
        <v>311</v>
      </c>
      <c r="E131" s="63">
        <f>'Front Office'!E92+HSKP!E92+Reservation!E92+'ROOMS Admin'!E92</f>
        <v>3400</v>
      </c>
      <c r="F131" s="63">
        <f>'Front Office'!F92+HSKP!F92+Reservation!F92+'ROOMS Admin'!F92</f>
        <v>3400</v>
      </c>
      <c r="G131" s="63">
        <f>'Front Office'!G92+HSKP!G92+Reservation!G92+'ROOMS Admin'!G92</f>
        <v>3400</v>
      </c>
      <c r="H131" s="63">
        <f>'Front Office'!H92+HSKP!H92+Reservation!H92+'ROOMS Admin'!H92</f>
        <v>3400</v>
      </c>
      <c r="I131" s="63">
        <f>'Front Office'!I92+HSKP!I92+Reservation!I92+'ROOMS Admin'!I92</f>
        <v>3400</v>
      </c>
      <c r="J131" s="63">
        <f>'Front Office'!J92+HSKP!J92+Reservation!J92+'ROOMS Admin'!J92</f>
        <v>3400</v>
      </c>
      <c r="K131" s="63">
        <f>'Front Office'!K92+HSKP!K92+Reservation!K92+'ROOMS Admin'!K92</f>
        <v>3400</v>
      </c>
      <c r="L131" s="63">
        <f>'Front Office'!L92+HSKP!L92+Reservation!L92+'ROOMS Admin'!L92</f>
        <v>3400</v>
      </c>
      <c r="M131" s="63">
        <f>'Front Office'!M92+HSKP!M92+Reservation!M92+'ROOMS Admin'!M92</f>
        <v>3400</v>
      </c>
      <c r="N131" s="63">
        <f>'Front Office'!N92+HSKP!N92+Reservation!N92+'ROOMS Admin'!N92</f>
        <v>3400</v>
      </c>
      <c r="O131" s="63">
        <f>'Front Office'!O92+HSKP!O92+Reservation!O92+'ROOMS Admin'!O92</f>
        <v>3400</v>
      </c>
      <c r="P131" s="63">
        <f>'Front Office'!P92+HSKP!P92+Reservation!P92+'ROOMS Admin'!P92</f>
        <v>3400</v>
      </c>
      <c r="Q131" s="355">
        <f t="shared" si="29"/>
        <v>40800</v>
      </c>
      <c r="R131" s="3">
        <f t="shared" si="30"/>
        <v>0.88397790055248615</v>
      </c>
      <c r="T131" s="35"/>
      <c r="U131" s="40"/>
    </row>
    <row r="132" spans="1:21" s="3" customFormat="1" ht="24.95" customHeight="1">
      <c r="A132" s="3" t="s">
        <v>312</v>
      </c>
      <c r="B132" s="50" t="s">
        <v>296</v>
      </c>
      <c r="D132" s="26" t="s">
        <v>313</v>
      </c>
      <c r="E132" s="63">
        <f>'Front Office'!E93+HSKP!E93+Reservation!E93+'ROOMS Admin'!E93</f>
        <v>0</v>
      </c>
      <c r="F132" s="63">
        <f>'Front Office'!F93+HSKP!F93+Reservation!F93+'ROOMS Admin'!F93</f>
        <v>0</v>
      </c>
      <c r="G132" s="63">
        <f>'Front Office'!G93+HSKP!G93+Reservation!G93+'ROOMS Admin'!G93</f>
        <v>0</v>
      </c>
      <c r="H132" s="63">
        <f>'Front Office'!H93+HSKP!H93+Reservation!H93+'ROOMS Admin'!H93</f>
        <v>0</v>
      </c>
      <c r="I132" s="63">
        <f>'Front Office'!I93+HSKP!I93+Reservation!I93+'ROOMS Admin'!I93</f>
        <v>0</v>
      </c>
      <c r="J132" s="63">
        <f>'Front Office'!J93+HSKP!J93+Reservation!J93+'ROOMS Admin'!J93</f>
        <v>0</v>
      </c>
      <c r="K132" s="63">
        <f>'Front Office'!K93+HSKP!K93+Reservation!K93+'ROOMS Admin'!K93</f>
        <v>0</v>
      </c>
      <c r="L132" s="63">
        <f>'Front Office'!L93+HSKP!L93+Reservation!L93+'ROOMS Admin'!L93</f>
        <v>0</v>
      </c>
      <c r="M132" s="63">
        <f>'Front Office'!M93+HSKP!M93+Reservation!M93+'ROOMS Admin'!M93</f>
        <v>0</v>
      </c>
      <c r="N132" s="63">
        <f>'Front Office'!N93+HSKP!N93+Reservation!N93+'ROOMS Admin'!N93</f>
        <v>0</v>
      </c>
      <c r="O132" s="63">
        <f>'Front Office'!O93+HSKP!O93+Reservation!O93+'ROOMS Admin'!O93</f>
        <v>0</v>
      </c>
      <c r="P132" s="63">
        <f>'Front Office'!P93+HSKP!P93+Reservation!P93+'ROOMS Admin'!P93</f>
        <v>0</v>
      </c>
      <c r="Q132" s="355">
        <f t="shared" si="29"/>
        <v>0</v>
      </c>
      <c r="R132" s="3">
        <f t="shared" ref="R132:R133" si="31">Q132/$Q$111</f>
        <v>0</v>
      </c>
      <c r="T132" s="35"/>
      <c r="U132" s="115"/>
    </row>
    <row r="133" spans="1:21" s="3" customFormat="1" ht="24.95" customHeight="1">
      <c r="A133" s="3" t="s">
        <v>314</v>
      </c>
      <c r="B133" s="50" t="s">
        <v>296</v>
      </c>
      <c r="D133" s="26" t="s">
        <v>315</v>
      </c>
      <c r="E133" s="63">
        <f>'Front Office'!E94+HSKP!E94+Reservation!E94+'ROOMS Admin'!E94</f>
        <v>1500</v>
      </c>
      <c r="F133" s="63">
        <f>'Front Office'!F94+HSKP!F94+Reservation!F94+'ROOMS Admin'!F94</f>
        <v>1500</v>
      </c>
      <c r="G133" s="63">
        <f>'Front Office'!G94+HSKP!G94+Reservation!G94+'ROOMS Admin'!G94</f>
        <v>1500</v>
      </c>
      <c r="H133" s="63">
        <f>'Front Office'!H94+HSKP!H94+Reservation!H94+'ROOMS Admin'!H94</f>
        <v>1500</v>
      </c>
      <c r="I133" s="63">
        <f>'Front Office'!I94+HSKP!I94+Reservation!I94+'ROOMS Admin'!I94</f>
        <v>1500</v>
      </c>
      <c r="J133" s="63">
        <f>'Front Office'!J94+HSKP!J94+Reservation!J94+'ROOMS Admin'!J94</f>
        <v>1500</v>
      </c>
      <c r="K133" s="63">
        <f>'Front Office'!K94+HSKP!K94+Reservation!K94+'ROOMS Admin'!K94</f>
        <v>1500</v>
      </c>
      <c r="L133" s="63">
        <f>'Front Office'!L94+HSKP!L94+Reservation!L94+'ROOMS Admin'!L94</f>
        <v>1500</v>
      </c>
      <c r="M133" s="63">
        <f>'Front Office'!M94+HSKP!M94+Reservation!M94+'ROOMS Admin'!M94</f>
        <v>1500</v>
      </c>
      <c r="N133" s="63">
        <f>'Front Office'!N94+HSKP!N94+Reservation!N94+'ROOMS Admin'!N94</f>
        <v>1500</v>
      </c>
      <c r="O133" s="63">
        <f>'Front Office'!O94+HSKP!O94+Reservation!O94+'ROOMS Admin'!O94</f>
        <v>1500</v>
      </c>
      <c r="P133" s="63">
        <f>'Front Office'!P94+HSKP!P94+Reservation!P94+'ROOMS Admin'!P94</f>
        <v>1500</v>
      </c>
      <c r="Q133" s="355">
        <f t="shared" si="29"/>
        <v>18000</v>
      </c>
      <c r="R133" s="3">
        <f t="shared" si="31"/>
        <v>0.3899902502437439</v>
      </c>
      <c r="T133" s="35"/>
      <c r="U133" s="40"/>
    </row>
    <row r="134" spans="1:21" s="3" customFormat="1" ht="24.95" customHeight="1">
      <c r="A134" s="3" t="s">
        <v>1109</v>
      </c>
      <c r="B134" s="50" t="s">
        <v>296</v>
      </c>
      <c r="D134" s="26" t="s">
        <v>1113</v>
      </c>
      <c r="E134" s="63">
        <f>'Front Office'!E95+HSKP!E95+Reservation!E95+'ROOMS Admin'!E95</f>
        <v>2600</v>
      </c>
      <c r="F134" s="63">
        <f>'Front Office'!F95+HSKP!F95+Reservation!F95+'ROOMS Admin'!F95</f>
        <v>2600</v>
      </c>
      <c r="G134" s="63">
        <f>'Front Office'!G95+HSKP!G95+Reservation!G95+'ROOMS Admin'!G95</f>
        <v>2600</v>
      </c>
      <c r="H134" s="63">
        <f>'Front Office'!H95+HSKP!H95+Reservation!H95+'ROOMS Admin'!H95</f>
        <v>2600</v>
      </c>
      <c r="I134" s="63">
        <f>'Front Office'!I95+HSKP!I95+Reservation!I95+'ROOMS Admin'!I95</f>
        <v>2600</v>
      </c>
      <c r="J134" s="63">
        <f>'Front Office'!J95+HSKP!J95+Reservation!J95+'ROOMS Admin'!J95</f>
        <v>2600</v>
      </c>
      <c r="K134" s="63">
        <f>'Front Office'!K95+HSKP!K95+Reservation!K95+'ROOMS Admin'!K95</f>
        <v>2600</v>
      </c>
      <c r="L134" s="63">
        <f>'Front Office'!L95+HSKP!L95+Reservation!L95+'ROOMS Admin'!L95</f>
        <v>2600</v>
      </c>
      <c r="M134" s="63">
        <f>'Front Office'!M95+HSKP!M95+Reservation!M95+'ROOMS Admin'!M95</f>
        <v>2600</v>
      </c>
      <c r="N134" s="63">
        <f>'Front Office'!N95+HSKP!N95+Reservation!N95+'ROOMS Admin'!N95</f>
        <v>2600</v>
      </c>
      <c r="O134" s="63">
        <f>'Front Office'!O95+HSKP!O95+Reservation!O95+'ROOMS Admin'!O95</f>
        <v>2600</v>
      </c>
      <c r="P134" s="63">
        <f>'Front Office'!P95+HSKP!P95+Reservation!P95+'ROOMS Admin'!P95</f>
        <v>2600</v>
      </c>
      <c r="Q134" s="355">
        <f t="shared" si="29"/>
        <v>31200</v>
      </c>
      <c r="R134" s="3">
        <f t="shared" si="30"/>
        <v>0.67598310042248944</v>
      </c>
      <c r="T134" s="35"/>
      <c r="U134" s="115"/>
    </row>
    <row r="135" spans="1:21" s="3" customFormat="1" ht="24.95" customHeight="1">
      <c r="A135" s="3" t="s">
        <v>1109</v>
      </c>
      <c r="B135" s="50" t="s">
        <v>296</v>
      </c>
      <c r="D135" s="26" t="s">
        <v>1114</v>
      </c>
      <c r="E135" s="63">
        <f>'Front Office'!E96+HSKP!E96+Reservation!E96+'ROOMS Admin'!E96</f>
        <v>155402</v>
      </c>
      <c r="F135" s="63">
        <f>'Front Office'!F96+HSKP!F96+Reservation!F96+'ROOMS Admin'!F96</f>
        <v>131378</v>
      </c>
      <c r="G135" s="63">
        <f>'Front Office'!G96+HSKP!G96+Reservation!G96+'ROOMS Admin'!G96</f>
        <v>149445.5</v>
      </c>
      <c r="H135" s="63">
        <f>'Front Office'!H96+HSKP!H96+Reservation!H96+'ROOMS Admin'!H96</f>
        <v>164271.5</v>
      </c>
      <c r="I135" s="63">
        <f>'Front Office'!I96+HSKP!I96+Reservation!I96+'ROOMS Admin'!I96</f>
        <v>174783.5</v>
      </c>
      <c r="J135" s="63">
        <f>'Front Office'!J96+HSKP!J96+Reservation!J96+'ROOMS Admin'!J96</f>
        <v>156796.5</v>
      </c>
      <c r="K135" s="63">
        <f>'Front Office'!K96+HSKP!K96+Reservation!K96+'ROOMS Admin'!K96</f>
        <v>168965.5</v>
      </c>
      <c r="L135" s="63">
        <f>'Front Office'!L96+HSKP!L96+Reservation!L96+'ROOMS Admin'!L96</f>
        <v>170060.5</v>
      </c>
      <c r="M135" s="63">
        <f>'Front Office'!M96+HSKP!M96+Reservation!M96+'ROOMS Admin'!M96</f>
        <v>172936.5</v>
      </c>
      <c r="N135" s="63">
        <f>'Front Office'!N96+HSKP!N96+Reservation!N96+'ROOMS Admin'!N96</f>
        <v>191128</v>
      </c>
      <c r="O135" s="63">
        <f>'Front Office'!O96+HSKP!O96+Reservation!O96+'ROOMS Admin'!O96</f>
        <v>170746.5</v>
      </c>
      <c r="P135" s="63">
        <f>'Front Office'!P96+HSKP!P96+Reservation!P96+'ROOMS Admin'!P96</f>
        <v>166585.5</v>
      </c>
      <c r="Q135" s="355">
        <f t="shared" si="29"/>
        <v>1972499.5</v>
      </c>
      <c r="R135" s="3">
        <f t="shared" si="30"/>
        <v>42.736420756147766</v>
      </c>
      <c r="T135" s="35"/>
      <c r="U135" s="40"/>
    </row>
    <row r="136" spans="1:21" s="3" customFormat="1" ht="24.95" customHeight="1">
      <c r="D136" s="19" t="s">
        <v>316</v>
      </c>
      <c r="E136" s="160">
        <f>SUM(E129:E135)</f>
        <v>182274.91999999998</v>
      </c>
      <c r="F136" s="160">
        <f t="shared" ref="F136:Q136" si="32">SUM(F129:F135)</f>
        <v>166971.76</v>
      </c>
      <c r="G136" s="160">
        <f t="shared" si="32"/>
        <v>171958</v>
      </c>
      <c r="H136" s="160">
        <f t="shared" si="32"/>
        <v>191144.41999999998</v>
      </c>
      <c r="I136" s="160">
        <f t="shared" si="32"/>
        <v>201656.41999999998</v>
      </c>
      <c r="J136" s="160">
        <f t="shared" si="32"/>
        <v>183669.41999999998</v>
      </c>
      <c r="K136" s="160">
        <f t="shared" si="32"/>
        <v>191478</v>
      </c>
      <c r="L136" s="160">
        <f t="shared" si="32"/>
        <v>192573</v>
      </c>
      <c r="M136" s="160">
        <f t="shared" si="32"/>
        <v>199918.44</v>
      </c>
      <c r="N136" s="160">
        <f t="shared" si="32"/>
        <v>227048.8</v>
      </c>
      <c r="O136" s="160">
        <f t="shared" si="32"/>
        <v>193259</v>
      </c>
      <c r="P136" s="160">
        <f t="shared" si="32"/>
        <v>189098</v>
      </c>
      <c r="Q136" s="160">
        <f t="shared" si="32"/>
        <v>2291050.1800000002</v>
      </c>
      <c r="R136" s="3">
        <f t="shared" si="30"/>
        <v>49.638179612176366</v>
      </c>
      <c r="T136" s="35"/>
      <c r="U136" s="40"/>
    </row>
    <row r="137" spans="1:21" s="3" customFormat="1" ht="24.95" customHeight="1">
      <c r="L137" s="161"/>
      <c r="T137" s="35"/>
      <c r="U137" s="115"/>
    </row>
    <row r="138" spans="1:21" s="3" customFormat="1" ht="24.95" customHeight="1">
      <c r="A138" s="3" t="s">
        <v>317</v>
      </c>
      <c r="B138" s="50" t="s">
        <v>296</v>
      </c>
      <c r="D138" s="26" t="s">
        <v>318</v>
      </c>
      <c r="E138" s="61">
        <f>'Front Office'!E99+HSKP!E99+Reservation!E97+'ROOMS Admin'!E97</f>
        <v>19726.88</v>
      </c>
      <c r="F138" s="61">
        <f>'Front Office'!F99+HSKP!F99+Reservation!F97+'ROOMS Admin'!F97</f>
        <v>19726.88</v>
      </c>
      <c r="G138" s="61">
        <f>'Front Office'!G99+HSKP!G99+Reservation!G97+'ROOMS Admin'!G97</f>
        <v>19726.88</v>
      </c>
      <c r="H138" s="61">
        <f>'Front Office'!H99+HSKP!H99+Reservation!H97+'ROOMS Admin'!H97</f>
        <v>19726.88</v>
      </c>
      <c r="I138" s="61">
        <f>'Front Office'!I99+HSKP!I99+Reservation!I97+'ROOMS Admin'!I97</f>
        <v>19726.88</v>
      </c>
      <c r="J138" s="61">
        <f>'Front Office'!J99+HSKP!J99+Reservation!J97+'ROOMS Admin'!J97</f>
        <v>19726.88</v>
      </c>
      <c r="K138" s="61">
        <f>'Front Office'!K99+HSKP!K99+Reservation!K97+'ROOMS Admin'!K97</f>
        <v>19726.88</v>
      </c>
      <c r="L138" s="61">
        <f>'Front Office'!L99+HSKP!L99+Reservation!L97+'ROOMS Admin'!L97</f>
        <v>19726.88</v>
      </c>
      <c r="M138" s="61">
        <f>'Front Office'!M99+HSKP!M99+Reservation!M97+'ROOMS Admin'!M97</f>
        <v>19726.88</v>
      </c>
      <c r="N138" s="61">
        <f>'Front Office'!N99+HSKP!N99+Reservation!N97+'ROOMS Admin'!N97</f>
        <v>19726.88</v>
      </c>
      <c r="O138" s="61">
        <f>'Front Office'!O99+HSKP!O99+Reservation!O97+'ROOMS Admin'!O97</f>
        <v>19726.88</v>
      </c>
      <c r="P138" s="61">
        <f>'Front Office'!P99+HSKP!P99+Reservation!P97+'ROOMS Admin'!P97</f>
        <v>19726.88</v>
      </c>
      <c r="Q138" s="355">
        <f t="shared" ref="Q138:Q145" si="33">SUM(E138:P138)</f>
        <v>236722.56000000003</v>
      </c>
      <c r="R138" s="3">
        <f t="shared" ref="R138:R146" si="34">Q138/$Q$111</f>
        <v>5.1288605784855381</v>
      </c>
      <c r="T138" s="35"/>
      <c r="U138" s="40"/>
    </row>
    <row r="139" spans="1:21" s="3" customFormat="1" ht="24.95" customHeight="1">
      <c r="A139" s="3" t="s">
        <v>319</v>
      </c>
      <c r="B139" s="50" t="s">
        <v>296</v>
      </c>
      <c r="D139" s="26" t="s">
        <v>320</v>
      </c>
      <c r="E139" s="61">
        <f>'Front Office'!E100+HSKP!E100+Reservation!E98+'ROOMS Admin'!E98</f>
        <v>8630.51</v>
      </c>
      <c r="F139" s="61">
        <f>'Front Office'!F100+HSKP!F100+Reservation!F98+'ROOMS Admin'!F98</f>
        <v>8630.51</v>
      </c>
      <c r="G139" s="61">
        <f>'Front Office'!G100+HSKP!G100+Reservation!G98+'ROOMS Admin'!G98</f>
        <v>8630.51</v>
      </c>
      <c r="H139" s="61">
        <f>'Front Office'!H100+HSKP!H100+Reservation!H98+'ROOMS Admin'!H98</f>
        <v>8630.51</v>
      </c>
      <c r="I139" s="61">
        <f>'Front Office'!I100+HSKP!I100+Reservation!I98+'ROOMS Admin'!I98</f>
        <v>8630.51</v>
      </c>
      <c r="J139" s="61">
        <f>'Front Office'!J100+HSKP!J100+Reservation!J98+'ROOMS Admin'!J98</f>
        <v>8630.51</v>
      </c>
      <c r="K139" s="61">
        <f>'Front Office'!K100+HSKP!K100+Reservation!K98+'ROOMS Admin'!K98</f>
        <v>8630.51</v>
      </c>
      <c r="L139" s="61">
        <f>'Front Office'!L100+HSKP!L100+Reservation!L98+'ROOMS Admin'!L98</f>
        <v>8630.51</v>
      </c>
      <c r="M139" s="61">
        <f>'Front Office'!M100+HSKP!M100+Reservation!M98+'ROOMS Admin'!M98</f>
        <v>8630.51</v>
      </c>
      <c r="N139" s="61">
        <f>'Front Office'!N100+HSKP!N100+Reservation!N98+'ROOMS Admin'!N98</f>
        <v>8630.51</v>
      </c>
      <c r="O139" s="61">
        <f>'Front Office'!O100+HSKP!O100+Reservation!O98+'ROOMS Admin'!O98</f>
        <v>8630.51</v>
      </c>
      <c r="P139" s="61">
        <f>'Front Office'!P100+HSKP!P100+Reservation!P98+'ROOMS Admin'!P98</f>
        <v>8630.51</v>
      </c>
      <c r="Q139" s="355">
        <f t="shared" si="33"/>
        <v>103566.11999999998</v>
      </c>
      <c r="R139" s="3">
        <f t="shared" si="34"/>
        <v>2.2438765030874226</v>
      </c>
      <c r="T139" s="35"/>
      <c r="U139" s="40"/>
    </row>
    <row r="140" spans="1:21" s="3" customFormat="1" ht="24.95" customHeight="1">
      <c r="A140" s="3" t="s">
        <v>321</v>
      </c>
      <c r="B140" s="50" t="s">
        <v>296</v>
      </c>
      <c r="D140" s="26" t="s">
        <v>322</v>
      </c>
      <c r="E140" s="61">
        <f>'Front Office'!E101+HSKP!E101+Reservation!E99+'ROOMS Admin'!E99</f>
        <v>616.49</v>
      </c>
      <c r="F140" s="61">
        <f>'Front Office'!F101+HSKP!F101+Reservation!F99+'ROOMS Admin'!F99</f>
        <v>616.49</v>
      </c>
      <c r="G140" s="61">
        <f>'Front Office'!G101+HSKP!G101+Reservation!G99+'ROOMS Admin'!G99</f>
        <v>616.49</v>
      </c>
      <c r="H140" s="61">
        <f>'Front Office'!H101+HSKP!H101+Reservation!H99+'ROOMS Admin'!H99</f>
        <v>616.49</v>
      </c>
      <c r="I140" s="61">
        <f>'Front Office'!I101+HSKP!I101+Reservation!I99+'ROOMS Admin'!I99</f>
        <v>616.49</v>
      </c>
      <c r="J140" s="61">
        <f>'Front Office'!J101+HSKP!J101+Reservation!J99+'ROOMS Admin'!J99</f>
        <v>616.49</v>
      </c>
      <c r="K140" s="61">
        <f>'Front Office'!K101+HSKP!K101+Reservation!K99+'ROOMS Admin'!K99</f>
        <v>616.49</v>
      </c>
      <c r="L140" s="61">
        <f>'Front Office'!L101+HSKP!L101+Reservation!L99+'ROOMS Admin'!L99</f>
        <v>616.49</v>
      </c>
      <c r="M140" s="61">
        <f>'Front Office'!M101+HSKP!M101+Reservation!M99+'ROOMS Admin'!M99</f>
        <v>616.49</v>
      </c>
      <c r="N140" s="61">
        <f>'Front Office'!N101+HSKP!N101+Reservation!N99+'ROOMS Admin'!N99</f>
        <v>616.49</v>
      </c>
      <c r="O140" s="61">
        <f>'Front Office'!O101+HSKP!O101+Reservation!O99+'ROOMS Admin'!O99</f>
        <v>616.49</v>
      </c>
      <c r="P140" s="61">
        <f>'Front Office'!P101+HSKP!P101+Reservation!P99+'ROOMS Admin'!P99</f>
        <v>616.49</v>
      </c>
      <c r="Q140" s="355">
        <f t="shared" si="33"/>
        <v>7397.8799999999983</v>
      </c>
      <c r="R140" s="3">
        <f t="shared" si="34"/>
        <v>0.16028339291517707</v>
      </c>
      <c r="T140" s="35"/>
      <c r="U140" s="40"/>
    </row>
    <row r="141" spans="1:21" s="3" customFormat="1" ht="24.95" customHeight="1">
      <c r="A141" s="3" t="s">
        <v>323</v>
      </c>
      <c r="B141" s="50" t="s">
        <v>296</v>
      </c>
      <c r="D141" s="26" t="s">
        <v>324</v>
      </c>
      <c r="E141" s="61">
        <f>'Front Office'!E102+HSKP!E102+Reservation!E100+'ROOMS Admin'!E100</f>
        <v>493.1699999999999</v>
      </c>
      <c r="F141" s="61">
        <f>'Front Office'!F102+HSKP!F102+Reservation!F100+'ROOMS Admin'!F100</f>
        <v>493.1699999999999</v>
      </c>
      <c r="G141" s="61">
        <f>'Front Office'!G102+HSKP!G102+Reservation!G100+'ROOMS Admin'!G100</f>
        <v>493.1699999999999</v>
      </c>
      <c r="H141" s="61">
        <f>'Front Office'!H102+HSKP!H102+Reservation!H100+'ROOMS Admin'!H100</f>
        <v>493.1699999999999</v>
      </c>
      <c r="I141" s="61">
        <f>'Front Office'!I102+HSKP!I102+Reservation!I100+'ROOMS Admin'!I100</f>
        <v>493.1699999999999</v>
      </c>
      <c r="J141" s="61">
        <f>'Front Office'!J102+HSKP!J102+Reservation!J100+'ROOMS Admin'!J100</f>
        <v>493.1699999999999</v>
      </c>
      <c r="K141" s="61">
        <f>'Front Office'!K102+HSKP!K102+Reservation!K100+'ROOMS Admin'!K100</f>
        <v>493.1699999999999</v>
      </c>
      <c r="L141" s="61">
        <f>'Front Office'!L102+HSKP!L102+Reservation!L100+'ROOMS Admin'!L100</f>
        <v>493.1699999999999</v>
      </c>
      <c r="M141" s="61">
        <f>'Front Office'!M102+HSKP!M102+Reservation!M100+'ROOMS Admin'!M100</f>
        <v>493.1699999999999</v>
      </c>
      <c r="N141" s="61">
        <f>'Front Office'!N102+HSKP!N102+Reservation!N100+'ROOMS Admin'!N100</f>
        <v>493.1699999999999</v>
      </c>
      <c r="O141" s="61">
        <f>'Front Office'!O102+HSKP!O102+Reservation!O100+'ROOMS Admin'!O100</f>
        <v>493.1699999999999</v>
      </c>
      <c r="P141" s="61">
        <f>'Front Office'!P102+HSKP!P102+Reservation!P100+'ROOMS Admin'!P100</f>
        <v>493.1699999999999</v>
      </c>
      <c r="Q141" s="355">
        <f t="shared" si="33"/>
        <v>5918.04</v>
      </c>
      <c r="R141" s="3">
        <f t="shared" si="34"/>
        <v>0.12822099447513813</v>
      </c>
      <c r="T141" s="35"/>
      <c r="U141" s="40"/>
    </row>
    <row r="142" spans="1:21" s="3" customFormat="1" ht="24.95" customHeight="1">
      <c r="A142" s="3" t="s">
        <v>325</v>
      </c>
      <c r="B142" s="50" t="s">
        <v>296</v>
      </c>
      <c r="D142" s="26" t="s">
        <v>326</v>
      </c>
      <c r="E142" s="61">
        <f>'Front Office'!E103+HSKP!E103+Reservation!E101+'ROOMS Admin'!E101</f>
        <v>986.3399999999998</v>
      </c>
      <c r="F142" s="61">
        <f>'Front Office'!F103+HSKP!F103+Reservation!F101+'ROOMS Admin'!F101</f>
        <v>986.3399999999998</v>
      </c>
      <c r="G142" s="61">
        <f>'Front Office'!G103+HSKP!G103+Reservation!G101+'ROOMS Admin'!G101</f>
        <v>986.3399999999998</v>
      </c>
      <c r="H142" s="61">
        <f>'Front Office'!H103+HSKP!H103+Reservation!H101+'ROOMS Admin'!H101</f>
        <v>986.3399999999998</v>
      </c>
      <c r="I142" s="61">
        <f>'Front Office'!I103+HSKP!I103+Reservation!I101+'ROOMS Admin'!I101</f>
        <v>986.3399999999998</v>
      </c>
      <c r="J142" s="61">
        <f>'Front Office'!J103+HSKP!J103+Reservation!J101+'ROOMS Admin'!J101</f>
        <v>986.3399999999998</v>
      </c>
      <c r="K142" s="61">
        <f>'Front Office'!K103+HSKP!K103+Reservation!K101+'ROOMS Admin'!K101</f>
        <v>986.3399999999998</v>
      </c>
      <c r="L142" s="61">
        <f>'Front Office'!L103+HSKP!L103+Reservation!L101+'ROOMS Admin'!L101</f>
        <v>986.3399999999998</v>
      </c>
      <c r="M142" s="61">
        <f>'Front Office'!M103+HSKP!M103+Reservation!M101+'ROOMS Admin'!M101</f>
        <v>986.3399999999998</v>
      </c>
      <c r="N142" s="61">
        <f>'Front Office'!N103+HSKP!N103+Reservation!N101+'ROOMS Admin'!N101</f>
        <v>986.3399999999998</v>
      </c>
      <c r="O142" s="61">
        <f>'Front Office'!O103+HSKP!O103+Reservation!O101+'ROOMS Admin'!O101</f>
        <v>986.3399999999998</v>
      </c>
      <c r="P142" s="61">
        <f>'Front Office'!P103+HSKP!P103+Reservation!P101+'ROOMS Admin'!P101</f>
        <v>986.3399999999998</v>
      </c>
      <c r="Q142" s="355">
        <f t="shared" si="33"/>
        <v>11836.08</v>
      </c>
      <c r="R142" s="3">
        <f t="shared" si="34"/>
        <v>0.25644198895027626</v>
      </c>
      <c r="T142" s="35"/>
      <c r="U142" s="40"/>
    </row>
    <row r="143" spans="1:21" s="3" customFormat="1" ht="24.95" customHeight="1">
      <c r="A143" s="3" t="s">
        <v>327</v>
      </c>
      <c r="B143" s="50" t="s">
        <v>296</v>
      </c>
      <c r="D143" s="26" t="s">
        <v>328</v>
      </c>
      <c r="E143" s="61">
        <f>'Front Office'!E104+HSKP!E104+Reservation!E102+'ROOMS Admin'!E102</f>
        <v>11446.4</v>
      </c>
      <c r="F143" s="61">
        <f>'Front Office'!F104+HSKP!F104+Reservation!F102+'ROOMS Admin'!F102</f>
        <v>11446.4</v>
      </c>
      <c r="G143" s="61">
        <f>'Front Office'!G104+HSKP!G104+Reservation!G102+'ROOMS Admin'!G102</f>
        <v>11446.4</v>
      </c>
      <c r="H143" s="61">
        <f>'Front Office'!H104+HSKP!H104+Reservation!H102+'ROOMS Admin'!H102</f>
        <v>11446.4</v>
      </c>
      <c r="I143" s="61">
        <f>'Front Office'!I104+HSKP!I104+Reservation!I102+'ROOMS Admin'!I102</f>
        <v>11446.4</v>
      </c>
      <c r="J143" s="61">
        <f>'Front Office'!J104+HSKP!J104+Reservation!J102+'ROOMS Admin'!J102</f>
        <v>11446.4</v>
      </c>
      <c r="K143" s="61">
        <f>'Front Office'!K104+HSKP!K104+Reservation!K102+'ROOMS Admin'!K102</f>
        <v>11446.4</v>
      </c>
      <c r="L143" s="61">
        <f>'Front Office'!L104+HSKP!L104+Reservation!L102+'ROOMS Admin'!L102</f>
        <v>11446.4</v>
      </c>
      <c r="M143" s="61">
        <f>'Front Office'!M104+HSKP!M104+Reservation!M102+'ROOMS Admin'!M102</f>
        <v>11446.4</v>
      </c>
      <c r="N143" s="61">
        <f>'Front Office'!N104+HSKP!N104+Reservation!N102+'ROOMS Admin'!N102</f>
        <v>11446.4</v>
      </c>
      <c r="O143" s="61">
        <f>'Front Office'!O104+HSKP!O104+Reservation!O102+'ROOMS Admin'!O102</f>
        <v>11446.4</v>
      </c>
      <c r="P143" s="61">
        <f>'Front Office'!P104+HSKP!P104+Reservation!P102+'ROOMS Admin'!P102</f>
        <v>11446.4</v>
      </c>
      <c r="Q143" s="355">
        <f t="shared" si="33"/>
        <v>137356.79999999996</v>
      </c>
      <c r="R143" s="3">
        <f t="shared" si="34"/>
        <v>2.9759896002599926</v>
      </c>
      <c r="T143" s="35"/>
      <c r="U143" s="40"/>
    </row>
    <row r="144" spans="1:21" s="3" customFormat="1" ht="24.95" customHeight="1">
      <c r="A144" s="3" t="s">
        <v>329</v>
      </c>
      <c r="B144" s="50" t="s">
        <v>296</v>
      </c>
      <c r="D144" s="26" t="s">
        <v>330</v>
      </c>
      <c r="E144" s="61">
        <f>'Front Office'!E105+HSKP!E105+Reservation!E103+'ROOMS Admin'!E103</f>
        <v>2402</v>
      </c>
      <c r="F144" s="61">
        <f>'Front Office'!F105+HSKP!F105+Reservation!F103+'ROOMS Admin'!F103</f>
        <v>2402</v>
      </c>
      <c r="G144" s="61">
        <f>'Front Office'!G105+HSKP!G105+Reservation!G103+'ROOMS Admin'!G103</f>
        <v>2402</v>
      </c>
      <c r="H144" s="61">
        <f>'Front Office'!H105+HSKP!H105+Reservation!H103+'ROOMS Admin'!H103</f>
        <v>2402</v>
      </c>
      <c r="I144" s="61">
        <f>'Front Office'!I105+HSKP!I105+Reservation!I103+'ROOMS Admin'!I103</f>
        <v>2402</v>
      </c>
      <c r="J144" s="61">
        <f>'Front Office'!J105+HSKP!J105+Reservation!J103+'ROOMS Admin'!J103</f>
        <v>2402</v>
      </c>
      <c r="K144" s="61">
        <f>'Front Office'!K105+HSKP!K105+Reservation!K103+'ROOMS Admin'!K103</f>
        <v>2402</v>
      </c>
      <c r="L144" s="61">
        <f>'Front Office'!L105+HSKP!L105+Reservation!L103+'ROOMS Admin'!L103</f>
        <v>2402</v>
      </c>
      <c r="M144" s="61">
        <f>'Front Office'!M105+HSKP!M105+Reservation!M103+'ROOMS Admin'!M103</f>
        <v>2402</v>
      </c>
      <c r="N144" s="61">
        <f>'Front Office'!N105+HSKP!N105+Reservation!N103+'ROOMS Admin'!N103</f>
        <v>2402</v>
      </c>
      <c r="O144" s="61">
        <f>'Front Office'!O105+HSKP!O105+Reservation!O103+'ROOMS Admin'!O103</f>
        <v>2402</v>
      </c>
      <c r="P144" s="61">
        <f>'Front Office'!P105+HSKP!P105+Reservation!P103+'ROOMS Admin'!P103</f>
        <v>2402</v>
      </c>
      <c r="Q144" s="355">
        <f t="shared" si="33"/>
        <v>28824</v>
      </c>
      <c r="R144" s="3">
        <f t="shared" si="34"/>
        <v>0.62450438739031522</v>
      </c>
      <c r="T144" s="35"/>
      <c r="U144" s="115"/>
    </row>
    <row r="145" spans="1:21" s="3" customFormat="1" ht="24.95" customHeight="1">
      <c r="A145" s="3" t="s">
        <v>331</v>
      </c>
      <c r="B145" s="50" t="s">
        <v>296</v>
      </c>
      <c r="D145" s="26" t="s">
        <v>332</v>
      </c>
      <c r="E145" s="61">
        <f>'Front Office'!E106+HSKP!E106+Reservation!E104+'ROOMS Admin'!E104</f>
        <v>0</v>
      </c>
      <c r="F145" s="61">
        <f>'Front Office'!F106+HSKP!F106+Reservation!F104+'ROOMS Admin'!F104</f>
        <v>0</v>
      </c>
      <c r="G145" s="61">
        <f>'Front Office'!G106+HSKP!G106+Reservation!G104+'ROOMS Admin'!G104</f>
        <v>0</v>
      </c>
      <c r="H145" s="61">
        <f>'Front Office'!H106+HSKP!H106+Reservation!H104+'ROOMS Admin'!H104</f>
        <v>0</v>
      </c>
      <c r="I145" s="61">
        <f>'Front Office'!I106+HSKP!I106+Reservation!I104+'ROOMS Admin'!I104</f>
        <v>0</v>
      </c>
      <c r="J145" s="61">
        <f>'Front Office'!J106+HSKP!J106+Reservation!J104+'ROOMS Admin'!J104</f>
        <v>0</v>
      </c>
      <c r="K145" s="61">
        <f>'Front Office'!K106+HSKP!K106+Reservation!K104+'ROOMS Admin'!K104</f>
        <v>0</v>
      </c>
      <c r="L145" s="61">
        <f>'Front Office'!L106+HSKP!L106+Reservation!L104+'ROOMS Admin'!L104</f>
        <v>0</v>
      </c>
      <c r="M145" s="61">
        <f>'Front Office'!M106+HSKP!M106+Reservation!M104+'ROOMS Admin'!M104</f>
        <v>0</v>
      </c>
      <c r="N145" s="61">
        <f>'Front Office'!N106+HSKP!N106+Reservation!N104+'ROOMS Admin'!N104</f>
        <v>0</v>
      </c>
      <c r="O145" s="61">
        <f>'Front Office'!O106+HSKP!O106+Reservation!O104+'ROOMS Admin'!O104</f>
        <v>0</v>
      </c>
      <c r="P145" s="61">
        <f>'Front Office'!P106+HSKP!P106+Reservation!P104+'ROOMS Admin'!P104</f>
        <v>0</v>
      </c>
      <c r="Q145" s="355">
        <f t="shared" si="33"/>
        <v>0</v>
      </c>
      <c r="R145" s="3">
        <f t="shared" si="34"/>
        <v>0</v>
      </c>
      <c r="T145" s="35"/>
      <c r="U145" s="115"/>
    </row>
    <row r="146" spans="1:21" s="3" customFormat="1" ht="24.95" customHeight="1">
      <c r="D146" s="19" t="s">
        <v>333</v>
      </c>
      <c r="E146" s="160">
        <f>SUM(E138:E145)</f>
        <v>44301.79</v>
      </c>
      <c r="F146" s="160">
        <f t="shared" ref="F146:Q146" si="35">SUM(F138:F145)</f>
        <v>44301.79</v>
      </c>
      <c r="G146" s="160">
        <f t="shared" si="35"/>
        <v>44301.79</v>
      </c>
      <c r="H146" s="160">
        <f t="shared" si="35"/>
        <v>44301.79</v>
      </c>
      <c r="I146" s="160">
        <f t="shared" si="35"/>
        <v>44301.79</v>
      </c>
      <c r="J146" s="160">
        <f t="shared" si="35"/>
        <v>44301.79</v>
      </c>
      <c r="K146" s="160">
        <f t="shared" si="35"/>
        <v>44301.79</v>
      </c>
      <c r="L146" s="160">
        <f t="shared" si="35"/>
        <v>44301.79</v>
      </c>
      <c r="M146" s="160">
        <f t="shared" si="35"/>
        <v>44301.79</v>
      </c>
      <c r="N146" s="160">
        <f t="shared" si="35"/>
        <v>44301.79</v>
      </c>
      <c r="O146" s="160">
        <f t="shared" si="35"/>
        <v>44301.79</v>
      </c>
      <c r="P146" s="160">
        <f t="shared" si="35"/>
        <v>44301.79</v>
      </c>
      <c r="Q146" s="160">
        <f t="shared" si="35"/>
        <v>531621.48</v>
      </c>
      <c r="R146" s="3">
        <f t="shared" si="34"/>
        <v>11.518177445563861</v>
      </c>
      <c r="T146" s="35"/>
      <c r="U146" s="40"/>
    </row>
    <row r="147" spans="1:21" s="3" customFormat="1" ht="24.95" customHeight="1">
      <c r="L147" s="161"/>
      <c r="T147" s="35"/>
      <c r="U147" s="115"/>
    </row>
    <row r="148" spans="1:21" s="3" customFormat="1" ht="24.95" hidden="1" customHeight="1">
      <c r="A148" s="3" t="s">
        <v>334</v>
      </c>
      <c r="B148" s="50" t="s">
        <v>296</v>
      </c>
      <c r="D148" s="26" t="s">
        <v>335</v>
      </c>
      <c r="E148" s="61">
        <f>'Front Office'!E109+HSKP!E109+Reservation!E107+'ROOMS Admin'!E107</f>
        <v>0</v>
      </c>
      <c r="F148" s="61">
        <f>'Front Office'!F109+HSKP!F109+Reservation!F107+'ROOMS Admin'!F107</f>
        <v>0</v>
      </c>
      <c r="G148" s="61">
        <f>'Front Office'!G109+HSKP!G109+Reservation!G107+'ROOMS Admin'!G107</f>
        <v>0</v>
      </c>
      <c r="H148" s="61">
        <f>'Front Office'!H109+HSKP!H109+Reservation!H107+'ROOMS Admin'!H107</f>
        <v>0</v>
      </c>
      <c r="I148" s="61">
        <f>'Front Office'!I109+HSKP!I109+Reservation!I107+'ROOMS Admin'!I107</f>
        <v>0</v>
      </c>
      <c r="J148" s="61">
        <f>'Front Office'!J109+HSKP!J109+Reservation!J107+'ROOMS Admin'!J107</f>
        <v>0</v>
      </c>
      <c r="K148" s="61">
        <f>'Front Office'!K109+HSKP!K109+Reservation!K107+'ROOMS Admin'!K107</f>
        <v>0</v>
      </c>
      <c r="L148" s="61">
        <f>'Front Office'!L109+HSKP!L109+Reservation!L107+'ROOMS Admin'!L107</f>
        <v>0</v>
      </c>
      <c r="M148" s="61">
        <f>'Front Office'!M109+HSKP!M109+Reservation!M107+'ROOMS Admin'!M107</f>
        <v>0</v>
      </c>
      <c r="N148" s="61">
        <f>'Front Office'!N109+HSKP!N109+Reservation!N107+'ROOMS Admin'!N107</f>
        <v>0</v>
      </c>
      <c r="O148" s="61">
        <f>'Front Office'!O109+HSKP!O109+Reservation!O107+'ROOMS Admin'!O107</f>
        <v>0</v>
      </c>
      <c r="P148" s="61">
        <f>'Front Office'!P109+HSKP!P109+Reservation!P107+'ROOMS Admin'!P107</f>
        <v>0</v>
      </c>
      <c r="Q148" s="355">
        <f t="shared" ref="Q148:Q154" si="36">SUM(E148:P148)</f>
        <v>0</v>
      </c>
      <c r="R148" s="3">
        <f t="shared" ref="R148:R156" si="37">Q148/$Q$111</f>
        <v>0</v>
      </c>
      <c r="T148" s="35"/>
      <c r="U148" s="115"/>
    </row>
    <row r="149" spans="1:21" s="3" customFormat="1" ht="24.95" hidden="1" customHeight="1">
      <c r="A149" s="3" t="s">
        <v>336</v>
      </c>
      <c r="B149" s="50" t="s">
        <v>296</v>
      </c>
      <c r="D149" s="3" t="s">
        <v>337</v>
      </c>
      <c r="E149" s="61">
        <f>'Front Office'!E110+HSKP!E110+Reservation!E108+'ROOMS Admin'!E108</f>
        <v>0</v>
      </c>
      <c r="F149" s="61">
        <f>'Front Office'!F110+HSKP!F110+Reservation!F108+'ROOMS Admin'!F108</f>
        <v>0</v>
      </c>
      <c r="G149" s="61">
        <f>'Front Office'!G110+HSKP!G110+Reservation!G108+'ROOMS Admin'!G108</f>
        <v>0</v>
      </c>
      <c r="H149" s="61">
        <f>'Front Office'!H110+HSKP!H110+Reservation!H108+'ROOMS Admin'!H108</f>
        <v>0</v>
      </c>
      <c r="I149" s="61">
        <f>'Front Office'!I110+HSKP!I110+Reservation!I108+'ROOMS Admin'!I108</f>
        <v>0</v>
      </c>
      <c r="J149" s="61">
        <f>'Front Office'!J110+HSKP!J110+Reservation!J108+'ROOMS Admin'!J108</f>
        <v>0</v>
      </c>
      <c r="K149" s="61">
        <f>'Front Office'!K110+HSKP!K110+Reservation!K108+'ROOMS Admin'!K108</f>
        <v>0</v>
      </c>
      <c r="L149" s="61">
        <f>'Front Office'!L110+HSKP!L110+Reservation!L108+'ROOMS Admin'!L108</f>
        <v>0</v>
      </c>
      <c r="M149" s="61">
        <f>'Front Office'!M110+HSKP!M110+Reservation!M108+'ROOMS Admin'!M108</f>
        <v>0</v>
      </c>
      <c r="N149" s="61">
        <f>'Front Office'!N110+HSKP!N110+Reservation!N108+'ROOMS Admin'!N108</f>
        <v>0</v>
      </c>
      <c r="O149" s="61">
        <f>'Front Office'!O110+HSKP!O110+Reservation!O108+'ROOMS Admin'!O108</f>
        <v>0</v>
      </c>
      <c r="P149" s="61">
        <f>'Front Office'!P110+HSKP!P110+Reservation!P108+'ROOMS Admin'!P108</f>
        <v>0</v>
      </c>
      <c r="Q149" s="355">
        <f t="shared" si="36"/>
        <v>0</v>
      </c>
      <c r="R149" s="3">
        <f t="shared" si="37"/>
        <v>0</v>
      </c>
      <c r="T149" s="35"/>
      <c r="U149" s="115"/>
    </row>
    <row r="150" spans="1:21" s="3" customFormat="1" ht="24.95" hidden="1" customHeight="1">
      <c r="A150" s="3" t="s">
        <v>338</v>
      </c>
      <c r="B150" s="50" t="s">
        <v>296</v>
      </c>
      <c r="D150" s="26" t="s">
        <v>339</v>
      </c>
      <c r="E150" s="61">
        <f>'Front Office'!E111+HSKP!E111+Reservation!E109+'ROOMS Admin'!E109</f>
        <v>0</v>
      </c>
      <c r="F150" s="61">
        <f>'Front Office'!F111+HSKP!F111+Reservation!F109+'ROOMS Admin'!F109</f>
        <v>0</v>
      </c>
      <c r="G150" s="61">
        <f>'Front Office'!G111+HSKP!G111+Reservation!G109+'ROOMS Admin'!G109</f>
        <v>0</v>
      </c>
      <c r="H150" s="61">
        <f>'Front Office'!H111+HSKP!H111+Reservation!H109+'ROOMS Admin'!H109</f>
        <v>0</v>
      </c>
      <c r="I150" s="61">
        <f>'Front Office'!I111+HSKP!I111+Reservation!I109+'ROOMS Admin'!I109</f>
        <v>0</v>
      </c>
      <c r="J150" s="61">
        <f>'Front Office'!J111+HSKP!J111+Reservation!J109+'ROOMS Admin'!J109</f>
        <v>0</v>
      </c>
      <c r="K150" s="61">
        <f>'Front Office'!K111+HSKP!K111+Reservation!K109+'ROOMS Admin'!K109</f>
        <v>0</v>
      </c>
      <c r="L150" s="61">
        <f>'Front Office'!L111+HSKP!L111+Reservation!L109+'ROOMS Admin'!L109</f>
        <v>0</v>
      </c>
      <c r="M150" s="61">
        <f>'Front Office'!M111+HSKP!M111+Reservation!M109+'ROOMS Admin'!M109</f>
        <v>0</v>
      </c>
      <c r="N150" s="61">
        <f>'Front Office'!N111+HSKP!N111+Reservation!N109+'ROOMS Admin'!N109</f>
        <v>0</v>
      </c>
      <c r="O150" s="61">
        <f>'Front Office'!O111+HSKP!O111+Reservation!O109+'ROOMS Admin'!O109</f>
        <v>0</v>
      </c>
      <c r="P150" s="61">
        <f>'Front Office'!P111+HSKP!P111+Reservation!P109+'ROOMS Admin'!P109</f>
        <v>0</v>
      </c>
      <c r="Q150" s="355">
        <f t="shared" si="36"/>
        <v>0</v>
      </c>
      <c r="R150" s="3">
        <f t="shared" si="37"/>
        <v>0</v>
      </c>
      <c r="T150" s="35"/>
      <c r="U150" s="115"/>
    </row>
    <row r="151" spans="1:21" s="3" customFormat="1" ht="24.95" hidden="1" customHeight="1">
      <c r="A151" s="3" t="s">
        <v>340</v>
      </c>
      <c r="B151" s="50" t="s">
        <v>296</v>
      </c>
      <c r="D151" s="26" t="s">
        <v>341</v>
      </c>
      <c r="E151" s="61">
        <f>'Front Office'!E112+HSKP!E112+Reservation!E110+'ROOMS Admin'!E110</f>
        <v>0</v>
      </c>
      <c r="F151" s="61">
        <f>'Front Office'!F112+HSKP!F112+Reservation!F110+'ROOMS Admin'!F110</f>
        <v>0</v>
      </c>
      <c r="G151" s="61">
        <f>'Front Office'!G112+HSKP!G112+Reservation!G110+'ROOMS Admin'!G110</f>
        <v>0</v>
      </c>
      <c r="H151" s="61">
        <f>'Front Office'!H112+HSKP!H112+Reservation!H110+'ROOMS Admin'!H110</f>
        <v>0</v>
      </c>
      <c r="I151" s="61">
        <f>'Front Office'!I112+HSKP!I112+Reservation!I110+'ROOMS Admin'!I110</f>
        <v>0</v>
      </c>
      <c r="J151" s="61">
        <f>'Front Office'!J112+HSKP!J112+Reservation!J110+'ROOMS Admin'!J110</f>
        <v>0</v>
      </c>
      <c r="K151" s="61">
        <f>'Front Office'!K112+HSKP!K112+Reservation!K110+'ROOMS Admin'!K110</f>
        <v>0</v>
      </c>
      <c r="L151" s="61">
        <f>'Front Office'!L112+HSKP!L112+Reservation!L110+'ROOMS Admin'!L110</f>
        <v>0</v>
      </c>
      <c r="M151" s="61">
        <f>'Front Office'!M112+HSKP!M112+Reservation!M110+'ROOMS Admin'!M110</f>
        <v>0</v>
      </c>
      <c r="N151" s="61">
        <f>'Front Office'!N112+HSKP!N112+Reservation!N110+'ROOMS Admin'!N110</f>
        <v>0</v>
      </c>
      <c r="O151" s="61">
        <f>'Front Office'!O112+HSKP!O112+Reservation!O110+'ROOMS Admin'!O110</f>
        <v>0</v>
      </c>
      <c r="P151" s="61">
        <f>'Front Office'!P112+HSKP!P112+Reservation!P110+'ROOMS Admin'!P110</f>
        <v>0</v>
      </c>
      <c r="Q151" s="355">
        <f t="shared" si="36"/>
        <v>0</v>
      </c>
      <c r="R151" s="3">
        <f t="shared" si="37"/>
        <v>0</v>
      </c>
      <c r="T151" s="35"/>
      <c r="U151" s="115"/>
    </row>
    <row r="152" spans="1:21" s="3" customFormat="1" ht="24.95" customHeight="1">
      <c r="A152" s="3" t="s">
        <v>342</v>
      </c>
      <c r="B152" s="50" t="s">
        <v>296</v>
      </c>
      <c r="D152" s="26" t="s">
        <v>343</v>
      </c>
      <c r="E152" s="61">
        <f>'Front Office'!E113+HSKP!E113+Reservation!E111+'ROOMS Admin'!E111</f>
        <v>0</v>
      </c>
      <c r="F152" s="61">
        <f>'Front Office'!F113+HSKP!F113+Reservation!F111+'ROOMS Admin'!F111</f>
        <v>0</v>
      </c>
      <c r="G152" s="61">
        <f>'Front Office'!G113+HSKP!G113+Reservation!G111+'ROOMS Admin'!G111</f>
        <v>0</v>
      </c>
      <c r="H152" s="61">
        <f>'Front Office'!H113+HSKP!H113+Reservation!H111+'ROOMS Admin'!H111</f>
        <v>0</v>
      </c>
      <c r="I152" s="61">
        <f>'Front Office'!I113+HSKP!I113+Reservation!I111+'ROOMS Admin'!I111</f>
        <v>0</v>
      </c>
      <c r="J152" s="61">
        <f>'Front Office'!J113+HSKP!J113+Reservation!J111+'ROOMS Admin'!J111</f>
        <v>0</v>
      </c>
      <c r="K152" s="61">
        <f>'Front Office'!K113+HSKP!K113+Reservation!K111+'ROOMS Admin'!K111</f>
        <v>0</v>
      </c>
      <c r="L152" s="61">
        <f>'Front Office'!L113+HSKP!L113+Reservation!L111+'ROOMS Admin'!L111</f>
        <v>0</v>
      </c>
      <c r="M152" s="61">
        <f>'Front Office'!M113+HSKP!M113+Reservation!M111+'ROOMS Admin'!M111</f>
        <v>0</v>
      </c>
      <c r="N152" s="61">
        <f>'Front Office'!N113+HSKP!N113+Reservation!N111+'ROOMS Admin'!N111</f>
        <v>0</v>
      </c>
      <c r="O152" s="61">
        <f>'Front Office'!O113+HSKP!O113+Reservation!O111+'ROOMS Admin'!O111</f>
        <v>0</v>
      </c>
      <c r="P152" s="61">
        <f>'Front Office'!P113+HSKP!P113+Reservation!P111+'ROOMS Admin'!P111</f>
        <v>0</v>
      </c>
      <c r="Q152" s="355">
        <f t="shared" si="36"/>
        <v>0</v>
      </c>
      <c r="R152" s="3">
        <f t="shared" si="37"/>
        <v>0</v>
      </c>
      <c r="T152" s="35"/>
      <c r="U152" s="40"/>
    </row>
    <row r="153" spans="1:21" s="3" customFormat="1" ht="24.95" customHeight="1">
      <c r="A153" s="3" t="s">
        <v>344</v>
      </c>
      <c r="B153" s="50" t="s">
        <v>296</v>
      </c>
      <c r="D153" s="26" t="s">
        <v>345</v>
      </c>
      <c r="E153" s="61">
        <f>'Front Office'!E114+HSKP!E114+Reservation!E112+'ROOMS Admin'!E112</f>
        <v>0</v>
      </c>
      <c r="F153" s="61">
        <f>'Front Office'!F114+HSKP!F114+Reservation!F112+'ROOMS Admin'!F112</f>
        <v>0</v>
      </c>
      <c r="G153" s="61">
        <f>'Front Office'!G114+HSKP!G114+Reservation!G112+'ROOMS Admin'!G112</f>
        <v>0</v>
      </c>
      <c r="H153" s="61">
        <f>'Front Office'!H114+HSKP!H114+Reservation!H112+'ROOMS Admin'!H112</f>
        <v>0</v>
      </c>
      <c r="I153" s="61">
        <f>'Front Office'!I114+HSKP!I114+Reservation!I112+'ROOMS Admin'!I112</f>
        <v>0</v>
      </c>
      <c r="J153" s="61">
        <f>'Front Office'!J114+HSKP!J114+Reservation!J112+'ROOMS Admin'!J112</f>
        <v>0</v>
      </c>
      <c r="K153" s="61">
        <f>'Front Office'!K114+HSKP!K114+Reservation!K112+'ROOMS Admin'!K112</f>
        <v>0</v>
      </c>
      <c r="L153" s="61">
        <f>'Front Office'!L114+HSKP!L114+Reservation!L112+'ROOMS Admin'!L112</f>
        <v>0</v>
      </c>
      <c r="M153" s="61">
        <f>'Front Office'!M114+HSKP!M114+Reservation!M112+'ROOMS Admin'!M112</f>
        <v>0</v>
      </c>
      <c r="N153" s="61">
        <f>'Front Office'!N114+HSKP!N114+Reservation!N112+'ROOMS Admin'!N112</f>
        <v>0</v>
      </c>
      <c r="O153" s="61">
        <f>'Front Office'!O114+HSKP!O114+Reservation!O112+'ROOMS Admin'!O112</f>
        <v>0</v>
      </c>
      <c r="P153" s="61">
        <f>'Front Office'!P114+HSKP!P114+Reservation!P112+'ROOMS Admin'!P112</f>
        <v>0</v>
      </c>
      <c r="Q153" s="355">
        <f t="shared" si="36"/>
        <v>0</v>
      </c>
      <c r="R153" s="3">
        <f t="shared" si="37"/>
        <v>0</v>
      </c>
      <c r="T153" s="35"/>
      <c r="U153" s="40"/>
    </row>
    <row r="154" spans="1:21" s="3" customFormat="1" ht="24.95" customHeight="1">
      <c r="A154" s="3" t="s">
        <v>346</v>
      </c>
      <c r="B154" s="50" t="s">
        <v>296</v>
      </c>
      <c r="D154" s="26" t="s">
        <v>347</v>
      </c>
      <c r="E154" s="61">
        <f>'Front Office'!E115+HSKP!E115+Reservation!E113+'ROOMS Admin'!E113</f>
        <v>18064.349999999999</v>
      </c>
      <c r="F154" s="61">
        <f>'Front Office'!F115+HSKP!F115+Reservation!F113+'ROOMS Admin'!F113</f>
        <v>18881.740000000002</v>
      </c>
      <c r="G154" s="61">
        <f>'Front Office'!G115+HSKP!G115+Reservation!G113+'ROOMS Admin'!G113</f>
        <v>17655.66</v>
      </c>
      <c r="H154" s="61">
        <f>'Front Office'!H115+HSKP!H115+Reservation!H113+'ROOMS Admin'!H113</f>
        <v>18064.349999999999</v>
      </c>
      <c r="I154" s="61">
        <f>'Front Office'!I115+HSKP!I115+Reservation!I113+'ROOMS Admin'!I113</f>
        <v>18064.349999999999</v>
      </c>
      <c r="J154" s="61">
        <f>'Front Office'!J115+HSKP!J115+Reservation!J113+'ROOMS Admin'!J113</f>
        <v>18064.349999999999</v>
      </c>
      <c r="K154" s="61">
        <f>'Front Office'!K115+HSKP!K115+Reservation!K113+'ROOMS Admin'!K113</f>
        <v>17655.66</v>
      </c>
      <c r="L154" s="61">
        <f>'Front Office'!L115+HSKP!L115+Reservation!L113+'ROOMS Admin'!L113</f>
        <v>17655.66</v>
      </c>
      <c r="M154" s="61">
        <f>'Front Office'!M115+HSKP!M115+Reservation!M113+'ROOMS Admin'!M113</f>
        <v>18064.349999999999</v>
      </c>
      <c r="N154" s="61">
        <f>'Front Office'!N115+HSKP!N115+Reservation!N113+'ROOMS Admin'!N113</f>
        <v>18881.740000000002</v>
      </c>
      <c r="O154" s="61">
        <f>'Front Office'!O115+HSKP!O115+Reservation!O113+'ROOMS Admin'!O113</f>
        <v>17655.66</v>
      </c>
      <c r="P154" s="61">
        <f>'Front Office'!P115+HSKP!P115+Reservation!P113+'ROOMS Admin'!P113</f>
        <v>17655.66</v>
      </c>
      <c r="Q154" s="355">
        <f t="shared" si="36"/>
        <v>216363.53000000003</v>
      </c>
      <c r="R154" s="3">
        <f t="shared" si="37"/>
        <v>4.6877592893511002</v>
      </c>
      <c r="T154" s="35"/>
      <c r="U154" s="40"/>
    </row>
    <row r="155" spans="1:21" s="3" customFormat="1" ht="24.95" customHeight="1">
      <c r="B155" s="50"/>
      <c r="D155" s="19" t="s">
        <v>348</v>
      </c>
      <c r="E155" s="160">
        <f>SUM(E148:E154)</f>
        <v>18064.349999999999</v>
      </c>
      <c r="F155" s="160">
        <f t="shared" ref="F155:Q155" si="38">SUM(F148:F154)</f>
        <v>18881.740000000002</v>
      </c>
      <c r="G155" s="160">
        <f t="shared" si="38"/>
        <v>17655.66</v>
      </c>
      <c r="H155" s="160">
        <f t="shared" si="38"/>
        <v>18064.349999999999</v>
      </c>
      <c r="I155" s="160">
        <f t="shared" si="38"/>
        <v>18064.349999999999</v>
      </c>
      <c r="J155" s="160">
        <f t="shared" si="38"/>
        <v>18064.349999999999</v>
      </c>
      <c r="K155" s="160">
        <f t="shared" si="38"/>
        <v>17655.66</v>
      </c>
      <c r="L155" s="160">
        <f t="shared" si="38"/>
        <v>17655.66</v>
      </c>
      <c r="M155" s="160">
        <f t="shared" si="38"/>
        <v>18064.349999999999</v>
      </c>
      <c r="N155" s="160">
        <f t="shared" si="38"/>
        <v>18881.740000000002</v>
      </c>
      <c r="O155" s="160">
        <f t="shared" si="38"/>
        <v>17655.66</v>
      </c>
      <c r="P155" s="160">
        <f t="shared" si="38"/>
        <v>17655.66</v>
      </c>
      <c r="Q155" s="160">
        <f t="shared" si="38"/>
        <v>216363.53000000003</v>
      </c>
      <c r="R155" s="3">
        <f t="shared" si="37"/>
        <v>4.6877592893511002</v>
      </c>
      <c r="T155" s="35"/>
      <c r="U155" s="40"/>
    </row>
    <row r="156" spans="1:21" s="3" customFormat="1" ht="24.95" customHeight="1">
      <c r="D156" s="19" t="s">
        <v>349</v>
      </c>
      <c r="E156" s="160">
        <f>E127+E136+E146+E155</f>
        <v>364741.05999999994</v>
      </c>
      <c r="F156" s="160">
        <f t="shared" ref="F156:Q156" si="39">F127+F136+F146+F155</f>
        <v>350255.29</v>
      </c>
      <c r="G156" s="160">
        <f t="shared" si="39"/>
        <v>354015.44999999995</v>
      </c>
      <c r="H156" s="160">
        <f t="shared" si="39"/>
        <v>373610.55999999994</v>
      </c>
      <c r="I156" s="160">
        <f t="shared" si="39"/>
        <v>384122.55999999994</v>
      </c>
      <c r="J156" s="160">
        <f t="shared" si="39"/>
        <v>366135.55999999994</v>
      </c>
      <c r="K156" s="160">
        <f t="shared" si="39"/>
        <v>373535.44999999995</v>
      </c>
      <c r="L156" s="160">
        <f t="shared" si="39"/>
        <v>374630.44999999995</v>
      </c>
      <c r="M156" s="160">
        <f t="shared" si="39"/>
        <v>382384.57999999996</v>
      </c>
      <c r="N156" s="160">
        <f t="shared" si="39"/>
        <v>410332.32999999996</v>
      </c>
      <c r="O156" s="160">
        <f t="shared" si="39"/>
        <v>375316.44999999995</v>
      </c>
      <c r="P156" s="160">
        <f t="shared" si="39"/>
        <v>371155.44999999995</v>
      </c>
      <c r="Q156" s="160">
        <f t="shared" si="39"/>
        <v>4480235.1900000004</v>
      </c>
      <c r="R156" s="3">
        <f t="shared" si="37"/>
        <v>97.0693357166071</v>
      </c>
      <c r="T156" s="35"/>
      <c r="U156" s="40"/>
    </row>
    <row r="157" spans="1:21" s="42" customFormat="1" ht="24.95" customHeight="1">
      <c r="A157" s="42" t="s">
        <v>350</v>
      </c>
      <c r="D157" s="42" t="s">
        <v>351</v>
      </c>
      <c r="E157" s="42">
        <f>E136+E146+E155+E127</f>
        <v>364741.06</v>
      </c>
      <c r="F157" s="42">
        <f t="shared" ref="F157:P157" si="40">F136+F146+F155+F127</f>
        <v>350255.29000000004</v>
      </c>
      <c r="G157" s="42">
        <f t="shared" si="40"/>
        <v>354015.45</v>
      </c>
      <c r="H157" s="42">
        <f t="shared" si="40"/>
        <v>373610.56</v>
      </c>
      <c r="I157" s="42">
        <f t="shared" si="40"/>
        <v>384122.56</v>
      </c>
      <c r="J157" s="42">
        <f t="shared" si="40"/>
        <v>366135.56</v>
      </c>
      <c r="K157" s="42">
        <f t="shared" si="40"/>
        <v>373535.45</v>
      </c>
      <c r="L157" s="42">
        <f t="shared" si="40"/>
        <v>374630.45</v>
      </c>
      <c r="M157" s="42">
        <f t="shared" si="40"/>
        <v>382384.58</v>
      </c>
      <c r="N157" s="42">
        <f t="shared" si="40"/>
        <v>410332.32999999996</v>
      </c>
      <c r="O157" s="42">
        <f t="shared" si="40"/>
        <v>375316.45</v>
      </c>
      <c r="P157" s="42">
        <f t="shared" si="40"/>
        <v>371155.45</v>
      </c>
      <c r="Q157" s="42">
        <f>Q136+Q146+Q155+Q127</f>
        <v>4480235.1900000004</v>
      </c>
      <c r="S157" s="39"/>
      <c r="T157" s="35"/>
      <c r="U157" s="115"/>
    </row>
    <row r="158" spans="1:21" s="42" customFormat="1" ht="24.95" customHeight="1">
      <c r="L158" s="161"/>
      <c r="Q158" s="42">
        <f>Q156-Q135-Q134</f>
        <v>2476535.6900000004</v>
      </c>
      <c r="S158" s="39"/>
      <c r="T158" s="35"/>
      <c r="U158" s="115"/>
    </row>
    <row r="159" spans="1:21" s="3" customFormat="1" ht="24.95" customHeight="1">
      <c r="A159" s="189" t="s">
        <v>105</v>
      </c>
      <c r="B159" s="50" t="s">
        <v>296</v>
      </c>
      <c r="D159" s="19" t="s">
        <v>352</v>
      </c>
      <c r="E159" s="68">
        <f>'Front Office'!E120+HSKP!E120+Reservation!E118+'ROOMS Admin'!E118</f>
        <v>22</v>
      </c>
      <c r="F159" s="68">
        <f>'Front Office'!F120+HSKP!F120+Reservation!F118+'ROOMS Admin'!F118</f>
        <v>22</v>
      </c>
      <c r="G159" s="68">
        <f>'Front Office'!G120+HSKP!G120+Reservation!G118+'ROOMS Admin'!G118</f>
        <v>22</v>
      </c>
      <c r="H159" s="68">
        <f>'Front Office'!H120+HSKP!H120+Reservation!H118+'ROOMS Admin'!H118</f>
        <v>22</v>
      </c>
      <c r="I159" s="68">
        <f>'Front Office'!I120+HSKP!I120+Reservation!I118+'ROOMS Admin'!I118</f>
        <v>22</v>
      </c>
      <c r="J159" s="68">
        <f>'Front Office'!J120+HSKP!J120+Reservation!J118+'ROOMS Admin'!J118</f>
        <v>22</v>
      </c>
      <c r="K159" s="68">
        <f>'Front Office'!K120+HSKP!K120+Reservation!K118+'ROOMS Admin'!K118</f>
        <v>22</v>
      </c>
      <c r="L159" s="68">
        <f>'Front Office'!L120+HSKP!L120+Reservation!L118+'ROOMS Admin'!L118</f>
        <v>22</v>
      </c>
      <c r="M159" s="68">
        <f>'Front Office'!M120+HSKP!M120+Reservation!M118+'ROOMS Admin'!M118</f>
        <v>22</v>
      </c>
      <c r="N159" s="68">
        <f>'Front Office'!N120+HSKP!N120+Reservation!N118+'ROOMS Admin'!N118</f>
        <v>22</v>
      </c>
      <c r="O159" s="68">
        <f>'Front Office'!O120+HSKP!O120+Reservation!O118+'ROOMS Admin'!O118</f>
        <v>22</v>
      </c>
      <c r="P159" s="68">
        <f>'Front Office'!P120+HSKP!P120+Reservation!P118+'ROOMS Admin'!P118</f>
        <v>22</v>
      </c>
      <c r="Q159" s="179">
        <f>SUM(E159:P159)/12</f>
        <v>22</v>
      </c>
      <c r="S159" s="39"/>
      <c r="T159" s="35"/>
      <c r="U159" s="40"/>
    </row>
  </sheetData>
  <phoneticPr fontId="57" type="noConversion"/>
  <dataValidations count="81">
    <dataValidation type="textLength" errorStyle="information" allowBlank="1" showInputMessage="1" showErrorMessage="1" error="XLBVal:6=265776_x000d__x000a_" sqref="Q102">
      <formula1>0</formula1>
      <formula2>300</formula2>
    </dataValidation>
    <dataValidation type="textLength" errorStyle="information" allowBlank="1" showInputMessage="1" showErrorMessage="1" error="XLBVal:6=1439748_x000d__x000a_" sqref="Q138">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3523.65_x000d__x000a_" sqref="G106">
      <formula1>0</formula1>
      <formula2>300</formula2>
    </dataValidation>
    <dataValidation type="textLength" errorStyle="information" allowBlank="1" showInputMessage="1" showErrorMessage="1" error="XLBVal:6=215352.96_x000d__x000a_" sqref="E12">
      <formula1>0</formula1>
      <formula2>300</formula2>
    </dataValidation>
    <dataValidation type="textLength" errorStyle="information" allowBlank="1" showInputMessage="1" showErrorMessage="1" error="XLBVal:6=935803.3_x000d__x000a_" sqref="G12">
      <formula1>0</formula1>
      <formula2>300</formula2>
    </dataValidation>
    <dataValidation type="textLength" errorStyle="information" allowBlank="1" showInputMessage="1" showErrorMessage="1" error="XLBVal:6=162527582_x000d__x000a_" sqref="Q13:Q14">
      <formula1>0</formula1>
      <formula2>300</formula2>
    </dataValidation>
    <dataValidation type="textLength" errorStyle="information" allowBlank="1" showInputMessage="1" showErrorMessage="1" error="XLBVal:6=320558.66_x000d__x000a_" sqref="F12">
      <formula1>0</formula1>
      <formula2>300</formula2>
    </dataValidation>
    <dataValidation type="textLength" errorStyle="information" allowBlank="1" showInputMessage="1" showErrorMessage="1" error="XLBVal:6=52776685_x000d__x000a_" sqref="Q12">
      <formula1>0</formula1>
      <formula2>300</formula2>
    </dataValidation>
    <dataValidation type="textLength" errorStyle="information" allowBlank="1" showInputMessage="1" showErrorMessage="1" error="XLBVal:6=1662676.47_x000d__x000a_" sqref="H12">
      <formula1>0</formula1>
      <formula2>300</formula2>
    </dataValidation>
    <dataValidation type="textLength" errorStyle="information" allowBlank="1" showInputMessage="1" showErrorMessage="1" error="XLBVal:6=497071_x000d__x000a_" sqref="Q56">
      <formula1>0</formula1>
      <formula2>300</formula2>
    </dataValidation>
    <dataValidation type="textLength" errorStyle="information" allowBlank="1" showInputMessage="1" showErrorMessage="1" error="XLBVal:6=767275.03_x000d__x000a_" sqref="E13:P13">
      <formula1>0</formula1>
      <formula2>300</formula2>
    </dataValidation>
    <dataValidation type="textLength" errorStyle="information" allowBlank="1" showInputMessage="1" showErrorMessage="1" error="XLBVal:6=29_x000d__x000a_" sqref="E113:P113">
      <formula1>0</formula1>
      <formula2>300</formula2>
    </dataValidation>
    <dataValidation type="textLength" errorStyle="information" allowBlank="1" showInputMessage="1" showErrorMessage="1" error="XLBVal:6=1352016.21_x000d__x000a_" sqref="I12">
      <formula1>0</formula1>
      <formula2>300</formula2>
    </dataValidation>
    <dataValidation type="textLength" errorStyle="information" allowBlank="1" showInputMessage="1" showErrorMessage="1" error="XLBVal:6=566186.09_x000d__x000a_" sqref="E14:I14">
      <formula1>0</formula1>
      <formula2>300</formula2>
    </dataValidation>
    <dataValidation type="textLength" errorStyle="information" allowBlank="1" showInputMessage="1" showErrorMessage="1" error="XLBVal:6=639338_x000d__x000a_" sqref="Q135 Q133">
      <formula1>0</formula1>
      <formula2>300</formula2>
    </dataValidation>
    <dataValidation type="textLength" errorStyle="information" allowBlank="1" showInputMessage="1" showErrorMessage="1" error="XLBVal:6=869763.24_x000d__x000a_" sqref="E15:I15">
      <formula1>0</formula1>
      <formula2>300</formula2>
    </dataValidation>
    <dataValidation type="textLength" errorStyle="information" allowBlank="1" showInputMessage="1" showErrorMessage="1" error="XLBVal:6=15900617_x000d__x000a_" sqref="Q15 Q23:Q29">
      <formula1>0</formula1>
      <formula2>300</formula2>
    </dataValidation>
    <dataValidation type="textLength" errorStyle="information" allowBlank="1" showInputMessage="1" showErrorMessage="1" error="XLBVal:6=410236.35_x000d__x000a_" sqref="E33:P33">
      <formula1>0</formula1>
      <formula2>300</formula2>
    </dataValidation>
    <dataValidation type="textLength" errorStyle="information" allowBlank="1" showInputMessage="1" showErrorMessage="1" error="XLBVal:6=259666.05_x000d__x000a_" sqref="E16:P16">
      <formula1>0</formula1>
      <formula2>300</formula2>
    </dataValidation>
    <dataValidation type="textLength" errorStyle="information" allowBlank="1" showInputMessage="1" showErrorMessage="1" error="XLBVal:2=0_x000d__x000a_" sqref="Q16 Q19 Q45 Q92 E109:P110 E103:Q103 Q123 Q131 Q145 E148:P154 Q37:Q42 Q48:Q49 Q53:Q54 Q57:Q58 Q60:Q63 Q65:Q70 Q72:Q89 Q96:Q101 Q108:Q110 Q148:Q151">
      <formula1>0</formula1>
      <formula2>300</formula2>
    </dataValidation>
    <dataValidation type="textLength" errorStyle="information" allowBlank="1" showInputMessage="1" showErrorMessage="1" sqref="F119:Q119 H128:I128 H137:I137 H147:I147 E119:E122 F120:I122 E157:E158 F158:I158 F157:Q157">
      <formula1>0</formula1>
      <formula2>300</formula2>
    </dataValidation>
    <dataValidation type="textLength" errorStyle="information" allowBlank="1" showInputMessage="1" showErrorMessage="1" error="XLBVal:6=3293096_x000d__x000a_" sqref="Q43">
      <formula1>0</formula1>
      <formula2>300</formula2>
    </dataValidation>
    <dataValidation type="textLength" errorStyle="information" allowBlank="1" showInputMessage="1" showErrorMessage="1" error="XLBVal:6=267888.3_x000d__x000a_" sqref="E18:P18">
      <formula1>0</formula1>
      <formula2>300</formula2>
    </dataValidation>
    <dataValidation type="textLength" errorStyle="information" allowBlank="1" showInputMessage="1" showErrorMessage="1" error="XLBVal:6=25021127_x000d__x000a_" sqref="Q18">
      <formula1>0</formula1>
      <formula2>300</formula2>
    </dataValidation>
    <dataValidation type="textLength" errorStyle="information" allowBlank="1" showInputMessage="1" showErrorMessage="1" error="XLBVal:6=6864605_x000d__x000a_" sqref="Q51">
      <formula1>0</formula1>
      <formula2>300</formula2>
    </dataValidation>
    <dataValidation type="textLength" errorStyle="information" allowBlank="1" showInputMessage="1" showErrorMessage="1" error="XLBVal:6=514.58_x000d__x000a_" sqref="E19:P19">
      <formula1>0</formula1>
      <formula2>300</formula2>
    </dataValidation>
    <dataValidation type="textLength" errorStyle="information" allowBlank="1" showInputMessage="1" showErrorMessage="1" error="XLBVal:5=0_x000d__x000a_" sqref="F32 F21 F23">
      <formula1>0</formula1>
      <formula2>300</formula2>
    </dataValidation>
    <dataValidation type="textLength" errorStyle="information" allowBlank="1" showInputMessage="1" showErrorMessage="1" error="XLBVal:5=1616616_x000d__x000a_" sqref="G32 G21 G23">
      <formula1>0</formula1>
      <formula2>300</formula2>
    </dataValidation>
    <dataValidation type="textLength" errorStyle="information" allowBlank="1" showInputMessage="1" showErrorMessage="1" error="XLBVal:6=31_x000d__x000a_" sqref="E112:P112">
      <formula1>0</formula1>
      <formula2>300</formula2>
    </dataValidation>
    <dataValidation type="textLength" errorStyle="information" allowBlank="1" showInputMessage="1" showErrorMessage="1" error="XLBVal:5=-331377.43_x000d__x000a_" sqref="I32 I21 I23:P27">
      <formula1>0</formula1>
      <formula2>300</formula2>
    </dataValidation>
    <dataValidation type="textLength" errorStyle="information" allowBlank="1" showInputMessage="1" showErrorMessage="1" error="XLBVal:6=18155331_x000d__x000a_" sqref="Q33">
      <formula1>0</formula1>
      <formula2>300</formula2>
    </dataValidation>
    <dataValidation type="textLength" errorStyle="information" allowBlank="1" showInputMessage="1" showErrorMessage="1" error="XLBVal:6=10508400_x000d__x000a_" sqref="Q36">
      <formula1>0</formula1>
      <formula2>300</formula2>
    </dataValidation>
    <dataValidation type="textLength" errorStyle="information" allowBlank="1" showInputMessage="1" showErrorMessage="1" error="XLBVal:6=224000_x000d__x000a_" sqref="Q44">
      <formula1>0</formula1>
      <formula2>300</formula2>
    </dataValidation>
    <dataValidation type="textLength" errorStyle="information" allowBlank="1" showInputMessage="1" showErrorMessage="1" error="XLBVal:6=0_x000d__x000a_" sqref="Q46 E104:Q105">
      <formula1>0</formula1>
      <formula2>300</formula2>
    </dataValidation>
    <dataValidation type="textLength" errorStyle="information" allowBlank="1" showInputMessage="1" showErrorMessage="1" error="XLBVal:6=38000_x000d__x000a_" sqref="Q47">
      <formula1>0</formula1>
      <formula2>300</formula2>
    </dataValidation>
    <dataValidation type="textLength" errorStyle="information" allowBlank="1" showInputMessage="1" showErrorMessage="1" error="XLBVal:6=30984_x000d__x000a_" sqref="Q50">
      <formula1>0</formula1>
      <formula2>300</formula2>
    </dataValidation>
    <dataValidation type="textLength" errorStyle="information" allowBlank="1" showInputMessage="1" showErrorMessage="1" error="XLBVal:6=936822_x000d__x000a_" sqref="Q126">
      <formula1>0</formula1>
      <formula2>300</formula2>
    </dataValidation>
    <dataValidation type="textLength" errorStyle="information" allowBlank="1" showInputMessage="1" showErrorMessage="1" error="XLBVal:6=812280_x000d__x000a_" sqref="Q52">
      <formula1>0</formula1>
      <formula2>300</formula2>
    </dataValidation>
    <dataValidation type="textLength" errorStyle="information" allowBlank="1" showInputMessage="1" showErrorMessage="1" error="XLBVal:6=45391_x000d__x000a_" sqref="Q55">
      <formula1>0</formula1>
      <formula2>300</formula2>
    </dataValidation>
    <dataValidation type="textLength" errorStyle="information" allowBlank="1" showInputMessage="1" showErrorMessage="1" error="XLBVal:6=604513_x000d__x000a_" sqref="Q59">
      <formula1>0</formula1>
      <formula2>300</formula2>
    </dataValidation>
    <dataValidation type="textLength" errorStyle="information" allowBlank="1" showInputMessage="1" showErrorMessage="1" error="XLBVal:6=133777_x000d__x000a_" sqref="Q64">
      <formula1>0</formula1>
      <formula2>300</formula2>
    </dataValidation>
    <dataValidation type="textLength" errorStyle="information" allowBlank="1" showInputMessage="1" showErrorMessage="1" error="XLBVal:6=1640556_x000d__x000a_" sqref="Q130">
      <formula1>0</formula1>
      <formula2>300</formula2>
    </dataValidation>
    <dataValidation type="textLength" errorStyle="information" allowBlank="1" showInputMessage="1" showErrorMessage="1" error="XLBVal:6=497000_x000d__x000a_" sqref="Q71">
      <formula1>0</formula1>
      <formula2>300</formula2>
    </dataValidation>
    <dataValidation type="textLength" errorStyle="information" allowBlank="1" showInputMessage="1" showErrorMessage="1" error="XLBVal:6=128852_x000d__x000a_" sqref="Q90">
      <formula1>0</formula1>
      <formula2>300</formula2>
    </dataValidation>
    <dataValidation type="textLength" errorStyle="information" allowBlank="1" showInputMessage="1" showErrorMessage="1" error="XLBVal:6=2195857_x000d__x000a_" sqref="Q91">
      <formula1>0</formula1>
      <formula2>300</formula2>
    </dataValidation>
    <dataValidation type="textLength" errorStyle="information" allowBlank="1" showInputMessage="1" showErrorMessage="1" error="XLBVal:6=913200_x000d__x000a_" sqref="Q93:Q94">
      <formula1>0</formula1>
      <formula2>300</formula2>
    </dataValidation>
    <dataValidation type="textLength" errorStyle="information" allowBlank="1" showInputMessage="1" showErrorMessage="1" error="XLBVal:6=78120_x000d__x000a_" sqref="Q95">
      <formula1>0</formula1>
      <formula2>300</formula2>
    </dataValidation>
    <dataValidation type="textLength" errorStyle="information" allowBlank="1" showInputMessage="1" showErrorMessage="1" error="XLBVal:6=3239.86_x000d__x000a_" sqref="E106">
      <formula1>0</formula1>
      <formula2>300</formula2>
    </dataValidation>
    <dataValidation type="textLength" errorStyle="information" allowBlank="1" showInputMessage="1" showErrorMessage="1" error="XLBVal:5=-1569170.59_x000d__x000a_" sqref="H106">
      <formula1>0</formula1>
      <formula2>300</formula2>
    </dataValidation>
    <dataValidation type="textLength" errorStyle="information" allowBlank="1" showInputMessage="1" showErrorMessage="1" error="XLBVal:6=3900.82_x000d__x000a_" sqref="F106">
      <formula1>0</formula1>
      <formula2>300</formula2>
    </dataValidation>
    <dataValidation type="textLength" errorStyle="information" allowBlank="1" showInputMessage="1" showErrorMessage="1" error="XLBVal:5=-677276.26_x000d__x000a_" sqref="I106">
      <formula1>0</formula1>
      <formula2>300</formula2>
    </dataValidation>
    <dataValidation type="textLength" errorStyle="information" allowBlank="1" showInputMessage="1" showErrorMessage="1" error="XLBVal:6=5022_x000d__x000a_" sqref="E107:P107">
      <formula1>0</formula1>
      <formula2>300</formula2>
    </dataValidation>
    <dataValidation type="textLength" errorStyle="information" allowBlank="1" showInputMessage="1" showErrorMessage="1" error="XLBVal:6=246375_x000d__x000a_" sqref="Q107">
      <formula1>0</formula1>
      <formula2>300</formula2>
    </dataValidation>
    <dataValidation type="textLength" errorStyle="information" allowBlank="1" showInputMessage="1" showErrorMessage="1" error="XLBVal:6=2500_x000d__x000a_" sqref="E108:P108">
      <formula1>0</formula1>
      <formula2>300</formula2>
    </dataValidation>
    <dataValidation type="textLength" errorStyle="information" allowBlank="1" showInputMessage="1" showErrorMessage="1" error="XLBVal:6=2462_x000d__x000a_" sqref="E111:P111">
      <formula1>0</formula1>
      <formula2>300</formula2>
    </dataValidation>
    <dataValidation type="textLength" errorStyle="information" allowBlank="1" showInputMessage="1" showErrorMessage="1" error="XLBVal:6=1074_x000d__x000a_" sqref="E114:Q114">
      <formula1>0</formula1>
      <formula2>300</formula2>
    </dataValidation>
    <dataValidation type="textLength" errorStyle="information" allowBlank="1" showInputMessage="1" showErrorMessage="1" error="XLBVal:6=2793648_x000d__x000a_" sqref="Q124">
      <formula1>0</formula1>
      <formula2>300</formula2>
    </dataValidation>
    <dataValidation type="textLength" errorStyle="information" allowBlank="1" showInputMessage="1" showErrorMessage="1" error="XLBVal:6=4690050_x000d__x000a_" sqref="Q125">
      <formula1>0</formula1>
      <formula2>300</formula2>
    </dataValidation>
    <dataValidation type="textLength" errorStyle="information" allowBlank="1" showInputMessage="1" showErrorMessage="1" error="XLBVal:6=447561_x000d__x000a_" sqref="Q129">
      <formula1>0</formula1>
      <formula2>300</formula2>
    </dataValidation>
    <dataValidation type="textLength" errorStyle="information" allowBlank="1" showInputMessage="1" showErrorMessage="1" error="XLBVal:6=39534_x000d__x000a_" sqref="Q140">
      <formula1>0</formula1>
      <formula2>300</formula2>
    </dataValidation>
    <dataValidation type="textLength" errorStyle="information" allowBlank="1" showInputMessage="1" showErrorMessage="1" error="XLBVal:6=3_x000d__x000a_" sqref="Q134 Q132">
      <formula1>0</formula1>
      <formula2>300</formula2>
    </dataValidation>
    <dataValidation type="textLength" errorStyle="information" allowBlank="1" showInputMessage="1" showErrorMessage="1" error="XLBVal:6=61096.6_x000d__x000a_" sqref="E123:P126 E129:P135">
      <formula1>0</formula1>
      <formula2>300</formula2>
    </dataValidation>
    <dataValidation type="textLength" errorStyle="information" allowBlank="1" showInputMessage="1" showErrorMessage="1" error="XLBVal:6=632410_x000d__x000a_" sqref="Q139">
      <formula1>0</formula1>
      <formula2>300</formula2>
    </dataValidation>
    <dataValidation type="textLength" errorStyle="information" allowBlank="1" showInputMessage="1" showErrorMessage="1" error="XLBVal:6=31710_x000d__x000a_" sqref="Q141">
      <formula1>0</formula1>
      <formula2>300</formula2>
    </dataValidation>
    <dataValidation type="textLength" errorStyle="information" allowBlank="1" showInputMessage="1" showErrorMessage="1" error="XLBVal:6=39654_x000d__x000a_" sqref="Q142">
      <formula1>0</formula1>
      <formula2>300</formula2>
    </dataValidation>
    <dataValidation type="textLength" errorStyle="information" allowBlank="1" showInputMessage="1" showErrorMessage="1" error="XLBVal:6=354026_x000d__x000a_" sqref="Q143">
      <formula1>0</formula1>
      <formula2>300</formula2>
    </dataValidation>
    <dataValidation type="textLength" errorStyle="information" allowBlank="1" showInputMessage="1" showErrorMessage="1" error="XLBVal:6=234560_x000d__x000a_" sqref="Q144">
      <formula1>0</formula1>
      <formula2>300</formula2>
    </dataValidation>
    <dataValidation type="textLength" errorStyle="information" allowBlank="1" showInputMessage="1" showErrorMessage="1" error="XLBVal:6=3678_x000d__x000a_" sqref="E147:G147">
      <formula1>0</formula1>
      <formula2>300</formula2>
    </dataValidation>
    <dataValidation type="textLength" errorStyle="information" allowBlank="1" showInputMessage="1" showErrorMessage="1" error="XLBVal:6=258096_x000d__x000a_" sqref="Q152">
      <formula1>0</formula1>
      <formula2>300</formula2>
    </dataValidation>
    <dataValidation type="textLength" errorStyle="information" allowBlank="1" showInputMessage="1" showErrorMessage="1" error="XLBVal:6=877776_x000d__x000a_" sqref="Q153">
      <formula1>0</formula1>
      <formula2>300</formula2>
    </dataValidation>
    <dataValidation type="textLength" errorStyle="information" allowBlank="1" showInputMessage="1" showErrorMessage="1" error="XLBVal:6=3099839_x000d__x000a_" sqref="Q154">
      <formula1>0</formula1>
      <formula2>300</formula2>
    </dataValidation>
    <dataValidation type="textLength" errorStyle="information" allowBlank="1" showInputMessage="1" showErrorMessage="1" error="XLBVal:6=33_x000d__x000a_" sqref="E159:P159">
      <formula1>0</formula1>
      <formula2>300</formula2>
    </dataValidation>
    <dataValidation type="textLength" errorStyle="information" allowBlank="1" showInputMessage="1" showErrorMessage="1" error="XLBVal:6=2544_x000d__x000a_" sqref="Q159">
      <formula1>0</formula1>
      <formula2>300</formula2>
    </dataValidation>
    <dataValidation type="textLength" errorStyle="information" allowBlank="1" showInputMessage="1" showErrorMessage="1" error="XLBVal:5=1285238.57_x000d__x000a_" sqref="E21:E32 I28:P31 Q30:Q31 F24:G31 H21:H32 F22:G22 I22:P22">
      <formula1>0</formula1>
      <formula2>300</formula2>
    </dataValidation>
    <dataValidation type="textLength" errorStyle="information" allowBlank="1" showInputMessage="1" showErrorMessage="1" error="XLBVal:6=6688509.16_x000d__x000a_" sqref="E35:P35">
      <formula1>0</formula1>
      <formula2>300</formula2>
    </dataValidation>
    <dataValidation type="textLength" errorStyle="information" allowBlank="1" showInputMessage="1" showErrorMessage="1" error="XLBVal:6=204520_x000d__x000a_" sqref="Q111:Q113">
      <formula1>0</formula1>
      <formula2>300</formula2>
    </dataValidation>
    <dataValidation type="textLength" errorStyle="information" allowBlank="1" showInputMessage="1" showErrorMessage="1" error="XLBVal:6=89906.52_x000d__x000a_" sqref="E36:P102">
      <formula1>0</formula1>
      <formula2>300</formula2>
    </dataValidation>
    <dataValidation type="textLength" errorStyle="information" allowBlank="1" showInputMessage="1" showErrorMessage="1" error="XLBVal:6=17458.16_x000d__x000a_" sqref="E138:P145">
      <formula1>0</formula1>
      <formula2>300</formula2>
    </dataValidation>
    <dataValidation type="textLength" errorStyle="information" allowBlank="1" showInputMessage="1" showErrorMessage="1" error="XLBVal:6=818186.05_x000d__x000a_" sqref="J12:P12 J14:P15">
      <formula1>0</formula1>
      <formula2>300</formula2>
    </dataValidation>
    <dataValidation type="textLength" errorStyle="information" allowBlank="1" showInputMessage="1" showErrorMessage="1" error="XLBVal:6=436_x000d__x000a_" sqref="E115:Q118">
      <formula1>0</formula1>
      <formula2>300</formula2>
    </dataValidation>
  </dataValidations>
  <printOptions horizontalCentered="1"/>
  <pageMargins left="0.118110236220472" right="0.118110236220472" top="0.59055118110236204" bottom="0.39370078740157499" header="0" footer="0"/>
  <pageSetup paperSize="9" scale="40" fitToHeight="0" orientation="landscape" r:id="rId1"/>
  <headerFooter>
    <oddFooter>&amp;L&amp;"微软雅黑,Regular"&amp;F&amp;C&amp;"微软雅黑,Regular"Page &amp;P of &amp;N&amp;R&amp;"微软雅黑,Regular"&amp;D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00B050"/>
    <pageSetUpPr fitToPage="1"/>
  </sheetPr>
  <dimension ref="A1:T122"/>
  <sheetViews>
    <sheetView zoomScale="50" zoomScaleNormal="50" zoomScaleSheetLayoutView="40" workbookViewId="0">
      <pane xSplit="4" ySplit="10" topLeftCell="E11" activePane="bottomRight" state="frozen"/>
      <selection pane="topRight" activeCell="E1" sqref="E1"/>
      <selection pane="bottomLeft" activeCell="A11" sqref="A11"/>
      <selection pane="bottomRight" activeCell="V22" sqref="V22"/>
    </sheetView>
  </sheetViews>
  <sheetFormatPr defaultColWidth="8.875" defaultRowHeight="26.25" customHeight="1" outlineLevelRow="1" outlineLevelCol="1"/>
  <cols>
    <col min="1" max="1" width="29.5" style="5" hidden="1" customWidth="1" outlineLevel="1"/>
    <col min="2" max="3" width="15.5" style="5" hidden="1" customWidth="1" outlineLevel="1"/>
    <col min="4" max="4" width="68.5" style="6" customWidth="1" collapsed="1"/>
    <col min="5" max="9" width="23.375" style="7" customWidth="1"/>
    <col min="10" max="11" width="23.375" style="184" customWidth="1"/>
    <col min="12" max="12" width="23.375" style="5" customWidth="1"/>
    <col min="13" max="16" width="23.375" style="184" customWidth="1"/>
    <col min="17" max="17" width="24.875" style="184" customWidth="1"/>
    <col min="18" max="18" width="12.5" style="184" customWidth="1"/>
    <col min="19" max="19" width="22.5" style="190" hidden="1" customWidth="1"/>
    <col min="20" max="20" width="22.5" style="191" hidden="1" customWidth="1"/>
    <col min="21" max="21" width="23.875" style="184" customWidth="1"/>
    <col min="22" max="22" width="24.125" style="184" customWidth="1"/>
    <col min="23" max="23" width="19.875" style="184" bestFit="1" customWidth="1"/>
    <col min="24" max="16384" width="8.875" style="184"/>
  </cols>
  <sheetData>
    <row r="1" spans="1:20" s="1" customFormat="1" ht="15" customHeight="1" outlineLevel="1">
      <c r="E1" s="9"/>
      <c r="F1" s="9"/>
      <c r="G1" s="9"/>
      <c r="H1" s="9"/>
      <c r="I1" s="9"/>
      <c r="J1" s="9"/>
      <c r="K1" s="9"/>
      <c r="L1" s="9"/>
      <c r="M1" s="9"/>
      <c r="N1" s="9"/>
      <c r="O1" s="9"/>
      <c r="P1" s="9"/>
      <c r="Q1" s="9"/>
      <c r="S1" s="32"/>
      <c r="T1" s="176"/>
    </row>
    <row r="2" spans="1:20" s="1" customFormat="1" ht="15" customHeight="1" outlineLevel="1">
      <c r="E2" s="9"/>
      <c r="F2" s="9"/>
      <c r="G2" s="9"/>
      <c r="H2" s="9"/>
      <c r="I2" s="9"/>
      <c r="J2" s="9"/>
      <c r="K2" s="9"/>
      <c r="L2" s="9"/>
      <c r="M2" s="9"/>
      <c r="N2" s="9"/>
      <c r="O2" s="9"/>
      <c r="P2" s="9"/>
      <c r="Q2" s="9"/>
      <c r="S2" s="32"/>
      <c r="T2" s="176"/>
    </row>
    <row r="3" spans="1:20" s="1" customFormat="1" ht="15" customHeight="1" outlineLevel="1">
      <c r="E3" s="9"/>
      <c r="F3" s="9"/>
      <c r="G3" s="9"/>
      <c r="H3" s="9"/>
      <c r="I3" s="9"/>
      <c r="J3" s="9"/>
      <c r="K3" s="9"/>
      <c r="L3" s="9"/>
      <c r="M3" s="9"/>
      <c r="N3" s="9"/>
      <c r="O3" s="9"/>
      <c r="P3" s="9"/>
      <c r="Q3" s="9"/>
      <c r="S3" s="32"/>
      <c r="T3" s="176"/>
    </row>
    <row r="4" spans="1:20" s="2" customFormat="1" ht="24.95" customHeight="1">
      <c r="D4" s="10" t="str">
        <f>Summary!D4</f>
        <v>Hotel Budget Report</v>
      </c>
      <c r="E4" s="11"/>
      <c r="F4" s="11"/>
      <c r="G4" s="12"/>
      <c r="H4" s="13"/>
      <c r="I4" s="13"/>
      <c r="S4" s="33"/>
      <c r="T4" s="193"/>
    </row>
    <row r="5" spans="1:20" s="2" customFormat="1" ht="24.95" customHeight="1">
      <c r="D5" s="10" t="str">
        <f>Summary!$D$5</f>
        <v>酒店预算报表</v>
      </c>
      <c r="E5" s="11"/>
      <c r="F5" s="11"/>
      <c r="G5" s="12"/>
      <c r="H5" s="13"/>
      <c r="I5" s="13"/>
      <c r="S5" s="33"/>
      <c r="T5" s="193"/>
    </row>
    <row r="6" spans="1:20" s="2" customFormat="1" ht="24.95" customHeight="1">
      <c r="D6" s="14" t="s">
        <v>353</v>
      </c>
      <c r="E6" s="13"/>
      <c r="F6" s="13"/>
      <c r="G6" s="13"/>
      <c r="H6" s="13"/>
      <c r="I6" s="13"/>
      <c r="S6" s="33"/>
      <c r="T6" s="193"/>
    </row>
    <row r="7" spans="1:20" s="2" customFormat="1" ht="24.95" customHeight="1">
      <c r="D7" s="192" t="s">
        <v>1186</v>
      </c>
      <c r="E7" s="13"/>
      <c r="F7" s="13"/>
      <c r="G7" s="13"/>
      <c r="H7" s="13"/>
      <c r="I7" s="13"/>
      <c r="S7" s="33"/>
      <c r="T7" s="193"/>
    </row>
    <row r="8" spans="1:20" ht="24.95" customHeight="1">
      <c r="A8" s="184"/>
      <c r="B8" s="184"/>
      <c r="C8" s="184"/>
      <c r="D8" s="186"/>
      <c r="E8" s="187"/>
      <c r="F8" s="187"/>
      <c r="G8" s="187"/>
      <c r="H8" s="187"/>
      <c r="I8" s="187"/>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c r="T9" s="115"/>
    </row>
    <row r="10" spans="1:20" s="4" customFormat="1" ht="39.950000000000003" customHeight="1">
      <c r="A10" s="19" t="s">
        <v>19</v>
      </c>
      <c r="B10" s="19" t="s">
        <v>20</v>
      </c>
      <c r="C10" s="19" t="s">
        <v>112</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A11" s="3" t="s">
        <v>103</v>
      </c>
      <c r="B11" s="50" t="s">
        <v>354</v>
      </c>
      <c r="D11" s="21" t="s">
        <v>137</v>
      </c>
      <c r="E11" s="45">
        <f>E117</f>
        <v>138500.75</v>
      </c>
      <c r="F11" s="45">
        <f t="shared" ref="F11:P11" si="0">F117</f>
        <v>144942.37999999998</v>
      </c>
      <c r="G11" s="45">
        <f t="shared" si="0"/>
        <v>135279.94</v>
      </c>
      <c r="H11" s="45">
        <f t="shared" si="0"/>
        <v>138500.75</v>
      </c>
      <c r="I11" s="45">
        <f t="shared" si="0"/>
        <v>138500.75</v>
      </c>
      <c r="J11" s="45">
        <f t="shared" si="0"/>
        <v>138500.75</v>
      </c>
      <c r="K11" s="45">
        <f t="shared" si="0"/>
        <v>135279.94</v>
      </c>
      <c r="L11" s="45">
        <f t="shared" si="0"/>
        <v>135279.94</v>
      </c>
      <c r="M11" s="45">
        <f t="shared" si="0"/>
        <v>138574.5</v>
      </c>
      <c r="N11" s="45">
        <f t="shared" si="0"/>
        <v>145163.62</v>
      </c>
      <c r="O11" s="45">
        <f t="shared" si="0"/>
        <v>135279.94</v>
      </c>
      <c r="P11" s="45">
        <f t="shared" si="0"/>
        <v>135279.94</v>
      </c>
      <c r="Q11" s="179">
        <f>SUM(E11:P11)</f>
        <v>1659083.1999999997</v>
      </c>
      <c r="R11" s="39">
        <f>Q11/'Rooms Summary'!$Q$20</f>
        <v>7.541125207091004E-2</v>
      </c>
      <c r="S11" s="35"/>
      <c r="T11" s="40" t="e">
        <f>-IF(Q11-S11=0,0,(Q11-S11)/S11)</f>
        <v>#DIV/0!</v>
      </c>
    </row>
    <row r="12" spans="1:20" s="3" customFormat="1" ht="24.95" customHeight="1">
      <c r="D12" s="278" t="s">
        <v>1098</v>
      </c>
      <c r="E12" s="279">
        <v>589600</v>
      </c>
      <c r="F12" s="279">
        <v>444400.00000000006</v>
      </c>
      <c r="G12" s="279">
        <v>633600</v>
      </c>
      <c r="H12" s="279">
        <v>733150.00000000012</v>
      </c>
      <c r="I12" s="279">
        <v>815375.00000000012</v>
      </c>
      <c r="J12" s="280">
        <v>633600</v>
      </c>
      <c r="K12" s="280">
        <v>703450</v>
      </c>
      <c r="L12" s="280">
        <v>804650.00000000012</v>
      </c>
      <c r="M12" s="280">
        <v>697400</v>
      </c>
      <c r="N12" s="280">
        <v>858000.00000000012</v>
      </c>
      <c r="O12" s="280">
        <v>697400</v>
      </c>
      <c r="P12" s="280">
        <v>710600</v>
      </c>
      <c r="Q12" s="3">
        <f>SUM(E12:P12)</f>
        <v>8321225</v>
      </c>
      <c r="R12" s="34"/>
      <c r="S12" s="35"/>
      <c r="T12" s="115"/>
    </row>
    <row r="13" spans="1:20" s="3" customFormat="1" ht="24.95" customHeight="1">
      <c r="D13" s="21" t="s">
        <v>138</v>
      </c>
      <c r="E13" s="63"/>
      <c r="F13" s="63"/>
      <c r="G13" s="63"/>
      <c r="H13" s="63"/>
      <c r="I13" s="63"/>
      <c r="L13" s="161"/>
      <c r="R13" s="34" t="s">
        <v>139</v>
      </c>
      <c r="S13" s="35"/>
      <c r="T13" s="115"/>
    </row>
    <row r="14" spans="1:20" s="3" customFormat="1" ht="24.95" customHeight="1">
      <c r="A14" s="3" t="s">
        <v>140</v>
      </c>
      <c r="B14" s="50" t="s">
        <v>354</v>
      </c>
      <c r="D14" s="367" t="s">
        <v>141</v>
      </c>
      <c r="E14" s="63">
        <f>ROUND(E12*10%/1.06,2)</f>
        <v>55622.64</v>
      </c>
      <c r="F14" s="63">
        <f t="shared" ref="F14:P14" si="1">ROUND(F12*10%/1.06,2)</f>
        <v>41924.53</v>
      </c>
      <c r="G14" s="63">
        <f t="shared" si="1"/>
        <v>59773.58</v>
      </c>
      <c r="H14" s="63">
        <f t="shared" si="1"/>
        <v>69165.09</v>
      </c>
      <c r="I14" s="63">
        <f t="shared" si="1"/>
        <v>76922.17</v>
      </c>
      <c r="J14" s="63">
        <f t="shared" si="1"/>
        <v>59773.58</v>
      </c>
      <c r="K14" s="63">
        <f t="shared" si="1"/>
        <v>66363.210000000006</v>
      </c>
      <c r="L14" s="63">
        <f t="shared" si="1"/>
        <v>75910.38</v>
      </c>
      <c r="M14" s="63">
        <f t="shared" si="1"/>
        <v>65792.45</v>
      </c>
      <c r="N14" s="63">
        <f t="shared" si="1"/>
        <v>80943.399999999994</v>
      </c>
      <c r="O14" s="63">
        <f t="shared" si="1"/>
        <v>65792.45</v>
      </c>
      <c r="P14" s="63">
        <f t="shared" si="1"/>
        <v>67037.740000000005</v>
      </c>
      <c r="Q14" s="61">
        <f>SUM(E14:P14)</f>
        <v>785021.22</v>
      </c>
      <c r="R14" s="61">
        <f>Q14/'Rooms Summary'!$Q$111</f>
        <v>17.008367890802731</v>
      </c>
      <c r="S14" s="35"/>
      <c r="T14" s="115" t="e">
        <f t="shared" ref="T14:T17" si="2">(Q14-S14)/S14</f>
        <v>#DIV/0!</v>
      </c>
    </row>
    <row r="15" spans="1:20" s="3" customFormat="1" ht="24.95" customHeight="1">
      <c r="A15" s="3" t="s">
        <v>142</v>
      </c>
      <c r="B15" s="50" t="s">
        <v>354</v>
      </c>
      <c r="D15" s="26" t="s">
        <v>143</v>
      </c>
      <c r="E15" s="63"/>
      <c r="F15" s="63"/>
      <c r="G15" s="63"/>
      <c r="H15" s="63"/>
      <c r="I15" s="63"/>
      <c r="J15" s="63"/>
      <c r="K15" s="63"/>
      <c r="L15" s="63"/>
      <c r="M15" s="63"/>
      <c r="N15" s="63"/>
      <c r="O15" s="63"/>
      <c r="P15" s="63"/>
      <c r="Q15" s="61">
        <f t="shared" ref="Q15:Q19" si="3">SUM(E15:P15)</f>
        <v>0</v>
      </c>
      <c r="R15" s="61">
        <f>Q15/'Rooms Summary'!$Q$111</f>
        <v>0</v>
      </c>
      <c r="S15" s="35"/>
      <c r="T15" s="115" t="e">
        <f t="shared" si="2"/>
        <v>#DIV/0!</v>
      </c>
    </row>
    <row r="16" spans="1:20" s="3" customFormat="1" ht="24.95" customHeight="1">
      <c r="A16" s="3" t="s">
        <v>144</v>
      </c>
      <c r="B16" s="50" t="s">
        <v>354</v>
      </c>
      <c r="D16" s="26" t="s">
        <v>145</v>
      </c>
      <c r="E16" s="63"/>
      <c r="F16" s="63"/>
      <c r="G16" s="63"/>
      <c r="H16" s="63"/>
      <c r="I16" s="63"/>
      <c r="J16" s="61"/>
      <c r="K16" s="61"/>
      <c r="L16" s="61"/>
      <c r="M16" s="61"/>
      <c r="N16" s="61"/>
      <c r="O16" s="61"/>
      <c r="P16" s="61"/>
      <c r="Q16" s="61">
        <f t="shared" si="3"/>
        <v>0</v>
      </c>
      <c r="R16" s="61">
        <f>Q16/'Rooms Summary'!$Q$111</f>
        <v>0</v>
      </c>
      <c r="S16" s="35"/>
      <c r="T16" s="115" t="e">
        <f t="shared" si="2"/>
        <v>#DIV/0!</v>
      </c>
    </row>
    <row r="17" spans="1:20" s="3" customFormat="1" ht="24.95" customHeight="1">
      <c r="A17" s="3" t="s">
        <v>146</v>
      </c>
      <c r="B17" s="50" t="s">
        <v>354</v>
      </c>
      <c r="D17" s="26" t="s">
        <v>147</v>
      </c>
      <c r="E17" s="63"/>
      <c r="F17" s="63"/>
      <c r="G17" s="63"/>
      <c r="H17" s="63"/>
      <c r="I17" s="63"/>
      <c r="J17" s="63"/>
      <c r="K17" s="63"/>
      <c r="L17" s="63"/>
      <c r="M17" s="63"/>
      <c r="N17" s="63"/>
      <c r="O17" s="63"/>
      <c r="P17" s="63"/>
      <c r="Q17" s="61">
        <f t="shared" si="3"/>
        <v>0</v>
      </c>
      <c r="R17" s="61">
        <f>Q17/'Rooms Summary'!$Q$111</f>
        <v>0</v>
      </c>
      <c r="S17" s="35"/>
      <c r="T17" s="115" t="e">
        <f t="shared" si="2"/>
        <v>#DIV/0!</v>
      </c>
    </row>
    <row r="18" spans="1:20" s="3" customFormat="1" ht="24.95" customHeight="1">
      <c r="A18" s="3" t="s">
        <v>148</v>
      </c>
      <c r="B18" s="50" t="s">
        <v>354</v>
      </c>
      <c r="D18" s="26" t="s">
        <v>149</v>
      </c>
      <c r="E18" s="63">
        <v>7417</v>
      </c>
      <c r="F18" s="63">
        <v>6417</v>
      </c>
      <c r="G18" s="63">
        <v>7417</v>
      </c>
      <c r="H18" s="63">
        <v>7417</v>
      </c>
      <c r="I18" s="63">
        <v>8417</v>
      </c>
      <c r="J18" s="63">
        <v>7417</v>
      </c>
      <c r="K18" s="63">
        <v>7417</v>
      </c>
      <c r="L18" s="63">
        <v>7417</v>
      </c>
      <c r="M18" s="63">
        <v>7417</v>
      </c>
      <c r="N18" s="63">
        <v>7417</v>
      </c>
      <c r="O18" s="63">
        <v>7417</v>
      </c>
      <c r="P18" s="63">
        <v>7417</v>
      </c>
      <c r="Q18" s="61">
        <f t="shared" si="3"/>
        <v>89004</v>
      </c>
      <c r="R18" s="61">
        <f>Q18/'Rooms Summary'!$Q$111</f>
        <v>1.9283717907052325</v>
      </c>
      <c r="S18" s="35"/>
      <c r="T18" s="40" t="e">
        <f>-IF(Q18-S18=0,0,(Q18-S18)/S18)</f>
        <v>#DIV/0!</v>
      </c>
    </row>
    <row r="19" spans="1:20" s="3" customFormat="1" ht="24.95" customHeight="1">
      <c r="A19" s="3" t="s">
        <v>150</v>
      </c>
      <c r="B19" s="50" t="s">
        <v>354</v>
      </c>
      <c r="D19" s="26" t="s">
        <v>151</v>
      </c>
      <c r="E19" s="63">
        <v>6300</v>
      </c>
      <c r="F19" s="63">
        <v>5300</v>
      </c>
      <c r="G19" s="63">
        <v>6300</v>
      </c>
      <c r="H19" s="63">
        <v>6300</v>
      </c>
      <c r="I19" s="63">
        <v>7300</v>
      </c>
      <c r="J19" s="63">
        <v>6300</v>
      </c>
      <c r="K19" s="63">
        <v>6300</v>
      </c>
      <c r="L19" s="63">
        <v>6300</v>
      </c>
      <c r="M19" s="63">
        <v>6300</v>
      </c>
      <c r="N19" s="63">
        <v>6300</v>
      </c>
      <c r="O19" s="63">
        <v>6300</v>
      </c>
      <c r="P19" s="63">
        <v>6300</v>
      </c>
      <c r="Q19" s="61">
        <f t="shared" si="3"/>
        <v>75600</v>
      </c>
      <c r="R19" s="61">
        <f>Q19/'Rooms Summary'!$Q$111</f>
        <v>1.6379590510237243</v>
      </c>
      <c r="S19" s="35"/>
      <c r="T19" s="40" t="e">
        <f t="shared" ref="T19:T82" si="4">-IF(Q19-S19=0,0,(Q19-S19)/S19)</f>
        <v>#DIV/0!</v>
      </c>
    </row>
    <row r="20" spans="1:20" s="3" customFormat="1" ht="24.95" customHeight="1">
      <c r="A20" s="3" t="s">
        <v>152</v>
      </c>
      <c r="B20" s="50" t="s">
        <v>354</v>
      </c>
      <c r="D20" s="26" t="s">
        <v>153</v>
      </c>
      <c r="E20" s="63"/>
      <c r="F20" s="63"/>
      <c r="G20" s="63"/>
      <c r="H20" s="63"/>
      <c r="I20" s="63"/>
      <c r="J20" s="61"/>
      <c r="K20" s="61"/>
      <c r="L20" s="61"/>
      <c r="M20" s="61"/>
      <c r="N20" s="61"/>
      <c r="O20" s="61"/>
      <c r="P20" s="61"/>
      <c r="Q20" s="61">
        <f t="shared" ref="Q20:Q80" si="5">SUM(E20:P20)</f>
        <v>0</v>
      </c>
      <c r="R20" s="61">
        <f>Q20/'Rooms Summary'!$Q$111</f>
        <v>0</v>
      </c>
      <c r="S20" s="35"/>
      <c r="T20" s="40">
        <f t="shared" si="4"/>
        <v>0</v>
      </c>
    </row>
    <row r="21" spans="1:20" s="3" customFormat="1" ht="24.95" hidden="1" customHeight="1">
      <c r="A21" s="3" t="s">
        <v>154</v>
      </c>
      <c r="B21" s="50" t="s">
        <v>354</v>
      </c>
      <c r="D21" s="26" t="s">
        <v>155</v>
      </c>
      <c r="E21" s="63"/>
      <c r="F21" s="63"/>
      <c r="G21" s="63"/>
      <c r="H21" s="63"/>
      <c r="I21" s="63"/>
      <c r="J21" s="63"/>
      <c r="K21" s="63"/>
      <c r="L21" s="63"/>
      <c r="M21" s="63"/>
      <c r="N21" s="63"/>
      <c r="O21" s="63"/>
      <c r="P21" s="63"/>
      <c r="Q21" s="61">
        <f t="shared" si="5"/>
        <v>0</v>
      </c>
      <c r="R21" s="61">
        <f>Q21/'Rooms Summary'!$Q$111</f>
        <v>0</v>
      </c>
      <c r="S21" s="35"/>
      <c r="T21" s="40">
        <f t="shared" si="4"/>
        <v>0</v>
      </c>
    </row>
    <row r="22" spans="1:20" s="3" customFormat="1" ht="24.75" customHeight="1">
      <c r="A22" s="3" t="s">
        <v>156</v>
      </c>
      <c r="B22" s="50" t="s">
        <v>354</v>
      </c>
      <c r="D22" s="26" t="s">
        <v>157</v>
      </c>
      <c r="E22" s="63"/>
      <c r="F22" s="63"/>
      <c r="G22" s="63"/>
      <c r="H22" s="63"/>
      <c r="I22" s="63"/>
      <c r="J22" s="63"/>
      <c r="K22" s="63"/>
      <c r="L22" s="63"/>
      <c r="M22" s="63"/>
      <c r="N22" s="63"/>
      <c r="O22" s="63"/>
      <c r="P22" s="63"/>
      <c r="Q22" s="61">
        <f t="shared" si="5"/>
        <v>0</v>
      </c>
      <c r="R22" s="61">
        <f>Q22/'Rooms Summary'!$Q$111</f>
        <v>0</v>
      </c>
      <c r="S22" s="35"/>
      <c r="T22" s="40"/>
    </row>
    <row r="23" spans="1:20" s="3" customFormat="1" ht="24.95" customHeight="1">
      <c r="A23" s="3" t="s">
        <v>158</v>
      </c>
      <c r="B23" s="50" t="s">
        <v>354</v>
      </c>
      <c r="D23" s="26" t="s">
        <v>159</v>
      </c>
      <c r="E23" s="63"/>
      <c r="F23" s="63"/>
      <c r="G23" s="63"/>
      <c r="H23" s="63"/>
      <c r="I23" s="63"/>
      <c r="J23" s="63"/>
      <c r="K23" s="63"/>
      <c r="L23" s="63"/>
      <c r="M23" s="63"/>
      <c r="N23" s="63"/>
      <c r="O23" s="63"/>
      <c r="P23" s="63"/>
      <c r="Q23" s="61">
        <f t="shared" si="5"/>
        <v>0</v>
      </c>
      <c r="R23" s="61">
        <f>Q23/'Rooms Summary'!$Q$111</f>
        <v>0</v>
      </c>
      <c r="S23" s="35"/>
      <c r="T23" s="115">
        <f t="shared" si="4"/>
        <v>0</v>
      </c>
    </row>
    <row r="24" spans="1:20" s="3" customFormat="1" ht="24.95" customHeight="1">
      <c r="A24" s="3" t="s">
        <v>160</v>
      </c>
      <c r="B24" s="50" t="s">
        <v>354</v>
      </c>
      <c r="D24" s="26" t="s">
        <v>161</v>
      </c>
      <c r="E24" s="63">
        <v>4417</v>
      </c>
      <c r="F24" s="63">
        <v>4417</v>
      </c>
      <c r="G24" s="63">
        <v>4417</v>
      </c>
      <c r="H24" s="63">
        <v>4417</v>
      </c>
      <c r="I24" s="63">
        <v>4417</v>
      </c>
      <c r="J24" s="63">
        <v>4417</v>
      </c>
      <c r="K24" s="63">
        <v>4417</v>
      </c>
      <c r="L24" s="63">
        <v>4417</v>
      </c>
      <c r="M24" s="63">
        <v>4417</v>
      </c>
      <c r="N24" s="63">
        <v>4417</v>
      </c>
      <c r="O24" s="63">
        <v>4417</v>
      </c>
      <c r="P24" s="63">
        <v>4417</v>
      </c>
      <c r="Q24" s="61">
        <f t="shared" si="5"/>
        <v>53004</v>
      </c>
      <c r="R24" s="61">
        <f>Q24/'Rooms Summary'!$Q$111</f>
        <v>1.1483912902177447</v>
      </c>
      <c r="S24" s="35"/>
      <c r="T24" s="115" t="e">
        <f t="shared" si="4"/>
        <v>#DIV/0!</v>
      </c>
    </row>
    <row r="25" spans="1:20" s="3" customFormat="1" ht="24.95" customHeight="1">
      <c r="A25" s="3" t="s">
        <v>162</v>
      </c>
      <c r="B25" s="50" t="s">
        <v>354</v>
      </c>
      <c r="D25" s="26" t="s">
        <v>163</v>
      </c>
      <c r="E25" s="63">
        <v>300</v>
      </c>
      <c r="F25" s="63">
        <v>300</v>
      </c>
      <c r="G25" s="63">
        <v>300</v>
      </c>
      <c r="H25" s="63">
        <v>300</v>
      </c>
      <c r="I25" s="63">
        <v>300</v>
      </c>
      <c r="J25" s="63">
        <v>600</v>
      </c>
      <c r="K25" s="63">
        <v>300</v>
      </c>
      <c r="L25" s="63">
        <v>300</v>
      </c>
      <c r="M25" s="63">
        <v>600</v>
      </c>
      <c r="N25" s="63">
        <v>300</v>
      </c>
      <c r="O25" s="63">
        <v>300</v>
      </c>
      <c r="P25" s="63">
        <v>600</v>
      </c>
      <c r="Q25" s="61">
        <f t="shared" si="5"/>
        <v>4500</v>
      </c>
      <c r="R25" s="61">
        <f>Q25/'Rooms Summary'!$Q$111</f>
        <v>9.7497562560935974E-2</v>
      </c>
      <c r="S25" s="35"/>
      <c r="T25" s="40" t="e">
        <f t="shared" si="4"/>
        <v>#DIV/0!</v>
      </c>
    </row>
    <row r="26" spans="1:20" s="3" customFormat="1" ht="24.95" customHeight="1">
      <c r="A26" s="3" t="s">
        <v>164</v>
      </c>
      <c r="B26" s="50" t="s">
        <v>354</v>
      </c>
      <c r="D26" s="26" t="s">
        <v>165</v>
      </c>
      <c r="E26" s="63"/>
      <c r="F26" s="63"/>
      <c r="G26" s="63"/>
      <c r="H26" s="63"/>
      <c r="I26" s="63"/>
      <c r="J26" s="63"/>
      <c r="K26" s="63"/>
      <c r="L26" s="63"/>
      <c r="M26" s="63"/>
      <c r="N26" s="63"/>
      <c r="O26" s="63"/>
      <c r="P26" s="63"/>
      <c r="Q26" s="61">
        <f t="shared" si="5"/>
        <v>0</v>
      </c>
      <c r="R26" s="61">
        <f>Q26/'Rooms Summary'!$Q$111</f>
        <v>0</v>
      </c>
      <c r="S26" s="35"/>
      <c r="T26" s="40">
        <f t="shared" si="4"/>
        <v>0</v>
      </c>
    </row>
    <row r="27" spans="1:20" s="3" customFormat="1" ht="24.95" hidden="1" customHeight="1">
      <c r="A27" s="3" t="s">
        <v>166</v>
      </c>
      <c r="B27" s="50" t="s">
        <v>354</v>
      </c>
      <c r="D27" s="26" t="s">
        <v>167</v>
      </c>
      <c r="E27" s="63"/>
      <c r="F27" s="63"/>
      <c r="G27" s="63"/>
      <c r="H27" s="63"/>
      <c r="I27" s="63"/>
      <c r="J27" s="63"/>
      <c r="K27" s="63"/>
      <c r="L27" s="63"/>
      <c r="M27" s="63"/>
      <c r="N27" s="63"/>
      <c r="O27" s="63"/>
      <c r="P27" s="63"/>
      <c r="Q27" s="61">
        <f t="shared" si="5"/>
        <v>0</v>
      </c>
      <c r="R27" s="61">
        <f>Q27/'Rooms Summary'!$Q$111</f>
        <v>0</v>
      </c>
      <c r="S27" s="35"/>
      <c r="T27" s="40">
        <f t="shared" si="4"/>
        <v>0</v>
      </c>
    </row>
    <row r="28" spans="1:20" s="3" customFormat="1" ht="24.95" customHeight="1">
      <c r="A28" s="3" t="s">
        <v>168</v>
      </c>
      <c r="B28" s="50" t="s">
        <v>354</v>
      </c>
      <c r="D28" s="26" t="s">
        <v>169</v>
      </c>
      <c r="E28" s="63"/>
      <c r="F28" s="63"/>
      <c r="G28" s="63"/>
      <c r="H28" s="63"/>
      <c r="I28" s="63"/>
      <c r="J28" s="63"/>
      <c r="K28" s="63"/>
      <c r="L28" s="63"/>
      <c r="M28" s="63"/>
      <c r="N28" s="63"/>
      <c r="O28" s="63"/>
      <c r="P28" s="63"/>
      <c r="Q28" s="61">
        <f t="shared" si="5"/>
        <v>0</v>
      </c>
      <c r="R28" s="61">
        <f>Q28/'Rooms Summary'!$Q$111</f>
        <v>0</v>
      </c>
      <c r="S28" s="35"/>
      <c r="T28" s="40">
        <f t="shared" si="4"/>
        <v>0</v>
      </c>
    </row>
    <row r="29" spans="1:20" s="3" customFormat="1" ht="24.95" customHeight="1">
      <c r="A29" s="3" t="s">
        <v>170</v>
      </c>
      <c r="B29" s="50" t="s">
        <v>354</v>
      </c>
      <c r="D29" s="26" t="s">
        <v>171</v>
      </c>
      <c r="E29" s="63"/>
      <c r="F29" s="63"/>
      <c r="G29" s="63"/>
      <c r="H29" s="63"/>
      <c r="I29" s="63"/>
      <c r="J29" s="63"/>
      <c r="K29" s="63"/>
      <c r="L29" s="63"/>
      <c r="M29" s="63"/>
      <c r="N29" s="63"/>
      <c r="O29" s="63"/>
      <c r="P29" s="63"/>
      <c r="Q29" s="61">
        <f t="shared" si="5"/>
        <v>0</v>
      </c>
      <c r="R29" s="61">
        <f>Q29/'Rooms Summary'!$Q$111</f>
        <v>0</v>
      </c>
      <c r="S29" s="35"/>
      <c r="T29" s="40">
        <f t="shared" si="4"/>
        <v>0</v>
      </c>
    </row>
    <row r="30" spans="1:20" s="3" customFormat="1" ht="24.95" customHeight="1">
      <c r="A30" s="3" t="s">
        <v>172</v>
      </c>
      <c r="B30" s="50" t="s">
        <v>354</v>
      </c>
      <c r="D30" s="26" t="s">
        <v>173</v>
      </c>
      <c r="E30" s="63"/>
      <c r="F30" s="63"/>
      <c r="G30" s="63"/>
      <c r="H30" s="63"/>
      <c r="I30" s="63"/>
      <c r="J30" s="63"/>
      <c r="K30" s="63"/>
      <c r="L30" s="63"/>
      <c r="M30" s="63"/>
      <c r="N30" s="63"/>
      <c r="O30" s="63"/>
      <c r="P30" s="63"/>
      <c r="Q30" s="61">
        <f t="shared" si="5"/>
        <v>0</v>
      </c>
      <c r="R30" s="61">
        <f>Q30/'Rooms Summary'!$Q$111</f>
        <v>0</v>
      </c>
      <c r="S30" s="35"/>
      <c r="T30" s="115">
        <f t="shared" si="4"/>
        <v>0</v>
      </c>
    </row>
    <row r="31" spans="1:20" s="3" customFormat="1" ht="24.95" customHeight="1">
      <c r="A31" s="3" t="s">
        <v>174</v>
      </c>
      <c r="B31" s="50" t="s">
        <v>354</v>
      </c>
      <c r="D31" s="26" t="s">
        <v>175</v>
      </c>
      <c r="E31" s="63"/>
      <c r="F31" s="63"/>
      <c r="G31" s="63"/>
      <c r="H31" s="63"/>
      <c r="I31" s="63"/>
      <c r="J31" s="63"/>
      <c r="K31" s="63"/>
      <c r="L31" s="63"/>
      <c r="M31" s="63"/>
      <c r="N31" s="63"/>
      <c r="O31" s="63"/>
      <c r="P31" s="63"/>
      <c r="Q31" s="61">
        <f t="shared" si="5"/>
        <v>0</v>
      </c>
      <c r="R31" s="61">
        <f>Q31/'Rooms Summary'!$Q$111</f>
        <v>0</v>
      </c>
      <c r="S31" s="35"/>
      <c r="T31" s="115">
        <f t="shared" si="4"/>
        <v>0</v>
      </c>
    </row>
    <row r="32" spans="1:20" s="3" customFormat="1" ht="24.95" hidden="1" customHeight="1">
      <c r="A32" s="3" t="s">
        <v>176</v>
      </c>
      <c r="B32" s="50" t="s">
        <v>354</v>
      </c>
      <c r="D32" s="26" t="s">
        <v>177</v>
      </c>
      <c r="E32" s="63"/>
      <c r="F32" s="63"/>
      <c r="G32" s="63"/>
      <c r="H32" s="63"/>
      <c r="I32" s="63"/>
      <c r="J32" s="63"/>
      <c r="K32" s="63"/>
      <c r="L32" s="63"/>
      <c r="M32" s="63"/>
      <c r="N32" s="63"/>
      <c r="O32" s="63"/>
      <c r="P32" s="63"/>
      <c r="Q32" s="61">
        <f t="shared" si="5"/>
        <v>0</v>
      </c>
      <c r="R32" s="61">
        <f>Q32/'Rooms Summary'!$Q$111</f>
        <v>0</v>
      </c>
      <c r="S32" s="35"/>
      <c r="T32" s="115">
        <f t="shared" si="4"/>
        <v>0</v>
      </c>
    </row>
    <row r="33" spans="1:20" s="3" customFormat="1" ht="24.95" hidden="1" customHeight="1">
      <c r="A33" s="3" t="s">
        <v>178</v>
      </c>
      <c r="B33" s="50" t="s">
        <v>354</v>
      </c>
      <c r="D33" s="26" t="s">
        <v>179</v>
      </c>
      <c r="E33" s="63"/>
      <c r="F33" s="63"/>
      <c r="G33" s="63"/>
      <c r="H33" s="63"/>
      <c r="I33" s="63"/>
      <c r="J33" s="63"/>
      <c r="K33" s="63"/>
      <c r="L33" s="63"/>
      <c r="M33" s="63"/>
      <c r="N33" s="63"/>
      <c r="O33" s="63"/>
      <c r="P33" s="63"/>
      <c r="Q33" s="61">
        <f t="shared" si="5"/>
        <v>0</v>
      </c>
      <c r="R33" s="61">
        <f>Q33/'Rooms Summary'!$Q$111</f>
        <v>0</v>
      </c>
      <c r="S33" s="35"/>
      <c r="T33" s="115">
        <f t="shared" si="4"/>
        <v>0</v>
      </c>
    </row>
    <row r="34" spans="1:20" s="3" customFormat="1" ht="24.95" hidden="1" customHeight="1">
      <c r="A34" s="3" t="s">
        <v>180</v>
      </c>
      <c r="B34" s="50" t="s">
        <v>354</v>
      </c>
      <c r="D34" s="26" t="s">
        <v>181</v>
      </c>
      <c r="E34" s="63"/>
      <c r="F34" s="63"/>
      <c r="G34" s="63"/>
      <c r="H34" s="63"/>
      <c r="I34" s="63"/>
      <c r="J34" s="63"/>
      <c r="K34" s="63"/>
      <c r="L34" s="63"/>
      <c r="M34" s="63"/>
      <c r="N34" s="63"/>
      <c r="O34" s="63"/>
      <c r="P34" s="63"/>
      <c r="Q34" s="61">
        <f t="shared" si="5"/>
        <v>0</v>
      </c>
      <c r="R34" s="61">
        <f>Q34/'Rooms Summary'!$Q$111</f>
        <v>0</v>
      </c>
      <c r="S34" s="35"/>
      <c r="T34" s="115">
        <f t="shared" si="4"/>
        <v>0</v>
      </c>
    </row>
    <row r="35" spans="1:20" s="3" customFormat="1" ht="24.95" hidden="1" customHeight="1">
      <c r="A35" s="3" t="s">
        <v>182</v>
      </c>
      <c r="B35" s="50" t="s">
        <v>354</v>
      </c>
      <c r="D35" s="26" t="s">
        <v>183</v>
      </c>
      <c r="E35" s="63"/>
      <c r="F35" s="63"/>
      <c r="G35" s="63"/>
      <c r="H35" s="63"/>
      <c r="I35" s="63"/>
      <c r="J35" s="63"/>
      <c r="K35" s="63"/>
      <c r="L35" s="63"/>
      <c r="M35" s="63"/>
      <c r="N35" s="63"/>
      <c r="O35" s="63"/>
      <c r="P35" s="63"/>
      <c r="Q35" s="61">
        <f t="shared" si="5"/>
        <v>0</v>
      </c>
      <c r="R35" s="61">
        <f>Q35/'Rooms Summary'!$Q$111</f>
        <v>0</v>
      </c>
      <c r="S35" s="35"/>
      <c r="T35" s="115">
        <f t="shared" si="4"/>
        <v>0</v>
      </c>
    </row>
    <row r="36" spans="1:20" s="3" customFormat="1" ht="24.95" hidden="1" customHeight="1">
      <c r="A36" s="3" t="s">
        <v>184</v>
      </c>
      <c r="B36" s="50" t="s">
        <v>354</v>
      </c>
      <c r="D36" s="26" t="s">
        <v>185</v>
      </c>
      <c r="E36" s="63"/>
      <c r="F36" s="63"/>
      <c r="G36" s="63"/>
      <c r="H36" s="63"/>
      <c r="I36" s="63"/>
      <c r="J36" s="63"/>
      <c r="K36" s="63"/>
      <c r="L36" s="63"/>
      <c r="M36" s="63"/>
      <c r="N36" s="63"/>
      <c r="O36" s="63"/>
      <c r="P36" s="63"/>
      <c r="Q36" s="61">
        <f t="shared" si="5"/>
        <v>0</v>
      </c>
      <c r="R36" s="61">
        <f>Q36/'Rooms Summary'!$Q$111</f>
        <v>0</v>
      </c>
      <c r="S36" s="35"/>
      <c r="T36" s="115">
        <f t="shared" si="4"/>
        <v>0</v>
      </c>
    </row>
    <row r="37" spans="1:20" s="3" customFormat="1" ht="24.95" hidden="1" customHeight="1">
      <c r="A37" s="3" t="s">
        <v>186</v>
      </c>
      <c r="B37" s="50" t="s">
        <v>354</v>
      </c>
      <c r="D37" s="26" t="s">
        <v>187</v>
      </c>
      <c r="E37" s="63"/>
      <c r="F37" s="63"/>
      <c r="G37" s="63"/>
      <c r="H37" s="63"/>
      <c r="I37" s="63"/>
      <c r="J37" s="63"/>
      <c r="K37" s="63"/>
      <c r="L37" s="63"/>
      <c r="M37" s="63"/>
      <c r="N37" s="63"/>
      <c r="O37" s="63"/>
      <c r="P37" s="63"/>
      <c r="Q37" s="61">
        <f t="shared" si="5"/>
        <v>0</v>
      </c>
      <c r="R37" s="61">
        <f>Q37/'Rooms Summary'!$Q$111</f>
        <v>0</v>
      </c>
      <c r="S37" s="35"/>
      <c r="T37" s="115">
        <f t="shared" si="4"/>
        <v>0</v>
      </c>
    </row>
    <row r="38" spans="1:20" s="3" customFormat="1" ht="24.95" hidden="1" customHeight="1">
      <c r="A38" s="3" t="s">
        <v>188</v>
      </c>
      <c r="B38" s="50" t="s">
        <v>354</v>
      </c>
      <c r="D38" s="26" t="s">
        <v>189</v>
      </c>
      <c r="E38" s="63"/>
      <c r="F38" s="63"/>
      <c r="G38" s="63"/>
      <c r="H38" s="63"/>
      <c r="I38" s="63"/>
      <c r="J38" s="63"/>
      <c r="K38" s="63"/>
      <c r="L38" s="63"/>
      <c r="M38" s="63"/>
      <c r="N38" s="63"/>
      <c r="O38" s="63"/>
      <c r="P38" s="63"/>
      <c r="Q38" s="61">
        <f t="shared" si="5"/>
        <v>0</v>
      </c>
      <c r="R38" s="61">
        <f>Q38/'Rooms Summary'!$Q$111</f>
        <v>0</v>
      </c>
      <c r="S38" s="35"/>
      <c r="T38" s="115">
        <f t="shared" si="4"/>
        <v>0</v>
      </c>
    </row>
    <row r="39" spans="1:20" s="3" customFormat="1" ht="24.95" customHeight="1">
      <c r="A39" s="3" t="s">
        <v>190</v>
      </c>
      <c r="B39" s="50" t="s">
        <v>354</v>
      </c>
      <c r="D39" s="26" t="s">
        <v>1208</v>
      </c>
      <c r="E39" s="63">
        <v>1950</v>
      </c>
      <c r="F39" s="63">
        <v>1950</v>
      </c>
      <c r="G39" s="63">
        <v>1950</v>
      </c>
      <c r="H39" s="63">
        <v>1950</v>
      </c>
      <c r="I39" s="63">
        <v>1950</v>
      </c>
      <c r="J39" s="63">
        <v>1950</v>
      </c>
      <c r="K39" s="63">
        <v>1950</v>
      </c>
      <c r="L39" s="63">
        <v>1950</v>
      </c>
      <c r="M39" s="63">
        <v>1950</v>
      </c>
      <c r="N39" s="63">
        <v>1950</v>
      </c>
      <c r="O39" s="63">
        <v>1950</v>
      </c>
      <c r="P39" s="63">
        <v>1950</v>
      </c>
      <c r="Q39" s="61">
        <f t="shared" si="5"/>
        <v>23400</v>
      </c>
      <c r="R39" s="61">
        <f>Q39/'Rooms Summary'!$Q$111</f>
        <v>0.50698732531686708</v>
      </c>
      <c r="S39" s="35"/>
      <c r="T39" s="40" t="e">
        <f t="shared" si="4"/>
        <v>#DIV/0!</v>
      </c>
    </row>
    <row r="40" spans="1:20" s="3" customFormat="1" ht="24.95" customHeight="1">
      <c r="A40" s="3" t="s">
        <v>192</v>
      </c>
      <c r="B40" s="50" t="s">
        <v>354</v>
      </c>
      <c r="D40" s="26" t="s">
        <v>193</v>
      </c>
      <c r="E40" s="63"/>
      <c r="F40" s="63"/>
      <c r="G40" s="63"/>
      <c r="H40" s="63"/>
      <c r="I40" s="63"/>
      <c r="J40" s="63"/>
      <c r="K40" s="63"/>
      <c r="L40" s="63"/>
      <c r="M40" s="63"/>
      <c r="N40" s="63"/>
      <c r="O40" s="63"/>
      <c r="P40" s="63"/>
      <c r="Q40" s="61">
        <f t="shared" si="5"/>
        <v>0</v>
      </c>
      <c r="R40" s="61">
        <f>Q40/'Rooms Summary'!$Q$111</f>
        <v>0</v>
      </c>
      <c r="S40" s="35"/>
      <c r="T40" s="40">
        <f t="shared" si="4"/>
        <v>0</v>
      </c>
    </row>
    <row r="41" spans="1:20" s="3" customFormat="1" ht="24.95" customHeight="1">
      <c r="A41" s="3" t="s">
        <v>194</v>
      </c>
      <c r="B41" s="50" t="s">
        <v>354</v>
      </c>
      <c r="D41" s="26" t="s">
        <v>195</v>
      </c>
      <c r="E41" s="63"/>
      <c r="F41" s="63"/>
      <c r="G41" s="63"/>
      <c r="H41" s="63"/>
      <c r="I41" s="63"/>
      <c r="J41" s="63"/>
      <c r="K41" s="63"/>
      <c r="L41" s="63"/>
      <c r="M41" s="63"/>
      <c r="N41" s="63"/>
      <c r="O41" s="63"/>
      <c r="P41" s="63"/>
      <c r="Q41" s="61">
        <f t="shared" si="5"/>
        <v>0</v>
      </c>
      <c r="R41" s="61">
        <f>Q41/'Rooms Summary'!$Q$111</f>
        <v>0</v>
      </c>
      <c r="S41" s="35"/>
      <c r="T41" s="40">
        <f t="shared" si="4"/>
        <v>0</v>
      </c>
    </row>
    <row r="42" spans="1:20" s="3" customFormat="1" ht="24.95" customHeight="1">
      <c r="A42" s="3" t="s">
        <v>196</v>
      </c>
      <c r="B42" s="50" t="s">
        <v>354</v>
      </c>
      <c r="D42" s="26" t="s">
        <v>197</v>
      </c>
      <c r="E42" s="63">
        <v>650</v>
      </c>
      <c r="F42" s="63">
        <v>650</v>
      </c>
      <c r="G42" s="63">
        <v>650</v>
      </c>
      <c r="H42" s="63">
        <v>650</v>
      </c>
      <c r="I42" s="63">
        <v>650</v>
      </c>
      <c r="J42" s="63">
        <v>650</v>
      </c>
      <c r="K42" s="63">
        <v>650</v>
      </c>
      <c r="L42" s="63">
        <v>650</v>
      </c>
      <c r="M42" s="63">
        <v>650</v>
      </c>
      <c r="N42" s="63">
        <v>650</v>
      </c>
      <c r="O42" s="63">
        <v>650</v>
      </c>
      <c r="P42" s="63">
        <v>650</v>
      </c>
      <c r="Q42" s="61">
        <f t="shared" si="5"/>
        <v>7800</v>
      </c>
      <c r="R42" s="61">
        <f>Q42/'Rooms Summary'!$Q$111</f>
        <v>0.16899577510562236</v>
      </c>
      <c r="S42" s="35"/>
      <c r="T42" s="40" t="e">
        <f t="shared" si="4"/>
        <v>#DIV/0!</v>
      </c>
    </row>
    <row r="43" spans="1:20" s="3" customFormat="1" ht="24.95" hidden="1" customHeight="1">
      <c r="A43" s="3" t="s">
        <v>198</v>
      </c>
      <c r="B43" s="50" t="s">
        <v>354</v>
      </c>
      <c r="D43" s="26" t="s">
        <v>199</v>
      </c>
      <c r="E43" s="63"/>
      <c r="F43" s="63"/>
      <c r="G43" s="63"/>
      <c r="H43" s="63"/>
      <c r="I43" s="63"/>
      <c r="J43" s="63"/>
      <c r="K43" s="63"/>
      <c r="L43" s="63"/>
      <c r="M43" s="63"/>
      <c r="N43" s="63"/>
      <c r="O43" s="63"/>
      <c r="P43" s="63"/>
      <c r="Q43" s="61">
        <f t="shared" si="5"/>
        <v>0</v>
      </c>
      <c r="R43" s="61">
        <f>Q43/'Rooms Summary'!$Q$111</f>
        <v>0</v>
      </c>
      <c r="S43" s="35"/>
      <c r="T43" s="115">
        <f t="shared" si="4"/>
        <v>0</v>
      </c>
    </row>
    <row r="44" spans="1:20" s="3" customFormat="1" ht="24.95" hidden="1" customHeight="1">
      <c r="A44" s="3" t="s">
        <v>200</v>
      </c>
      <c r="B44" s="50" t="s">
        <v>354</v>
      </c>
      <c r="D44" s="26" t="s">
        <v>201</v>
      </c>
      <c r="E44" s="63"/>
      <c r="F44" s="63"/>
      <c r="G44" s="63"/>
      <c r="H44" s="63"/>
      <c r="I44" s="63"/>
      <c r="J44" s="63"/>
      <c r="K44" s="63"/>
      <c r="L44" s="63"/>
      <c r="M44" s="63"/>
      <c r="N44" s="63"/>
      <c r="O44" s="63"/>
      <c r="P44" s="63"/>
      <c r="Q44" s="61">
        <f t="shared" si="5"/>
        <v>0</v>
      </c>
      <c r="R44" s="61">
        <f>Q44/'Rooms Summary'!$Q$111</f>
        <v>0</v>
      </c>
      <c r="S44" s="35"/>
      <c r="T44" s="115">
        <f t="shared" si="4"/>
        <v>0</v>
      </c>
    </row>
    <row r="45" spans="1:20" s="3" customFormat="1" ht="24.95" hidden="1" customHeight="1">
      <c r="A45" s="3" t="s">
        <v>202</v>
      </c>
      <c r="B45" s="50" t="s">
        <v>354</v>
      </c>
      <c r="D45" s="26" t="s">
        <v>203</v>
      </c>
      <c r="E45" s="63"/>
      <c r="F45" s="63"/>
      <c r="G45" s="63"/>
      <c r="H45" s="63"/>
      <c r="I45" s="63"/>
      <c r="J45" s="63"/>
      <c r="K45" s="63"/>
      <c r="L45" s="63"/>
      <c r="M45" s="63"/>
      <c r="N45" s="63"/>
      <c r="O45" s="63"/>
      <c r="P45" s="63"/>
      <c r="Q45" s="61">
        <f t="shared" si="5"/>
        <v>0</v>
      </c>
      <c r="R45" s="61">
        <f>Q45/'Rooms Summary'!$Q$111</f>
        <v>0</v>
      </c>
      <c r="S45" s="35"/>
      <c r="T45" s="115">
        <f t="shared" si="4"/>
        <v>0</v>
      </c>
    </row>
    <row r="46" spans="1:20" s="3" customFormat="1" ht="24.95" hidden="1" customHeight="1">
      <c r="A46" s="3" t="s">
        <v>204</v>
      </c>
      <c r="B46" s="50" t="s">
        <v>354</v>
      </c>
      <c r="D46" s="26" t="s">
        <v>205</v>
      </c>
      <c r="E46" s="63"/>
      <c r="F46" s="63"/>
      <c r="G46" s="63"/>
      <c r="H46" s="63"/>
      <c r="I46" s="63"/>
      <c r="J46" s="63"/>
      <c r="K46" s="63"/>
      <c r="L46" s="63"/>
      <c r="M46" s="63"/>
      <c r="N46" s="63"/>
      <c r="O46" s="63"/>
      <c r="P46" s="63"/>
      <c r="Q46" s="61">
        <f t="shared" si="5"/>
        <v>0</v>
      </c>
      <c r="R46" s="61">
        <f>Q46/'Rooms Summary'!$Q$111</f>
        <v>0</v>
      </c>
      <c r="S46" s="35"/>
      <c r="T46" s="115">
        <f t="shared" si="4"/>
        <v>0</v>
      </c>
    </row>
    <row r="47" spans="1:20" s="3" customFormat="1" ht="24.95" hidden="1" customHeight="1">
      <c r="A47" s="3" t="s">
        <v>206</v>
      </c>
      <c r="B47" s="50" t="s">
        <v>354</v>
      </c>
      <c r="D47" s="26" t="s">
        <v>207</v>
      </c>
      <c r="E47" s="63"/>
      <c r="F47" s="63"/>
      <c r="G47" s="63"/>
      <c r="H47" s="63"/>
      <c r="I47" s="63"/>
      <c r="J47" s="63"/>
      <c r="K47" s="63"/>
      <c r="L47" s="63"/>
      <c r="M47" s="63"/>
      <c r="N47" s="63"/>
      <c r="O47" s="63"/>
      <c r="P47" s="63"/>
      <c r="Q47" s="61">
        <f t="shared" si="5"/>
        <v>0</v>
      </c>
      <c r="R47" s="61">
        <f>Q47/'Rooms Summary'!$Q$111</f>
        <v>0</v>
      </c>
      <c r="S47" s="35"/>
      <c r="T47" s="115">
        <f t="shared" si="4"/>
        <v>0</v>
      </c>
    </row>
    <row r="48" spans="1:20" s="3" customFormat="1" ht="24.95" hidden="1" customHeight="1">
      <c r="A48" s="3" t="s">
        <v>208</v>
      </c>
      <c r="B48" s="50" t="s">
        <v>354</v>
      </c>
      <c r="D48" s="26" t="s">
        <v>209</v>
      </c>
      <c r="E48" s="63"/>
      <c r="F48" s="63"/>
      <c r="G48" s="63"/>
      <c r="H48" s="63"/>
      <c r="I48" s="63"/>
      <c r="J48" s="63"/>
      <c r="K48" s="63"/>
      <c r="L48" s="63"/>
      <c r="M48" s="63"/>
      <c r="N48" s="63"/>
      <c r="O48" s="63"/>
      <c r="P48" s="63"/>
      <c r="Q48" s="61">
        <f t="shared" si="5"/>
        <v>0</v>
      </c>
      <c r="R48" s="61">
        <f>Q48/'Rooms Summary'!$Q$111</f>
        <v>0</v>
      </c>
      <c r="S48" s="35"/>
      <c r="T48" s="115">
        <f t="shared" si="4"/>
        <v>0</v>
      </c>
    </row>
    <row r="49" spans="1:20" s="3" customFormat="1" ht="24.95" hidden="1" customHeight="1">
      <c r="A49" s="3" t="s">
        <v>210</v>
      </c>
      <c r="B49" s="50" t="s">
        <v>354</v>
      </c>
      <c r="D49" s="26" t="s">
        <v>211</v>
      </c>
      <c r="E49" s="63"/>
      <c r="F49" s="63"/>
      <c r="G49" s="63"/>
      <c r="H49" s="63"/>
      <c r="I49" s="63"/>
      <c r="J49" s="63"/>
      <c r="K49" s="63"/>
      <c r="L49" s="63"/>
      <c r="M49" s="63"/>
      <c r="N49" s="63"/>
      <c r="O49" s="63"/>
      <c r="P49" s="63"/>
      <c r="Q49" s="61">
        <f t="shared" si="5"/>
        <v>0</v>
      </c>
      <c r="R49" s="61">
        <f>Q49/'Rooms Summary'!$Q$111</f>
        <v>0</v>
      </c>
      <c r="S49" s="35"/>
      <c r="T49" s="40">
        <f t="shared" si="4"/>
        <v>0</v>
      </c>
    </row>
    <row r="50" spans="1:20" s="3" customFormat="1" ht="24.95" hidden="1" customHeight="1">
      <c r="A50" s="3" t="s">
        <v>212</v>
      </c>
      <c r="B50" s="50" t="s">
        <v>354</v>
      </c>
      <c r="D50" s="26" t="s">
        <v>213</v>
      </c>
      <c r="E50" s="63"/>
      <c r="F50" s="63"/>
      <c r="G50" s="63"/>
      <c r="H50" s="63"/>
      <c r="I50" s="63"/>
      <c r="J50" s="63"/>
      <c r="K50" s="63"/>
      <c r="L50" s="63"/>
      <c r="M50" s="63"/>
      <c r="N50" s="63"/>
      <c r="O50" s="63"/>
      <c r="P50" s="63"/>
      <c r="Q50" s="61">
        <f t="shared" si="5"/>
        <v>0</v>
      </c>
      <c r="R50" s="61">
        <f>Q50/'Rooms Summary'!$Q$111</f>
        <v>0</v>
      </c>
      <c r="S50" s="35"/>
      <c r="T50" s="40">
        <f t="shared" si="4"/>
        <v>0</v>
      </c>
    </row>
    <row r="51" spans="1:20" s="3" customFormat="1" ht="24.95" hidden="1" customHeight="1">
      <c r="A51" s="3" t="s">
        <v>214</v>
      </c>
      <c r="B51" s="50" t="s">
        <v>354</v>
      </c>
      <c r="D51" s="26" t="s">
        <v>215</v>
      </c>
      <c r="E51" s="63"/>
      <c r="F51" s="63"/>
      <c r="G51" s="63"/>
      <c r="H51" s="63"/>
      <c r="I51" s="63"/>
      <c r="J51" s="63"/>
      <c r="K51" s="63"/>
      <c r="L51" s="63"/>
      <c r="M51" s="63"/>
      <c r="N51" s="63"/>
      <c r="O51" s="63"/>
      <c r="P51" s="63"/>
      <c r="Q51" s="61">
        <f t="shared" si="5"/>
        <v>0</v>
      </c>
      <c r="R51" s="61">
        <f>Q51/'Rooms Summary'!$Q$111</f>
        <v>0</v>
      </c>
      <c r="S51" s="35"/>
      <c r="T51" s="40">
        <f t="shared" si="4"/>
        <v>0</v>
      </c>
    </row>
    <row r="52" spans="1:20" s="3" customFormat="1" ht="24.95" hidden="1" customHeight="1">
      <c r="A52" s="3" t="s">
        <v>216</v>
      </c>
      <c r="B52" s="50" t="s">
        <v>354</v>
      </c>
      <c r="D52" s="26" t="s">
        <v>217</v>
      </c>
      <c r="E52" s="63"/>
      <c r="F52" s="63"/>
      <c r="G52" s="63"/>
      <c r="H52" s="63"/>
      <c r="I52" s="63"/>
      <c r="J52" s="63"/>
      <c r="K52" s="63"/>
      <c r="L52" s="63"/>
      <c r="M52" s="63"/>
      <c r="N52" s="63"/>
      <c r="O52" s="63"/>
      <c r="P52" s="63"/>
      <c r="Q52" s="61">
        <f t="shared" si="5"/>
        <v>0</v>
      </c>
      <c r="R52" s="61">
        <f>Q52/'Rooms Summary'!$Q$111</f>
        <v>0</v>
      </c>
      <c r="S52" s="35"/>
      <c r="T52" s="40">
        <f t="shared" si="4"/>
        <v>0</v>
      </c>
    </row>
    <row r="53" spans="1:20" s="3" customFormat="1" ht="24.95" hidden="1" customHeight="1">
      <c r="A53" s="3" t="s">
        <v>218</v>
      </c>
      <c r="B53" s="50" t="s">
        <v>354</v>
      </c>
      <c r="D53" s="26" t="s">
        <v>219</v>
      </c>
      <c r="E53" s="63"/>
      <c r="F53" s="63"/>
      <c r="G53" s="63"/>
      <c r="H53" s="63"/>
      <c r="I53" s="63"/>
      <c r="J53" s="63"/>
      <c r="K53" s="63"/>
      <c r="L53" s="63"/>
      <c r="M53" s="63"/>
      <c r="N53" s="63"/>
      <c r="O53" s="63"/>
      <c r="P53" s="63"/>
      <c r="Q53" s="61">
        <f t="shared" si="5"/>
        <v>0</v>
      </c>
      <c r="R53" s="61">
        <f>Q53/'Rooms Summary'!$Q$111</f>
        <v>0</v>
      </c>
      <c r="S53" s="35"/>
      <c r="T53" s="40">
        <f t="shared" si="4"/>
        <v>0</v>
      </c>
    </row>
    <row r="54" spans="1:20" s="3" customFormat="1" ht="24.95" hidden="1" customHeight="1">
      <c r="A54" s="3" t="s">
        <v>220</v>
      </c>
      <c r="B54" s="50" t="s">
        <v>354</v>
      </c>
      <c r="D54" s="26" t="s">
        <v>221</v>
      </c>
      <c r="E54" s="63"/>
      <c r="F54" s="63"/>
      <c r="G54" s="63"/>
      <c r="H54" s="63"/>
      <c r="I54" s="63"/>
      <c r="J54" s="63"/>
      <c r="K54" s="63"/>
      <c r="L54" s="63"/>
      <c r="M54" s="63"/>
      <c r="N54" s="63"/>
      <c r="O54" s="63"/>
      <c r="P54" s="63"/>
      <c r="Q54" s="61">
        <f t="shared" si="5"/>
        <v>0</v>
      </c>
      <c r="R54" s="61">
        <f>Q54/'Rooms Summary'!$Q$111</f>
        <v>0</v>
      </c>
      <c r="S54" s="35"/>
      <c r="T54" s="40">
        <f t="shared" si="4"/>
        <v>0</v>
      </c>
    </row>
    <row r="55" spans="1:20" s="3" customFormat="1" ht="24.95" hidden="1" customHeight="1">
      <c r="A55" s="3" t="s">
        <v>222</v>
      </c>
      <c r="B55" s="50" t="s">
        <v>354</v>
      </c>
      <c r="D55" s="26" t="s">
        <v>223</v>
      </c>
      <c r="E55" s="63"/>
      <c r="F55" s="63"/>
      <c r="G55" s="63"/>
      <c r="H55" s="63"/>
      <c r="I55" s="63"/>
      <c r="J55" s="63"/>
      <c r="K55" s="63"/>
      <c r="L55" s="63"/>
      <c r="M55" s="63"/>
      <c r="N55" s="63"/>
      <c r="O55" s="63"/>
      <c r="P55" s="63"/>
      <c r="Q55" s="61">
        <f t="shared" si="5"/>
        <v>0</v>
      </c>
      <c r="R55" s="61">
        <f>Q55/'Rooms Summary'!$Q$111</f>
        <v>0</v>
      </c>
      <c r="S55" s="35"/>
      <c r="T55" s="40">
        <f t="shared" si="4"/>
        <v>0</v>
      </c>
    </row>
    <row r="56" spans="1:20" s="3" customFormat="1" ht="24.95" hidden="1" customHeight="1">
      <c r="A56" s="3" t="s">
        <v>224</v>
      </c>
      <c r="B56" s="50" t="s">
        <v>354</v>
      </c>
      <c r="D56" s="26" t="s">
        <v>225</v>
      </c>
      <c r="E56" s="63"/>
      <c r="F56" s="63"/>
      <c r="G56" s="63"/>
      <c r="H56" s="63"/>
      <c r="I56" s="63"/>
      <c r="J56" s="63"/>
      <c r="K56" s="63"/>
      <c r="L56" s="63"/>
      <c r="M56" s="63"/>
      <c r="N56" s="63"/>
      <c r="O56" s="63"/>
      <c r="P56" s="63"/>
      <c r="Q56" s="61">
        <f t="shared" si="5"/>
        <v>0</v>
      </c>
      <c r="R56" s="61">
        <f>Q56/'Rooms Summary'!$Q$111</f>
        <v>0</v>
      </c>
      <c r="S56" s="35"/>
      <c r="T56" s="40">
        <f t="shared" si="4"/>
        <v>0</v>
      </c>
    </row>
    <row r="57" spans="1:20" s="3" customFormat="1" ht="24.95" hidden="1" customHeight="1">
      <c r="A57" s="3" t="s">
        <v>226</v>
      </c>
      <c r="B57" s="50" t="s">
        <v>354</v>
      </c>
      <c r="D57" s="26" t="s">
        <v>227</v>
      </c>
      <c r="E57" s="63"/>
      <c r="F57" s="63"/>
      <c r="G57" s="63"/>
      <c r="H57" s="63"/>
      <c r="I57" s="63"/>
      <c r="J57" s="63"/>
      <c r="K57" s="63"/>
      <c r="L57" s="63"/>
      <c r="M57" s="63"/>
      <c r="N57" s="63"/>
      <c r="O57" s="63"/>
      <c r="P57" s="63"/>
      <c r="Q57" s="61">
        <f t="shared" si="5"/>
        <v>0</v>
      </c>
      <c r="R57" s="61">
        <f>Q57/'Rooms Summary'!$Q$111</f>
        <v>0</v>
      </c>
      <c r="S57" s="35"/>
      <c r="T57" s="40">
        <f t="shared" si="4"/>
        <v>0</v>
      </c>
    </row>
    <row r="58" spans="1:20" s="3" customFormat="1" ht="24.95" hidden="1" customHeight="1">
      <c r="A58" s="3" t="s">
        <v>228</v>
      </c>
      <c r="B58" s="50" t="s">
        <v>354</v>
      </c>
      <c r="D58" s="26" t="s">
        <v>229</v>
      </c>
      <c r="E58" s="63"/>
      <c r="F58" s="63"/>
      <c r="G58" s="63"/>
      <c r="H58" s="63"/>
      <c r="I58" s="63"/>
      <c r="J58" s="63"/>
      <c r="K58" s="63"/>
      <c r="L58" s="63"/>
      <c r="M58" s="63"/>
      <c r="N58" s="63"/>
      <c r="O58" s="63"/>
      <c r="P58" s="63"/>
      <c r="Q58" s="61">
        <f t="shared" si="5"/>
        <v>0</v>
      </c>
      <c r="R58" s="61">
        <f>Q58/'Rooms Summary'!$Q$111</f>
        <v>0</v>
      </c>
      <c r="S58" s="35"/>
      <c r="T58" s="40">
        <f t="shared" si="4"/>
        <v>0</v>
      </c>
    </row>
    <row r="59" spans="1:20" s="3" customFormat="1" ht="24.95" hidden="1" customHeight="1">
      <c r="A59" s="3" t="s">
        <v>230</v>
      </c>
      <c r="B59" s="50" t="s">
        <v>354</v>
      </c>
      <c r="D59" s="26" t="s">
        <v>231</v>
      </c>
      <c r="E59" s="63"/>
      <c r="F59" s="63"/>
      <c r="G59" s="63"/>
      <c r="H59" s="63"/>
      <c r="I59" s="63"/>
      <c r="J59" s="63"/>
      <c r="K59" s="63"/>
      <c r="L59" s="63"/>
      <c r="M59" s="63"/>
      <c r="N59" s="63"/>
      <c r="O59" s="63"/>
      <c r="P59" s="63"/>
      <c r="Q59" s="61">
        <f t="shared" si="5"/>
        <v>0</v>
      </c>
      <c r="R59" s="61">
        <f>Q59/'Rooms Summary'!$Q$111</f>
        <v>0</v>
      </c>
      <c r="S59" s="35"/>
      <c r="T59" s="40">
        <f t="shared" si="4"/>
        <v>0</v>
      </c>
    </row>
    <row r="60" spans="1:20" s="3" customFormat="1" ht="24.95" hidden="1" customHeight="1">
      <c r="A60" s="3" t="s">
        <v>232</v>
      </c>
      <c r="B60" s="50" t="s">
        <v>354</v>
      </c>
      <c r="D60" s="26" t="s">
        <v>233</v>
      </c>
      <c r="E60" s="63"/>
      <c r="F60" s="63"/>
      <c r="G60" s="63"/>
      <c r="H60" s="63"/>
      <c r="I60" s="63"/>
      <c r="J60" s="63"/>
      <c r="K60" s="63"/>
      <c r="L60" s="63"/>
      <c r="M60" s="63"/>
      <c r="N60" s="63"/>
      <c r="O60" s="63"/>
      <c r="P60" s="63"/>
      <c r="Q60" s="61">
        <f t="shared" si="5"/>
        <v>0</v>
      </c>
      <c r="R60" s="61">
        <f>Q60/'Rooms Summary'!$Q$111</f>
        <v>0</v>
      </c>
      <c r="S60" s="35"/>
      <c r="T60" s="40">
        <f t="shared" si="4"/>
        <v>0</v>
      </c>
    </row>
    <row r="61" spans="1:20" s="3" customFormat="1" ht="24.95" hidden="1" customHeight="1">
      <c r="A61" s="3" t="s">
        <v>234</v>
      </c>
      <c r="B61" s="50" t="s">
        <v>354</v>
      </c>
      <c r="D61" s="26" t="s">
        <v>235</v>
      </c>
      <c r="E61" s="63"/>
      <c r="F61" s="63"/>
      <c r="G61" s="63"/>
      <c r="H61" s="63"/>
      <c r="I61" s="63"/>
      <c r="J61" s="63"/>
      <c r="K61" s="63"/>
      <c r="L61" s="63"/>
      <c r="M61" s="63"/>
      <c r="N61" s="63"/>
      <c r="O61" s="63"/>
      <c r="P61" s="63"/>
      <c r="Q61" s="61">
        <f t="shared" si="5"/>
        <v>0</v>
      </c>
      <c r="R61" s="61">
        <f>Q61/'Rooms Summary'!$Q$111</f>
        <v>0</v>
      </c>
      <c r="S61" s="35"/>
      <c r="T61" s="40">
        <f t="shared" si="4"/>
        <v>0</v>
      </c>
    </row>
    <row r="62" spans="1:20" s="3" customFormat="1" ht="24.95" hidden="1" customHeight="1">
      <c r="A62" s="3" t="s">
        <v>236</v>
      </c>
      <c r="B62" s="50" t="s">
        <v>354</v>
      </c>
      <c r="D62" s="26" t="s">
        <v>237</v>
      </c>
      <c r="E62" s="63"/>
      <c r="F62" s="63"/>
      <c r="G62" s="63"/>
      <c r="H62" s="63"/>
      <c r="I62" s="63"/>
      <c r="J62" s="63"/>
      <c r="K62" s="63"/>
      <c r="L62" s="63"/>
      <c r="M62" s="63"/>
      <c r="N62" s="63"/>
      <c r="O62" s="63"/>
      <c r="P62" s="63"/>
      <c r="Q62" s="61">
        <f t="shared" si="5"/>
        <v>0</v>
      </c>
      <c r="R62" s="61">
        <f>Q62/'Rooms Summary'!$Q$111</f>
        <v>0</v>
      </c>
      <c r="S62" s="35"/>
      <c r="T62" s="40">
        <f t="shared" si="4"/>
        <v>0</v>
      </c>
    </row>
    <row r="63" spans="1:20" s="3" customFormat="1" ht="24.95" hidden="1" customHeight="1">
      <c r="A63" s="3" t="s">
        <v>238</v>
      </c>
      <c r="B63" s="50" t="s">
        <v>354</v>
      </c>
      <c r="D63" s="26" t="s">
        <v>239</v>
      </c>
      <c r="E63" s="63"/>
      <c r="F63" s="63"/>
      <c r="G63" s="63"/>
      <c r="H63" s="63"/>
      <c r="I63" s="63"/>
      <c r="J63" s="63"/>
      <c r="K63" s="63"/>
      <c r="L63" s="63"/>
      <c r="M63" s="63"/>
      <c r="N63" s="63"/>
      <c r="O63" s="63"/>
      <c r="P63" s="63"/>
      <c r="Q63" s="61">
        <f t="shared" si="5"/>
        <v>0</v>
      </c>
      <c r="R63" s="61">
        <f>Q63/'Rooms Summary'!$Q$111</f>
        <v>0</v>
      </c>
      <c r="S63" s="35"/>
      <c r="T63" s="40">
        <f t="shared" si="4"/>
        <v>0</v>
      </c>
    </row>
    <row r="64" spans="1:20" s="3" customFormat="1" ht="24.95" hidden="1" customHeight="1">
      <c r="A64" s="3" t="s">
        <v>240</v>
      </c>
      <c r="B64" s="50" t="s">
        <v>354</v>
      </c>
      <c r="D64" s="26" t="s">
        <v>241</v>
      </c>
      <c r="E64" s="63"/>
      <c r="F64" s="63"/>
      <c r="G64" s="63"/>
      <c r="H64" s="63"/>
      <c r="I64" s="63"/>
      <c r="J64" s="63"/>
      <c r="K64" s="63"/>
      <c r="L64" s="63"/>
      <c r="M64" s="63"/>
      <c r="N64" s="63"/>
      <c r="O64" s="63"/>
      <c r="P64" s="63"/>
      <c r="Q64" s="61">
        <f t="shared" si="5"/>
        <v>0</v>
      </c>
      <c r="R64" s="61">
        <f>Q64/'Rooms Summary'!$Q$111</f>
        <v>0</v>
      </c>
      <c r="S64" s="35"/>
      <c r="T64" s="40">
        <f t="shared" si="4"/>
        <v>0</v>
      </c>
    </row>
    <row r="65" spans="1:20" s="3" customFormat="1" ht="24.95" hidden="1" customHeight="1">
      <c r="A65" s="3" t="s">
        <v>242</v>
      </c>
      <c r="B65" s="50" t="s">
        <v>354</v>
      </c>
      <c r="D65" s="26" t="s">
        <v>243</v>
      </c>
      <c r="E65" s="63"/>
      <c r="F65" s="63"/>
      <c r="G65" s="63"/>
      <c r="H65" s="63"/>
      <c r="I65" s="63"/>
      <c r="J65" s="63"/>
      <c r="K65" s="63"/>
      <c r="L65" s="63"/>
      <c r="M65" s="63"/>
      <c r="N65" s="63"/>
      <c r="O65" s="63"/>
      <c r="P65" s="63"/>
      <c r="Q65" s="61">
        <f t="shared" si="5"/>
        <v>0</v>
      </c>
      <c r="R65" s="61">
        <f>Q65/'Rooms Summary'!$Q$111</f>
        <v>0</v>
      </c>
      <c r="S65" s="35"/>
      <c r="T65" s="40">
        <f t="shared" si="4"/>
        <v>0</v>
      </c>
    </row>
    <row r="66" spans="1:20" s="3" customFormat="1" ht="24.95" hidden="1" customHeight="1">
      <c r="A66" s="3" t="s">
        <v>244</v>
      </c>
      <c r="B66" s="50" t="s">
        <v>354</v>
      </c>
      <c r="D66" s="26" t="s">
        <v>245</v>
      </c>
      <c r="E66" s="63"/>
      <c r="F66" s="63"/>
      <c r="G66" s="63"/>
      <c r="H66" s="63"/>
      <c r="I66" s="63"/>
      <c r="J66" s="63"/>
      <c r="K66" s="63"/>
      <c r="L66" s="63"/>
      <c r="M66" s="63"/>
      <c r="N66" s="63"/>
      <c r="O66" s="63"/>
      <c r="P66" s="63"/>
      <c r="Q66" s="61">
        <f t="shared" si="5"/>
        <v>0</v>
      </c>
      <c r="R66" s="61">
        <f>Q66/'Rooms Summary'!$Q$111</f>
        <v>0</v>
      </c>
      <c r="S66" s="35"/>
      <c r="T66" s="40">
        <f t="shared" si="4"/>
        <v>0</v>
      </c>
    </row>
    <row r="67" spans="1:20" s="3" customFormat="1" ht="24.95" customHeight="1">
      <c r="A67" s="3" t="s">
        <v>246</v>
      </c>
      <c r="B67" s="50" t="s">
        <v>354</v>
      </c>
      <c r="D67" s="26" t="s">
        <v>247</v>
      </c>
      <c r="E67" s="63">
        <v>400</v>
      </c>
      <c r="F67" s="63">
        <v>400</v>
      </c>
      <c r="G67" s="63">
        <v>400</v>
      </c>
      <c r="H67" s="63">
        <v>400</v>
      </c>
      <c r="I67" s="63">
        <v>400</v>
      </c>
      <c r="J67" s="63">
        <v>400</v>
      </c>
      <c r="K67" s="63">
        <v>400</v>
      </c>
      <c r="L67" s="63">
        <v>400</v>
      </c>
      <c r="M67" s="63">
        <v>400</v>
      </c>
      <c r="N67" s="63">
        <v>400</v>
      </c>
      <c r="O67" s="63">
        <v>400</v>
      </c>
      <c r="P67" s="63">
        <v>400</v>
      </c>
      <c r="Q67" s="61">
        <f t="shared" si="5"/>
        <v>4800</v>
      </c>
      <c r="R67" s="61">
        <f>Q67/'Rooms Summary'!$Q$111</f>
        <v>0.10399740006499837</v>
      </c>
      <c r="S67" s="35"/>
      <c r="T67" s="40" t="e">
        <f t="shared" si="4"/>
        <v>#DIV/0!</v>
      </c>
    </row>
    <row r="68" spans="1:20" s="3" customFormat="1" ht="24.95" customHeight="1">
      <c r="A68" s="3" t="s">
        <v>248</v>
      </c>
      <c r="B68" s="50" t="s">
        <v>354</v>
      </c>
      <c r="D68" s="26" t="s">
        <v>249</v>
      </c>
      <c r="E68" s="63">
        <v>1200</v>
      </c>
      <c r="F68" s="63">
        <v>1200</v>
      </c>
      <c r="G68" s="63">
        <v>1200</v>
      </c>
      <c r="H68" s="63">
        <v>1200</v>
      </c>
      <c r="I68" s="63">
        <v>1200</v>
      </c>
      <c r="J68" s="63">
        <v>1200</v>
      </c>
      <c r="K68" s="63">
        <v>1200</v>
      </c>
      <c r="L68" s="63">
        <v>1200</v>
      </c>
      <c r="M68" s="63">
        <v>1200</v>
      </c>
      <c r="N68" s="63">
        <v>1200</v>
      </c>
      <c r="O68" s="63">
        <v>1200</v>
      </c>
      <c r="P68" s="63">
        <v>1200</v>
      </c>
      <c r="Q68" s="61">
        <f t="shared" si="5"/>
        <v>14400</v>
      </c>
      <c r="R68" s="61">
        <f>Q68/'Rooms Summary'!$Q$111</f>
        <v>0.31199220019499513</v>
      </c>
      <c r="S68" s="35"/>
      <c r="T68" s="40" t="e">
        <f t="shared" si="4"/>
        <v>#DIV/0!</v>
      </c>
    </row>
    <row r="69" spans="1:20" s="3" customFormat="1" ht="24.95" customHeight="1">
      <c r="A69" s="3" t="s">
        <v>250</v>
      </c>
      <c r="B69" s="50" t="s">
        <v>354</v>
      </c>
      <c r="D69" s="26" t="s">
        <v>251</v>
      </c>
      <c r="E69" s="61">
        <f>Laundry!E200</f>
        <v>5470.48</v>
      </c>
      <c r="F69" s="61">
        <f>Laundry!F200</f>
        <v>5867.43</v>
      </c>
      <c r="G69" s="61">
        <f>Laundry!G200</f>
        <v>5455.81</v>
      </c>
      <c r="H69" s="61">
        <f>Laundry!H200</f>
        <v>5901.46</v>
      </c>
      <c r="I69" s="61">
        <f>Laundry!I200</f>
        <v>5956.39</v>
      </c>
      <c r="J69" s="61">
        <f>Laundry!J200</f>
        <v>5996.54</v>
      </c>
      <c r="K69" s="61">
        <f>Laundry!K200</f>
        <v>5952.29</v>
      </c>
      <c r="L69" s="61">
        <f>Laundry!L200</f>
        <v>5973.42</v>
      </c>
      <c r="M69" s="61">
        <f>Laundry!M200</f>
        <v>6250.06</v>
      </c>
      <c r="N69" s="61">
        <f>Laundry!N200</f>
        <v>6647</v>
      </c>
      <c r="O69" s="61">
        <f>Laundry!O200</f>
        <v>5789.61</v>
      </c>
      <c r="P69" s="61">
        <f>Laundry!P200</f>
        <v>5709.33</v>
      </c>
      <c r="Q69" s="61">
        <f>SUM(E69:P69)</f>
        <v>70969.819999999992</v>
      </c>
      <c r="R69" s="61">
        <f>Q69/'Rooms Summary'!$Q$111</f>
        <v>1.5376409923085255</v>
      </c>
      <c r="S69" s="35"/>
      <c r="T69" s="40" t="e">
        <f t="shared" si="4"/>
        <v>#DIV/0!</v>
      </c>
    </row>
    <row r="70" spans="1:20" s="3" customFormat="1" ht="24.95" customHeight="1">
      <c r="A70" s="3" t="s">
        <v>252</v>
      </c>
      <c r="B70" s="50" t="s">
        <v>354</v>
      </c>
      <c r="D70" s="26" t="s">
        <v>253</v>
      </c>
      <c r="E70" s="63"/>
      <c r="F70" s="63"/>
      <c r="G70" s="63"/>
      <c r="H70" s="63"/>
      <c r="I70" s="63"/>
      <c r="J70" s="61"/>
      <c r="K70" s="61"/>
      <c r="L70" s="61"/>
      <c r="M70" s="61"/>
      <c r="N70" s="61"/>
      <c r="O70" s="61"/>
      <c r="P70" s="61"/>
      <c r="Q70" s="61">
        <f t="shared" si="5"/>
        <v>0</v>
      </c>
      <c r="R70" s="61">
        <f>Q70/'Rooms Summary'!$Q$111</f>
        <v>0</v>
      </c>
      <c r="S70" s="35"/>
      <c r="T70" s="40">
        <f t="shared" si="4"/>
        <v>0</v>
      </c>
    </row>
    <row r="71" spans="1:20" s="3" customFormat="1" ht="24.95" customHeight="1">
      <c r="A71" s="3" t="s">
        <v>254</v>
      </c>
      <c r="B71" s="50" t="s">
        <v>354</v>
      </c>
      <c r="D71" s="26" t="s">
        <v>255</v>
      </c>
      <c r="E71" s="63">
        <v>2000</v>
      </c>
      <c r="F71" s="63">
        <v>2000</v>
      </c>
      <c r="G71" s="63">
        <v>2000</v>
      </c>
      <c r="H71" s="63">
        <v>2000</v>
      </c>
      <c r="I71" s="63">
        <v>2000</v>
      </c>
      <c r="J71" s="63">
        <v>2000</v>
      </c>
      <c r="K71" s="63">
        <v>2000</v>
      </c>
      <c r="L71" s="63">
        <v>2000</v>
      </c>
      <c r="M71" s="63">
        <v>2000</v>
      </c>
      <c r="N71" s="63">
        <v>2000</v>
      </c>
      <c r="O71" s="63">
        <v>2000</v>
      </c>
      <c r="P71" s="63">
        <v>2000</v>
      </c>
      <c r="Q71" s="61">
        <f t="shared" si="5"/>
        <v>24000</v>
      </c>
      <c r="R71" s="61">
        <f>Q71/'Rooms Summary'!$Q$111</f>
        <v>0.5199870003249919</v>
      </c>
      <c r="S71" s="35"/>
      <c r="T71" s="40" t="e">
        <f t="shared" si="4"/>
        <v>#DIV/0!</v>
      </c>
    </row>
    <row r="72" spans="1:20" s="3" customFormat="1" ht="24.95" customHeight="1">
      <c r="A72" s="3" t="s">
        <v>256</v>
      </c>
      <c r="B72" s="50" t="s">
        <v>354</v>
      </c>
      <c r="D72" s="26" t="s">
        <v>257</v>
      </c>
      <c r="E72" s="63">
        <v>200</v>
      </c>
      <c r="F72" s="63">
        <v>200</v>
      </c>
      <c r="G72" s="63">
        <v>200</v>
      </c>
      <c r="H72" s="63">
        <v>200</v>
      </c>
      <c r="I72" s="63">
        <v>200</v>
      </c>
      <c r="J72" s="63">
        <v>200</v>
      </c>
      <c r="K72" s="63">
        <v>200</v>
      </c>
      <c r="L72" s="63">
        <v>200</v>
      </c>
      <c r="M72" s="63">
        <v>200</v>
      </c>
      <c r="N72" s="63">
        <v>200</v>
      </c>
      <c r="O72" s="63">
        <v>200</v>
      </c>
      <c r="P72" s="63">
        <v>200</v>
      </c>
      <c r="Q72" s="61">
        <f t="shared" si="5"/>
        <v>2400</v>
      </c>
      <c r="R72" s="61">
        <f>Q72/'Rooms Summary'!$Q$111</f>
        <v>5.1998700032499186E-2</v>
      </c>
      <c r="S72" s="35"/>
      <c r="T72" s="40" t="e">
        <f t="shared" si="4"/>
        <v>#DIV/0!</v>
      </c>
    </row>
    <row r="73" spans="1:20" s="3" customFormat="1" ht="24.95" customHeight="1">
      <c r="A73" s="3" t="s">
        <v>258</v>
      </c>
      <c r="B73" s="50" t="s">
        <v>354</v>
      </c>
      <c r="D73" s="26" t="s">
        <v>259</v>
      </c>
      <c r="E73" s="63">
        <v>300</v>
      </c>
      <c r="F73" s="63">
        <v>300</v>
      </c>
      <c r="G73" s="63">
        <v>300</v>
      </c>
      <c r="H73" s="63">
        <v>300</v>
      </c>
      <c r="I73" s="63">
        <v>300</v>
      </c>
      <c r="J73" s="63">
        <v>300</v>
      </c>
      <c r="K73" s="63">
        <v>300</v>
      </c>
      <c r="L73" s="63">
        <v>300</v>
      </c>
      <c r="M73" s="63">
        <v>300</v>
      </c>
      <c r="N73" s="63">
        <v>300</v>
      </c>
      <c r="O73" s="63">
        <v>300</v>
      </c>
      <c r="P73" s="63">
        <v>300</v>
      </c>
      <c r="Q73" s="61">
        <f t="shared" si="5"/>
        <v>3600</v>
      </c>
      <c r="R73" s="61">
        <f>Q73/'Rooms Summary'!$Q$111</f>
        <v>7.7998050048748782E-2</v>
      </c>
      <c r="S73" s="35"/>
      <c r="T73" s="40" t="e">
        <f t="shared" si="4"/>
        <v>#DIV/0!</v>
      </c>
    </row>
    <row r="74" spans="1:20" s="3" customFormat="1" ht="24.95" customHeight="1">
      <c r="A74" s="3" t="s">
        <v>260</v>
      </c>
      <c r="B74" s="50" t="s">
        <v>354</v>
      </c>
      <c r="D74" s="26" t="s">
        <v>261</v>
      </c>
      <c r="E74" s="63"/>
      <c r="F74" s="63"/>
      <c r="G74" s="63"/>
      <c r="H74" s="63">
        <v>2500</v>
      </c>
      <c r="I74" s="63">
        <v>2500</v>
      </c>
      <c r="J74" s="63"/>
      <c r="K74" s="63"/>
      <c r="L74" s="63"/>
      <c r="M74" s="63"/>
      <c r="N74" s="63"/>
      <c r="O74" s="63"/>
      <c r="P74" s="63"/>
      <c r="Q74" s="61">
        <f t="shared" si="5"/>
        <v>5000</v>
      </c>
      <c r="R74" s="61">
        <f>Q74/'Rooms Summary'!$Q$111</f>
        <v>0.10833062506770665</v>
      </c>
      <c r="S74" s="35"/>
      <c r="T74" s="40" t="e">
        <f t="shared" si="4"/>
        <v>#DIV/0!</v>
      </c>
    </row>
    <row r="75" spans="1:20" s="3" customFormat="1" ht="24.95" customHeight="1">
      <c r="A75" s="3" t="s">
        <v>262</v>
      </c>
      <c r="B75" s="50" t="s">
        <v>354</v>
      </c>
      <c r="D75" s="26" t="s">
        <v>263</v>
      </c>
      <c r="E75" s="63"/>
      <c r="F75" s="63"/>
      <c r="G75" s="63"/>
      <c r="H75" s="63"/>
      <c r="I75" s="63"/>
      <c r="J75" s="63"/>
      <c r="K75" s="63"/>
      <c r="L75" s="63"/>
      <c r="M75" s="63"/>
      <c r="N75" s="63"/>
      <c r="O75" s="63"/>
      <c r="P75" s="63"/>
      <c r="Q75" s="61">
        <f t="shared" si="5"/>
        <v>0</v>
      </c>
      <c r="R75" s="61">
        <f>Q75/'Rooms Summary'!$Q$111</f>
        <v>0</v>
      </c>
      <c r="S75" s="35"/>
      <c r="T75" s="40">
        <f t="shared" si="4"/>
        <v>0</v>
      </c>
    </row>
    <row r="76" spans="1:20" s="3" customFormat="1" ht="24.95" customHeight="1">
      <c r="A76" s="3" t="s">
        <v>264</v>
      </c>
      <c r="B76" s="50" t="s">
        <v>354</v>
      </c>
      <c r="D76" s="26" t="s">
        <v>265</v>
      </c>
      <c r="E76" s="63"/>
      <c r="F76" s="63"/>
      <c r="G76" s="63"/>
      <c r="H76" s="63"/>
      <c r="I76" s="63"/>
      <c r="J76" s="63"/>
      <c r="K76" s="63"/>
      <c r="L76" s="63"/>
      <c r="M76" s="63"/>
      <c r="N76" s="63"/>
      <c r="O76" s="63"/>
      <c r="P76" s="63"/>
      <c r="Q76" s="61">
        <f t="shared" si="5"/>
        <v>0</v>
      </c>
      <c r="R76" s="61">
        <f>Q76/'Rooms Summary'!$Q$111</f>
        <v>0</v>
      </c>
      <c r="S76" s="35"/>
      <c r="T76" s="40">
        <f t="shared" si="4"/>
        <v>0</v>
      </c>
    </row>
    <row r="77" spans="1:20" s="3" customFormat="1" ht="24.95" customHeight="1">
      <c r="A77" s="3" t="s">
        <v>1108</v>
      </c>
      <c r="B77" s="50" t="s">
        <v>354</v>
      </c>
      <c r="D77" s="26" t="s">
        <v>267</v>
      </c>
      <c r="E77" s="63"/>
      <c r="F77" s="63"/>
      <c r="G77" s="63"/>
      <c r="H77" s="63"/>
      <c r="I77" s="63"/>
      <c r="J77" s="63"/>
      <c r="K77" s="63"/>
      <c r="L77" s="63"/>
      <c r="M77" s="63"/>
      <c r="N77" s="63"/>
      <c r="O77" s="63"/>
      <c r="P77" s="63"/>
      <c r="Q77" s="61">
        <f t="shared" si="5"/>
        <v>0</v>
      </c>
      <c r="R77" s="61">
        <f>Q77/'Rooms Summary'!$Q$111</f>
        <v>0</v>
      </c>
      <c r="S77" s="35"/>
      <c r="T77" s="40">
        <f t="shared" si="4"/>
        <v>0</v>
      </c>
    </row>
    <row r="78" spans="1:20" s="3" customFormat="1" ht="24.95" customHeight="1">
      <c r="A78" s="3" t="s">
        <v>268</v>
      </c>
      <c r="B78" s="50" t="s">
        <v>354</v>
      </c>
      <c r="D78" s="26" t="s">
        <v>269</v>
      </c>
      <c r="E78" s="63"/>
      <c r="F78" s="63"/>
      <c r="G78" s="63"/>
      <c r="H78" s="63"/>
      <c r="I78" s="63"/>
      <c r="J78" s="63"/>
      <c r="K78" s="63"/>
      <c r="L78" s="63"/>
      <c r="M78" s="63"/>
      <c r="N78" s="63"/>
      <c r="O78" s="63"/>
      <c r="P78" s="63"/>
      <c r="Q78" s="61">
        <f t="shared" si="5"/>
        <v>0</v>
      </c>
      <c r="R78" s="61">
        <f>Q78/'Rooms Summary'!$Q$111</f>
        <v>0</v>
      </c>
      <c r="S78" s="35"/>
      <c r="T78" s="40">
        <f t="shared" si="4"/>
        <v>0</v>
      </c>
    </row>
    <row r="79" spans="1:20" s="3" customFormat="1" ht="24.95" customHeight="1">
      <c r="A79" s="3" t="s">
        <v>270</v>
      </c>
      <c r="B79" s="50" t="s">
        <v>354</v>
      </c>
      <c r="D79" s="26" t="s">
        <v>271</v>
      </c>
      <c r="E79" s="63"/>
      <c r="F79" s="63"/>
      <c r="G79" s="63"/>
      <c r="H79" s="63"/>
      <c r="I79" s="63"/>
      <c r="J79" s="63"/>
      <c r="K79" s="63"/>
      <c r="L79" s="63"/>
      <c r="M79" s="63"/>
      <c r="N79" s="63"/>
      <c r="O79" s="63"/>
      <c r="P79" s="63"/>
      <c r="Q79" s="61">
        <f t="shared" si="5"/>
        <v>0</v>
      </c>
      <c r="R79" s="61">
        <f>Q79/'Rooms Summary'!$Q$111</f>
        <v>0</v>
      </c>
      <c r="S79" s="35"/>
      <c r="T79" s="40">
        <f t="shared" si="4"/>
        <v>0</v>
      </c>
    </row>
    <row r="80" spans="1:20" s="3" customFormat="1" ht="24.95" customHeight="1">
      <c r="A80" s="3" t="s">
        <v>272</v>
      </c>
      <c r="B80" s="50" t="s">
        <v>354</v>
      </c>
      <c r="D80" s="26" t="s">
        <v>273</v>
      </c>
      <c r="E80" s="63">
        <v>400</v>
      </c>
      <c r="F80" s="63">
        <v>400</v>
      </c>
      <c r="G80" s="63">
        <v>400</v>
      </c>
      <c r="H80" s="63">
        <v>400</v>
      </c>
      <c r="I80" s="63">
        <v>400</v>
      </c>
      <c r="J80" s="63">
        <v>400</v>
      </c>
      <c r="K80" s="63">
        <v>400</v>
      </c>
      <c r="L80" s="63">
        <v>400</v>
      </c>
      <c r="M80" s="63">
        <v>400</v>
      </c>
      <c r="N80" s="63">
        <v>400</v>
      </c>
      <c r="O80" s="63">
        <v>400</v>
      </c>
      <c r="P80" s="63">
        <v>400</v>
      </c>
      <c r="Q80" s="61">
        <f t="shared" si="5"/>
        <v>4800</v>
      </c>
      <c r="R80" s="61">
        <f>Q80/'Rooms Summary'!$Q$111</f>
        <v>0.10399740006499837</v>
      </c>
      <c r="S80" s="35"/>
      <c r="T80" s="40" t="e">
        <f t="shared" si="4"/>
        <v>#DIV/0!</v>
      </c>
    </row>
    <row r="81" spans="1:20" s="3" customFormat="1" ht="24.95" customHeight="1">
      <c r="D81" s="19" t="s">
        <v>274</v>
      </c>
      <c r="E81" s="160">
        <f>SUM(E14:E80)</f>
        <v>86627.12</v>
      </c>
      <c r="F81" s="160">
        <f t="shared" ref="F81:Q81" si="6">SUM(F14:F80)</f>
        <v>71325.959999999992</v>
      </c>
      <c r="G81" s="160">
        <f t="shared" si="6"/>
        <v>90763.39</v>
      </c>
      <c r="H81" s="160">
        <f t="shared" si="6"/>
        <v>103100.55</v>
      </c>
      <c r="I81" s="160">
        <f t="shared" si="6"/>
        <v>112912.56</v>
      </c>
      <c r="J81" s="160">
        <f t="shared" si="6"/>
        <v>91604.12</v>
      </c>
      <c r="K81" s="160">
        <f t="shared" si="6"/>
        <v>97849.5</v>
      </c>
      <c r="L81" s="160">
        <f t="shared" si="6"/>
        <v>107417.8</v>
      </c>
      <c r="M81" s="160">
        <f t="shared" si="6"/>
        <v>97876.51</v>
      </c>
      <c r="N81" s="160">
        <f t="shared" si="6"/>
        <v>113124.4</v>
      </c>
      <c r="O81" s="160">
        <f t="shared" si="6"/>
        <v>97116.06</v>
      </c>
      <c r="P81" s="160">
        <f t="shared" si="6"/>
        <v>98581.07</v>
      </c>
      <c r="Q81" s="160">
        <f t="shared" si="6"/>
        <v>1168299.04</v>
      </c>
      <c r="R81" s="61">
        <f>Q81/'Rooms Summary'!$Q$111</f>
        <v>25.31251305384032</v>
      </c>
      <c r="S81" s="35"/>
      <c r="T81" s="40" t="e">
        <f t="shared" si="4"/>
        <v>#DIV/0!</v>
      </c>
    </row>
    <row r="82" spans="1:20" s="3" customFormat="1" ht="24.95" customHeight="1">
      <c r="D82" s="19" t="s">
        <v>355</v>
      </c>
      <c r="E82" s="160">
        <f>E81+E11</f>
        <v>225127.87</v>
      </c>
      <c r="F82" s="160">
        <f t="shared" ref="F82:Q82" si="7">F81+F11</f>
        <v>216268.33999999997</v>
      </c>
      <c r="G82" s="160">
        <f t="shared" si="7"/>
        <v>226043.33000000002</v>
      </c>
      <c r="H82" s="160">
        <f t="shared" si="7"/>
        <v>241601.3</v>
      </c>
      <c r="I82" s="160">
        <f t="shared" si="7"/>
        <v>251413.31</v>
      </c>
      <c r="J82" s="160">
        <f t="shared" si="7"/>
        <v>230104.87</v>
      </c>
      <c r="K82" s="160">
        <f t="shared" si="7"/>
        <v>233129.44</v>
      </c>
      <c r="L82" s="160">
        <f t="shared" si="7"/>
        <v>242697.74</v>
      </c>
      <c r="M82" s="160">
        <f t="shared" si="7"/>
        <v>236451.01</v>
      </c>
      <c r="N82" s="160">
        <f t="shared" si="7"/>
        <v>258288.02</v>
      </c>
      <c r="O82" s="160">
        <f t="shared" si="7"/>
        <v>232396</v>
      </c>
      <c r="P82" s="160">
        <f t="shared" si="7"/>
        <v>233861.01</v>
      </c>
      <c r="Q82" s="160">
        <f t="shared" si="7"/>
        <v>2827382.2399999998</v>
      </c>
      <c r="R82" s="61">
        <f>Q82/'Rooms Summary'!$Q$111</f>
        <v>61.258417072906504</v>
      </c>
      <c r="S82" s="35"/>
      <c r="T82" s="40" t="e">
        <f t="shared" si="4"/>
        <v>#DIV/0!</v>
      </c>
    </row>
    <row r="83" spans="1:20" s="3" customFormat="1" ht="24.95" customHeight="1">
      <c r="L83" s="161"/>
      <c r="S83" s="35"/>
      <c r="T83" s="115"/>
    </row>
    <row r="84" spans="1:20" s="3" customFormat="1" ht="24.95" customHeight="1">
      <c r="D84" s="19" t="s">
        <v>293</v>
      </c>
      <c r="S84" s="35"/>
      <c r="T84" s="115"/>
    </row>
    <row r="85" spans="1:20" s="3" customFormat="1" ht="24.95" customHeight="1">
      <c r="D85" s="19" t="s">
        <v>294</v>
      </c>
      <c r="L85" s="161"/>
      <c r="S85" s="35"/>
      <c r="T85" s="115"/>
    </row>
    <row r="86" spans="1:20" s="3" customFormat="1" ht="24.95" customHeight="1">
      <c r="A86" s="3" t="s">
        <v>295</v>
      </c>
      <c r="B86" s="75" t="s">
        <v>354</v>
      </c>
      <c r="D86" s="3" t="s">
        <v>297</v>
      </c>
      <c r="E86" s="61">
        <v>46000</v>
      </c>
      <c r="F86" s="61">
        <v>46000</v>
      </c>
      <c r="G86" s="61">
        <v>46000</v>
      </c>
      <c r="H86" s="61">
        <v>46000</v>
      </c>
      <c r="I86" s="61">
        <v>46000</v>
      </c>
      <c r="J86" s="61">
        <v>46000</v>
      </c>
      <c r="K86" s="61">
        <v>46000</v>
      </c>
      <c r="L86" s="61">
        <v>46000</v>
      </c>
      <c r="M86" s="61">
        <v>46000</v>
      </c>
      <c r="N86" s="61">
        <v>46000</v>
      </c>
      <c r="O86" s="61">
        <v>46000</v>
      </c>
      <c r="P86" s="61">
        <v>46000</v>
      </c>
      <c r="Q86" s="61">
        <f>SUM(E86:P86)</f>
        <v>552000</v>
      </c>
      <c r="R86" s="61">
        <f>Q86/'Rooms Summary'!$Q$111</f>
        <v>11.959701007474813</v>
      </c>
      <c r="S86" s="35"/>
      <c r="T86" s="40" t="e">
        <f>-IF(Q86-S86=0,0,(Q86-S86)/S86)</f>
        <v>#DIV/0!</v>
      </c>
    </row>
    <row r="87" spans="1:20" s="3" customFormat="1" ht="24.95" customHeight="1">
      <c r="A87" s="50" t="s">
        <v>298</v>
      </c>
      <c r="B87" s="75" t="s">
        <v>354</v>
      </c>
      <c r="D87" s="3" t="s">
        <v>300</v>
      </c>
      <c r="E87" s="61">
        <v>33000</v>
      </c>
      <c r="F87" s="61">
        <v>33000</v>
      </c>
      <c r="G87" s="61">
        <v>33000</v>
      </c>
      <c r="H87" s="61">
        <v>33000</v>
      </c>
      <c r="I87" s="61">
        <v>33000</v>
      </c>
      <c r="J87" s="61">
        <v>33000</v>
      </c>
      <c r="K87" s="61">
        <v>33000</v>
      </c>
      <c r="L87" s="61">
        <v>33000</v>
      </c>
      <c r="M87" s="61">
        <v>33000</v>
      </c>
      <c r="N87" s="61">
        <v>33000</v>
      </c>
      <c r="O87" s="61">
        <v>33000</v>
      </c>
      <c r="P87" s="61">
        <v>33000</v>
      </c>
      <c r="Q87" s="61">
        <f>SUM(E87:P87)</f>
        <v>396000</v>
      </c>
      <c r="R87" s="61">
        <f>Q87/'Rooms Summary'!$Q$111</f>
        <v>8.5797855053623664</v>
      </c>
      <c r="S87" s="35"/>
      <c r="T87" s="40" t="e">
        <f t="shared" ref="T87:T88" si="8">-IF(Q87-S87=0,0,(Q87-S87)/S87)</f>
        <v>#DIV/0!</v>
      </c>
    </row>
    <row r="88" spans="1:20" s="3" customFormat="1" ht="24.95" customHeight="1">
      <c r="D88" s="19" t="s">
        <v>305</v>
      </c>
      <c r="E88" s="160">
        <f t="shared" ref="E88:P88" si="9">SUM(E86:E87)</f>
        <v>79000</v>
      </c>
      <c r="F88" s="160">
        <f t="shared" si="9"/>
        <v>79000</v>
      </c>
      <c r="G88" s="160">
        <f t="shared" si="9"/>
        <v>79000</v>
      </c>
      <c r="H88" s="160">
        <f t="shared" si="9"/>
        <v>79000</v>
      </c>
      <c r="I88" s="160">
        <f t="shared" si="9"/>
        <v>79000</v>
      </c>
      <c r="J88" s="160">
        <f t="shared" si="9"/>
        <v>79000</v>
      </c>
      <c r="K88" s="160">
        <f t="shared" si="9"/>
        <v>79000</v>
      </c>
      <c r="L88" s="160">
        <f t="shared" si="9"/>
        <v>79000</v>
      </c>
      <c r="M88" s="160">
        <f t="shared" si="9"/>
        <v>79000</v>
      </c>
      <c r="N88" s="160">
        <f t="shared" si="9"/>
        <v>79000</v>
      </c>
      <c r="O88" s="160">
        <f t="shared" si="9"/>
        <v>79000</v>
      </c>
      <c r="P88" s="160">
        <f t="shared" si="9"/>
        <v>79000</v>
      </c>
      <c r="Q88" s="160">
        <f t="shared" ref="Q88" si="10">SUM(Q86:Q87)</f>
        <v>948000</v>
      </c>
      <c r="R88" s="61">
        <f>Q88/'Rooms Summary'!$Q$111</f>
        <v>20.539486512837179</v>
      </c>
      <c r="S88" s="35"/>
      <c r="T88" s="40" t="e">
        <f t="shared" si="8"/>
        <v>#DIV/0!</v>
      </c>
    </row>
    <row r="89" spans="1:20" s="3" customFormat="1" ht="24.95" customHeight="1">
      <c r="S89" s="35"/>
      <c r="T89" s="115"/>
    </row>
    <row r="90" spans="1:20" s="3" customFormat="1" ht="24.95" customHeight="1">
      <c r="A90" s="3" t="s">
        <v>306</v>
      </c>
      <c r="B90" s="50" t="s">
        <v>354</v>
      </c>
      <c r="D90" s="26" t="s">
        <v>307</v>
      </c>
      <c r="E90" s="61">
        <v>2949.8</v>
      </c>
      <c r="F90" s="61">
        <v>8849.4</v>
      </c>
      <c r="G90" s="61">
        <v>0</v>
      </c>
      <c r="H90" s="61">
        <v>2949.8</v>
      </c>
      <c r="I90" s="61">
        <v>2949.8</v>
      </c>
      <c r="J90" s="61">
        <v>2949.8</v>
      </c>
      <c r="K90" s="61">
        <v>0</v>
      </c>
      <c r="L90" s="61">
        <v>0</v>
      </c>
      <c r="M90" s="61">
        <v>3023.55</v>
      </c>
      <c r="N90" s="61">
        <v>9070.64</v>
      </c>
      <c r="O90" s="61">
        <v>0</v>
      </c>
      <c r="P90" s="61">
        <v>0</v>
      </c>
      <c r="Q90" s="61">
        <f t="shared" ref="Q90:Q96" si="11">SUM(E90:P90)</f>
        <v>32742.789999999997</v>
      </c>
      <c r="R90" s="61">
        <f>Q90/'Rooms Summary'!$Q$111</f>
        <v>0.70940938143213084</v>
      </c>
      <c r="S90" s="35"/>
      <c r="T90" s="40" t="e">
        <f>-IF(Q90-S90=0,0,(Q90-S90)/S90)</f>
        <v>#DIV/0!</v>
      </c>
    </row>
    <row r="91" spans="1:20" s="3" customFormat="1" ht="24.95" customHeight="1">
      <c r="A91" s="3" t="s">
        <v>308</v>
      </c>
      <c r="B91" s="50" t="s">
        <v>354</v>
      </c>
      <c r="D91" s="26" t="s">
        <v>309</v>
      </c>
      <c r="E91" s="61">
        <f>ROUND(E88/12*1.5,2)</f>
        <v>9875</v>
      </c>
      <c r="F91" s="61">
        <f t="shared" ref="F91:P91" si="12">ROUND(F88/12*1.5,2)</f>
        <v>9875</v>
      </c>
      <c r="G91" s="61">
        <f t="shared" si="12"/>
        <v>9875</v>
      </c>
      <c r="H91" s="61">
        <f t="shared" si="12"/>
        <v>9875</v>
      </c>
      <c r="I91" s="61">
        <f t="shared" si="12"/>
        <v>9875</v>
      </c>
      <c r="J91" s="61">
        <f t="shared" si="12"/>
        <v>9875</v>
      </c>
      <c r="K91" s="61">
        <f t="shared" si="12"/>
        <v>9875</v>
      </c>
      <c r="L91" s="61">
        <f t="shared" si="12"/>
        <v>9875</v>
      </c>
      <c r="M91" s="61">
        <f t="shared" si="12"/>
        <v>9875</v>
      </c>
      <c r="N91" s="61">
        <f t="shared" si="12"/>
        <v>9875</v>
      </c>
      <c r="O91" s="61">
        <f t="shared" si="12"/>
        <v>9875</v>
      </c>
      <c r="P91" s="61">
        <f t="shared" si="12"/>
        <v>9875</v>
      </c>
      <c r="Q91" s="61">
        <f t="shared" si="11"/>
        <v>118500</v>
      </c>
      <c r="R91" s="61">
        <f>Q91/'Rooms Summary'!$Q$111</f>
        <v>2.5674358141046474</v>
      </c>
      <c r="S91" s="35"/>
      <c r="T91" s="40" t="e">
        <f t="shared" ref="T91:T107" si="13">-IF(Q91-S91=0,0,(Q91-S91)/S91)</f>
        <v>#DIV/0!</v>
      </c>
    </row>
    <row r="92" spans="1:20" s="3" customFormat="1" ht="24.95" customHeight="1">
      <c r="A92" s="3" t="s">
        <v>310</v>
      </c>
      <c r="B92" s="50" t="s">
        <v>354</v>
      </c>
      <c r="D92" s="26" t="s">
        <v>311</v>
      </c>
      <c r="E92" s="61">
        <v>1700</v>
      </c>
      <c r="F92" s="61">
        <v>1700</v>
      </c>
      <c r="G92" s="61">
        <v>1700</v>
      </c>
      <c r="H92" s="61">
        <v>1700</v>
      </c>
      <c r="I92" s="61">
        <v>1700</v>
      </c>
      <c r="J92" s="61">
        <v>1700</v>
      </c>
      <c r="K92" s="61">
        <v>1700</v>
      </c>
      <c r="L92" s="61">
        <v>1700</v>
      </c>
      <c r="M92" s="61">
        <v>1700</v>
      </c>
      <c r="N92" s="61">
        <v>1700</v>
      </c>
      <c r="O92" s="61">
        <v>1700</v>
      </c>
      <c r="P92" s="61">
        <v>1700</v>
      </c>
      <c r="Q92" s="61">
        <f t="shared" si="11"/>
        <v>20400</v>
      </c>
      <c r="R92" s="61">
        <f>Q92/'Rooms Summary'!$Q$111</f>
        <v>0.44198895027624308</v>
      </c>
      <c r="S92" s="35"/>
      <c r="T92" s="40" t="e">
        <f t="shared" si="13"/>
        <v>#DIV/0!</v>
      </c>
    </row>
    <row r="93" spans="1:20" s="3" customFormat="1" ht="24.95" customHeight="1">
      <c r="A93" s="3" t="s">
        <v>312</v>
      </c>
      <c r="B93" s="50" t="s">
        <v>354</v>
      </c>
      <c r="D93" s="26" t="s">
        <v>313</v>
      </c>
      <c r="E93" s="61"/>
      <c r="F93" s="61"/>
      <c r="G93" s="61"/>
      <c r="H93" s="61"/>
      <c r="I93" s="61"/>
      <c r="J93" s="61"/>
      <c r="K93" s="61"/>
      <c r="L93" s="61"/>
      <c r="M93" s="61"/>
      <c r="N93" s="61"/>
      <c r="O93" s="61"/>
      <c r="P93" s="61"/>
      <c r="Q93" s="61">
        <f t="shared" si="11"/>
        <v>0</v>
      </c>
      <c r="R93" s="61">
        <f>Q93/'Rooms Summary'!$Q$111</f>
        <v>0</v>
      </c>
      <c r="S93" s="35"/>
      <c r="T93" s="115">
        <f t="shared" si="13"/>
        <v>0</v>
      </c>
    </row>
    <row r="94" spans="1:20" s="3" customFormat="1" ht="24.95" customHeight="1">
      <c r="A94" s="3" t="s">
        <v>314</v>
      </c>
      <c r="B94" s="50" t="s">
        <v>354</v>
      </c>
      <c r="D94" s="26" t="s">
        <v>315</v>
      </c>
      <c r="E94" s="61">
        <v>1500</v>
      </c>
      <c r="F94" s="61">
        <v>1500</v>
      </c>
      <c r="G94" s="61">
        <v>1500</v>
      </c>
      <c r="H94" s="61">
        <v>1500</v>
      </c>
      <c r="I94" s="61">
        <v>1500</v>
      </c>
      <c r="J94" s="61">
        <v>1500</v>
      </c>
      <c r="K94" s="61">
        <v>1500</v>
      </c>
      <c r="L94" s="61">
        <v>1500</v>
      </c>
      <c r="M94" s="61">
        <v>1500</v>
      </c>
      <c r="N94" s="61">
        <v>1500</v>
      </c>
      <c r="O94" s="61">
        <v>1500</v>
      </c>
      <c r="P94" s="61">
        <v>1500</v>
      </c>
      <c r="Q94" s="61">
        <f t="shared" si="11"/>
        <v>18000</v>
      </c>
      <c r="R94" s="61">
        <f>Q94/'Rooms Summary'!$Q$111</f>
        <v>0.3899902502437439</v>
      </c>
      <c r="S94" s="35"/>
      <c r="T94" s="40" t="e">
        <f t="shared" si="13"/>
        <v>#DIV/0!</v>
      </c>
    </row>
    <row r="95" spans="1:20" s="3" customFormat="1" ht="24.95" customHeight="1">
      <c r="A95" s="270" t="s">
        <v>1110</v>
      </c>
      <c r="B95" s="50" t="s">
        <v>354</v>
      </c>
      <c r="D95" s="26" t="s">
        <v>1111</v>
      </c>
      <c r="E95" s="61">
        <v>2600</v>
      </c>
      <c r="F95" s="61">
        <v>2600</v>
      </c>
      <c r="G95" s="61">
        <v>2600</v>
      </c>
      <c r="H95" s="61">
        <v>2600</v>
      </c>
      <c r="I95" s="61">
        <v>2600</v>
      </c>
      <c r="J95" s="61">
        <v>2600</v>
      </c>
      <c r="K95" s="61">
        <v>2600</v>
      </c>
      <c r="L95" s="61">
        <v>2600</v>
      </c>
      <c r="M95" s="61">
        <v>2600</v>
      </c>
      <c r="N95" s="61">
        <v>2600</v>
      </c>
      <c r="O95" s="61">
        <v>2600</v>
      </c>
      <c r="P95" s="61">
        <v>2600</v>
      </c>
      <c r="Q95" s="61">
        <f t="shared" si="11"/>
        <v>31200</v>
      </c>
      <c r="R95" s="61">
        <f>Q95/'Rooms Summary'!$Q$111</f>
        <v>0.67598310042248944</v>
      </c>
      <c r="S95" s="35"/>
      <c r="T95" s="40" t="e">
        <f t="shared" ref="T95" si="14">-IF(Q95-S95=0,0,(Q95-S95)/S95)</f>
        <v>#DIV/0!</v>
      </c>
    </row>
    <row r="96" spans="1:20" s="3" customFormat="1" ht="24.95" customHeight="1">
      <c r="A96" s="270" t="s">
        <v>1110</v>
      </c>
      <c r="B96" s="50" t="s">
        <v>354</v>
      </c>
      <c r="D96" s="26" t="s">
        <v>1112</v>
      </c>
      <c r="E96" s="61"/>
      <c r="F96" s="61"/>
      <c r="G96" s="61"/>
      <c r="H96" s="61"/>
      <c r="I96" s="61"/>
      <c r="J96" s="61"/>
      <c r="K96" s="61"/>
      <c r="L96" s="61"/>
      <c r="M96" s="61"/>
      <c r="N96" s="61"/>
      <c r="O96" s="61"/>
      <c r="P96" s="61"/>
      <c r="Q96" s="61">
        <f t="shared" si="11"/>
        <v>0</v>
      </c>
      <c r="R96" s="61">
        <f>Q96/'Rooms Summary'!$Q$111</f>
        <v>0</v>
      </c>
      <c r="S96" s="35"/>
      <c r="T96" s="40">
        <f t="shared" si="13"/>
        <v>0</v>
      </c>
    </row>
    <row r="97" spans="1:20" s="3" customFormat="1" ht="24.95" customHeight="1">
      <c r="D97" s="19" t="s">
        <v>316</v>
      </c>
      <c r="E97" s="160">
        <f t="shared" ref="E97:P97" si="15">SUM(E90:E96)</f>
        <v>18624.8</v>
      </c>
      <c r="F97" s="160">
        <f t="shared" si="15"/>
        <v>24524.400000000001</v>
      </c>
      <c r="G97" s="160">
        <f t="shared" si="15"/>
        <v>15675</v>
      </c>
      <c r="H97" s="160">
        <f t="shared" si="15"/>
        <v>18624.8</v>
      </c>
      <c r="I97" s="160">
        <f t="shared" si="15"/>
        <v>18624.8</v>
      </c>
      <c r="J97" s="160">
        <f t="shared" si="15"/>
        <v>18624.8</v>
      </c>
      <c r="K97" s="160">
        <f t="shared" si="15"/>
        <v>15675</v>
      </c>
      <c r="L97" s="160">
        <f t="shared" si="15"/>
        <v>15675</v>
      </c>
      <c r="M97" s="160">
        <f t="shared" si="15"/>
        <v>18698.55</v>
      </c>
      <c r="N97" s="160">
        <f t="shared" si="15"/>
        <v>24745.64</v>
      </c>
      <c r="O97" s="160">
        <f t="shared" si="15"/>
        <v>15675</v>
      </c>
      <c r="P97" s="160">
        <f t="shared" si="15"/>
        <v>15675</v>
      </c>
      <c r="Q97" s="160">
        <f t="shared" ref="Q97" si="16">SUM(Q90:Q96)</f>
        <v>220842.79</v>
      </c>
      <c r="R97" s="61">
        <f>Q97/'Rooms Summary'!$Q$111</f>
        <v>4.7848074964792549</v>
      </c>
      <c r="S97" s="35"/>
      <c r="T97" s="40" t="e">
        <f t="shared" si="13"/>
        <v>#DIV/0!</v>
      </c>
    </row>
    <row r="98" spans="1:20" s="3" customFormat="1" ht="24.95" customHeight="1">
      <c r="S98" s="35"/>
      <c r="T98" s="115"/>
    </row>
    <row r="99" spans="1:20" s="3" customFormat="1" ht="24.95" customHeight="1">
      <c r="A99" s="3" t="s">
        <v>317</v>
      </c>
      <c r="B99" s="50" t="s">
        <v>354</v>
      </c>
      <c r="D99" s="26" t="s">
        <v>318</v>
      </c>
      <c r="E99" s="61">
        <v>12848.32</v>
      </c>
      <c r="F99" s="61">
        <v>12848.32</v>
      </c>
      <c r="G99" s="61">
        <v>12848.32</v>
      </c>
      <c r="H99" s="61">
        <v>12848.32</v>
      </c>
      <c r="I99" s="61">
        <v>12848.32</v>
      </c>
      <c r="J99" s="61">
        <v>12848.32</v>
      </c>
      <c r="K99" s="61">
        <v>12848.32</v>
      </c>
      <c r="L99" s="61">
        <v>12848.32</v>
      </c>
      <c r="M99" s="61">
        <v>12848.32</v>
      </c>
      <c r="N99" s="61">
        <v>12848.32</v>
      </c>
      <c r="O99" s="61">
        <v>12848.32</v>
      </c>
      <c r="P99" s="61">
        <v>12848.32</v>
      </c>
      <c r="Q99" s="61">
        <f t="shared" ref="Q99:Q106" si="17">SUM(E99:P99)</f>
        <v>154179.84000000003</v>
      </c>
      <c r="R99" s="61">
        <f>Q99/'Rooms Summary'!$Q$111</f>
        <v>3.3404796880078003</v>
      </c>
      <c r="S99" s="35"/>
      <c r="T99" s="40" t="e">
        <f t="shared" si="13"/>
        <v>#DIV/0!</v>
      </c>
    </row>
    <row r="100" spans="1:20" s="3" customFormat="1" ht="24.95" customHeight="1">
      <c r="A100" s="3" t="s">
        <v>319</v>
      </c>
      <c r="B100" s="50" t="s">
        <v>354</v>
      </c>
      <c r="D100" s="26" t="s">
        <v>320</v>
      </c>
      <c r="E100" s="61">
        <v>5621.14</v>
      </c>
      <c r="F100" s="61">
        <v>5621.14</v>
      </c>
      <c r="G100" s="61">
        <v>5621.14</v>
      </c>
      <c r="H100" s="61">
        <v>5621.14</v>
      </c>
      <c r="I100" s="61">
        <v>5621.14</v>
      </c>
      <c r="J100" s="61">
        <v>5621.14</v>
      </c>
      <c r="K100" s="61">
        <v>5621.14</v>
      </c>
      <c r="L100" s="61">
        <v>5621.14</v>
      </c>
      <c r="M100" s="61">
        <v>5621.14</v>
      </c>
      <c r="N100" s="61">
        <v>5621.14</v>
      </c>
      <c r="O100" s="61">
        <v>5621.14</v>
      </c>
      <c r="P100" s="61">
        <v>5621.14</v>
      </c>
      <c r="Q100" s="61">
        <f t="shared" si="17"/>
        <v>67453.680000000008</v>
      </c>
      <c r="R100" s="61">
        <f>Q100/'Rooms Summary'!$Q$111</f>
        <v>1.4614598635034126</v>
      </c>
      <c r="S100" s="35"/>
      <c r="T100" s="40" t="e">
        <f t="shared" si="13"/>
        <v>#DIV/0!</v>
      </c>
    </row>
    <row r="101" spans="1:20" s="3" customFormat="1" ht="24.95" customHeight="1">
      <c r="A101" s="3" t="s">
        <v>321</v>
      </c>
      <c r="B101" s="50" t="s">
        <v>354</v>
      </c>
      <c r="D101" s="26" t="s">
        <v>322</v>
      </c>
      <c r="E101" s="61">
        <v>401.53</v>
      </c>
      <c r="F101" s="61">
        <v>401.53</v>
      </c>
      <c r="G101" s="61">
        <v>401.53</v>
      </c>
      <c r="H101" s="61">
        <v>401.53</v>
      </c>
      <c r="I101" s="61">
        <v>401.53</v>
      </c>
      <c r="J101" s="61">
        <v>401.53</v>
      </c>
      <c r="K101" s="61">
        <v>401.53</v>
      </c>
      <c r="L101" s="61">
        <v>401.53</v>
      </c>
      <c r="M101" s="61">
        <v>401.53</v>
      </c>
      <c r="N101" s="61">
        <v>401.53</v>
      </c>
      <c r="O101" s="61">
        <v>401.53</v>
      </c>
      <c r="P101" s="61">
        <v>401.53</v>
      </c>
      <c r="Q101" s="61">
        <f t="shared" si="17"/>
        <v>4818.3599999999988</v>
      </c>
      <c r="R101" s="61">
        <f>Q101/'Rooms Summary'!$Q$111</f>
        <v>0.10439519012024696</v>
      </c>
      <c r="S101" s="35"/>
      <c r="T101" s="40" t="e">
        <f t="shared" si="13"/>
        <v>#DIV/0!</v>
      </c>
    </row>
    <row r="102" spans="1:20" s="3" customFormat="1" ht="24.95" customHeight="1">
      <c r="A102" s="3" t="s">
        <v>323</v>
      </c>
      <c r="B102" s="50" t="s">
        <v>354</v>
      </c>
      <c r="D102" s="26" t="s">
        <v>324</v>
      </c>
      <c r="E102" s="61">
        <v>321.20999999999992</v>
      </c>
      <c r="F102" s="61">
        <v>321.20999999999992</v>
      </c>
      <c r="G102" s="61">
        <v>321.20999999999992</v>
      </c>
      <c r="H102" s="61">
        <v>321.20999999999992</v>
      </c>
      <c r="I102" s="61">
        <v>321.20999999999992</v>
      </c>
      <c r="J102" s="61">
        <v>321.20999999999992</v>
      </c>
      <c r="K102" s="61">
        <v>321.20999999999992</v>
      </c>
      <c r="L102" s="61">
        <v>321.20999999999992</v>
      </c>
      <c r="M102" s="61">
        <v>321.20999999999992</v>
      </c>
      <c r="N102" s="61">
        <v>321.20999999999992</v>
      </c>
      <c r="O102" s="61">
        <v>321.20999999999992</v>
      </c>
      <c r="P102" s="61">
        <v>321.20999999999992</v>
      </c>
      <c r="Q102" s="61">
        <f t="shared" si="17"/>
        <v>3854.52</v>
      </c>
      <c r="R102" s="61">
        <f>Q102/'Rooms Summary'!$Q$111</f>
        <v>8.3512512187195326E-2</v>
      </c>
      <c r="S102" s="35"/>
      <c r="T102" s="40" t="e">
        <f t="shared" si="13"/>
        <v>#DIV/0!</v>
      </c>
    </row>
    <row r="103" spans="1:20" s="3" customFormat="1" ht="24.95" customHeight="1">
      <c r="A103" s="3" t="s">
        <v>325</v>
      </c>
      <c r="B103" s="50" t="s">
        <v>354</v>
      </c>
      <c r="D103" s="26" t="s">
        <v>326</v>
      </c>
      <c r="E103" s="61">
        <v>642.40999999999985</v>
      </c>
      <c r="F103" s="61">
        <v>642.40999999999985</v>
      </c>
      <c r="G103" s="61">
        <v>642.40999999999985</v>
      </c>
      <c r="H103" s="61">
        <v>642.40999999999985</v>
      </c>
      <c r="I103" s="61">
        <v>642.40999999999985</v>
      </c>
      <c r="J103" s="61">
        <v>642.40999999999985</v>
      </c>
      <c r="K103" s="61">
        <v>642.40999999999985</v>
      </c>
      <c r="L103" s="61">
        <v>642.40999999999985</v>
      </c>
      <c r="M103" s="61">
        <v>642.40999999999985</v>
      </c>
      <c r="N103" s="61">
        <v>642.40999999999985</v>
      </c>
      <c r="O103" s="61">
        <v>642.40999999999985</v>
      </c>
      <c r="P103" s="61">
        <v>642.40999999999985</v>
      </c>
      <c r="Q103" s="61">
        <f t="shared" si="17"/>
        <v>7708.9199999999983</v>
      </c>
      <c r="R103" s="61">
        <f>Q103/'Rooms Summary'!$Q$111</f>
        <v>0.16702242443938897</v>
      </c>
      <c r="S103" s="35"/>
      <c r="T103" s="40" t="e">
        <f t="shared" si="13"/>
        <v>#DIV/0!</v>
      </c>
    </row>
    <row r="104" spans="1:20" s="3" customFormat="1" ht="24.95" customHeight="1">
      <c r="A104" s="3" t="s">
        <v>327</v>
      </c>
      <c r="B104" s="50" t="s">
        <v>354</v>
      </c>
      <c r="D104" s="26" t="s">
        <v>328</v>
      </c>
      <c r="E104" s="61">
        <v>7482.5</v>
      </c>
      <c r="F104" s="61">
        <v>7482.5</v>
      </c>
      <c r="G104" s="61">
        <v>7482.5</v>
      </c>
      <c r="H104" s="61">
        <v>7482.5</v>
      </c>
      <c r="I104" s="61">
        <v>7482.5</v>
      </c>
      <c r="J104" s="61">
        <v>7482.5</v>
      </c>
      <c r="K104" s="61">
        <v>7482.5</v>
      </c>
      <c r="L104" s="61">
        <v>7482.5</v>
      </c>
      <c r="M104" s="61">
        <v>7482.5</v>
      </c>
      <c r="N104" s="61">
        <v>7482.5</v>
      </c>
      <c r="O104" s="61">
        <v>7482.5</v>
      </c>
      <c r="P104" s="61">
        <v>7482.5</v>
      </c>
      <c r="Q104" s="61">
        <f t="shared" si="17"/>
        <v>89790</v>
      </c>
      <c r="R104" s="61">
        <f>Q104/'Rooms Summary'!$Q$111</f>
        <v>1.9454013649658759</v>
      </c>
      <c r="S104" s="35"/>
      <c r="T104" s="40" t="e">
        <f t="shared" si="13"/>
        <v>#DIV/0!</v>
      </c>
    </row>
    <row r="105" spans="1:20" s="3" customFormat="1" ht="24.95" customHeight="1">
      <c r="A105" s="3" t="s">
        <v>329</v>
      </c>
      <c r="B105" s="50" t="s">
        <v>354</v>
      </c>
      <c r="D105" s="26" t="s">
        <v>330</v>
      </c>
      <c r="E105" s="61">
        <f>ROUND(E88*0.02,2)</f>
        <v>1580</v>
      </c>
      <c r="F105" s="61">
        <f t="shared" ref="F105:P105" si="18">ROUND(F88*0.02,2)</f>
        <v>1580</v>
      </c>
      <c r="G105" s="61">
        <f t="shared" si="18"/>
        <v>1580</v>
      </c>
      <c r="H105" s="61">
        <f t="shared" si="18"/>
        <v>1580</v>
      </c>
      <c r="I105" s="61">
        <f t="shared" si="18"/>
        <v>1580</v>
      </c>
      <c r="J105" s="61">
        <f t="shared" si="18"/>
        <v>1580</v>
      </c>
      <c r="K105" s="61">
        <f t="shared" si="18"/>
        <v>1580</v>
      </c>
      <c r="L105" s="61">
        <f t="shared" si="18"/>
        <v>1580</v>
      </c>
      <c r="M105" s="61">
        <f t="shared" si="18"/>
        <v>1580</v>
      </c>
      <c r="N105" s="61">
        <f t="shared" si="18"/>
        <v>1580</v>
      </c>
      <c r="O105" s="61">
        <f t="shared" si="18"/>
        <v>1580</v>
      </c>
      <c r="P105" s="61">
        <f t="shared" si="18"/>
        <v>1580</v>
      </c>
      <c r="Q105" s="61">
        <f t="shared" si="17"/>
        <v>18960</v>
      </c>
      <c r="R105" s="61">
        <f>Q105/'Rooms Summary'!$Q$111</f>
        <v>0.41078973025674359</v>
      </c>
      <c r="S105" s="35"/>
      <c r="T105" s="115"/>
    </row>
    <row r="106" spans="1:20" s="3" customFormat="1" ht="24.95" customHeight="1">
      <c r="A106" s="3" t="s">
        <v>331</v>
      </c>
      <c r="B106" s="50" t="s">
        <v>354</v>
      </c>
      <c r="D106" s="26" t="s">
        <v>332</v>
      </c>
      <c r="E106" s="61"/>
      <c r="F106" s="61"/>
      <c r="G106" s="61"/>
      <c r="H106" s="61"/>
      <c r="I106" s="61"/>
      <c r="J106" s="61"/>
      <c r="K106" s="61"/>
      <c r="L106" s="61"/>
      <c r="M106" s="61"/>
      <c r="N106" s="61"/>
      <c r="O106" s="61"/>
      <c r="P106" s="61"/>
      <c r="Q106" s="61">
        <f t="shared" si="17"/>
        <v>0</v>
      </c>
      <c r="R106" s="61">
        <f>Q106/'Rooms Summary'!$Q$111</f>
        <v>0</v>
      </c>
      <c r="S106" s="35"/>
      <c r="T106" s="115"/>
    </row>
    <row r="107" spans="1:20" s="3" customFormat="1" ht="24.95" customHeight="1">
      <c r="D107" s="19" t="s">
        <v>333</v>
      </c>
      <c r="E107" s="160">
        <f t="shared" ref="E107:P107" si="19">SUM(E99:E106)</f>
        <v>28897.109999999997</v>
      </c>
      <c r="F107" s="160">
        <f t="shared" si="19"/>
        <v>28897.109999999997</v>
      </c>
      <c r="G107" s="160">
        <f t="shared" si="19"/>
        <v>28897.109999999997</v>
      </c>
      <c r="H107" s="160">
        <f t="shared" si="19"/>
        <v>28897.109999999997</v>
      </c>
      <c r="I107" s="160">
        <f t="shared" si="19"/>
        <v>28897.109999999997</v>
      </c>
      <c r="J107" s="160">
        <f t="shared" si="19"/>
        <v>28897.109999999997</v>
      </c>
      <c r="K107" s="160">
        <f t="shared" si="19"/>
        <v>28897.109999999997</v>
      </c>
      <c r="L107" s="160">
        <f t="shared" si="19"/>
        <v>28897.109999999997</v>
      </c>
      <c r="M107" s="160">
        <f t="shared" si="19"/>
        <v>28897.109999999997</v>
      </c>
      <c r="N107" s="160">
        <f t="shared" si="19"/>
        <v>28897.109999999997</v>
      </c>
      <c r="O107" s="160">
        <f t="shared" si="19"/>
        <v>28897.109999999997</v>
      </c>
      <c r="P107" s="160">
        <f t="shared" si="19"/>
        <v>28897.109999999997</v>
      </c>
      <c r="Q107" s="160">
        <f t="shared" ref="Q107" si="20">SUM(Q99:Q106)</f>
        <v>346765.32</v>
      </c>
      <c r="R107" s="61">
        <f>Q107/'Rooms Summary'!$Q$111</f>
        <v>7.5130607734806629</v>
      </c>
      <c r="S107" s="35"/>
      <c r="T107" s="40" t="e">
        <f t="shared" si="13"/>
        <v>#DIV/0!</v>
      </c>
    </row>
    <row r="108" spans="1:20" s="3" customFormat="1" ht="24.95" customHeight="1">
      <c r="S108" s="35"/>
      <c r="T108" s="115"/>
    </row>
    <row r="109" spans="1:20" s="3" customFormat="1" ht="24.95" customHeight="1">
      <c r="A109" s="3" t="s">
        <v>334</v>
      </c>
      <c r="B109" s="50" t="s">
        <v>354</v>
      </c>
      <c r="D109" s="26" t="s">
        <v>335</v>
      </c>
      <c r="E109" s="61"/>
      <c r="F109" s="61"/>
      <c r="G109" s="61"/>
      <c r="H109" s="61"/>
      <c r="I109" s="61"/>
      <c r="J109" s="61"/>
      <c r="K109" s="61"/>
      <c r="L109" s="61"/>
      <c r="M109" s="61"/>
      <c r="N109" s="61"/>
      <c r="O109" s="61"/>
      <c r="P109" s="61"/>
      <c r="Q109" s="61">
        <f t="shared" ref="Q109:Q112" si="21">SUM(E109:P109)</f>
        <v>0</v>
      </c>
      <c r="R109" s="61">
        <f>Q109/'Rooms Summary'!$Q$111</f>
        <v>0</v>
      </c>
      <c r="S109" s="35"/>
      <c r="T109" s="115"/>
    </row>
    <row r="110" spans="1:20" s="3" customFormat="1" ht="24.95" customHeight="1">
      <c r="A110" s="3" t="s">
        <v>336</v>
      </c>
      <c r="B110" s="50" t="s">
        <v>354</v>
      </c>
      <c r="D110" s="3" t="s">
        <v>337</v>
      </c>
      <c r="E110" s="61"/>
      <c r="F110" s="61"/>
      <c r="G110" s="61"/>
      <c r="H110" s="61"/>
      <c r="I110" s="61"/>
      <c r="J110" s="61"/>
      <c r="K110" s="61"/>
      <c r="L110" s="61"/>
      <c r="M110" s="61"/>
      <c r="N110" s="61"/>
      <c r="O110" s="61"/>
      <c r="P110" s="61"/>
      <c r="Q110" s="61">
        <f t="shared" si="21"/>
        <v>0</v>
      </c>
      <c r="R110" s="61">
        <f>Q110/'Rooms Summary'!$Q$111</f>
        <v>0</v>
      </c>
      <c r="S110" s="35"/>
      <c r="T110" s="115"/>
    </row>
    <row r="111" spans="1:20" s="3" customFormat="1" ht="24.95" customHeight="1">
      <c r="A111" s="3" t="s">
        <v>338</v>
      </c>
      <c r="B111" s="50" t="s">
        <v>354</v>
      </c>
      <c r="D111" s="26" t="s">
        <v>339</v>
      </c>
      <c r="E111" s="61"/>
      <c r="F111" s="61"/>
      <c r="G111" s="61"/>
      <c r="H111" s="61"/>
      <c r="I111" s="61"/>
      <c r="J111" s="61"/>
      <c r="K111" s="61"/>
      <c r="L111" s="61"/>
      <c r="M111" s="61"/>
      <c r="N111" s="61"/>
      <c r="O111" s="61"/>
      <c r="P111" s="61"/>
      <c r="Q111" s="61">
        <f t="shared" si="21"/>
        <v>0</v>
      </c>
      <c r="R111" s="61">
        <f>Q111/'Rooms Summary'!$Q$111</f>
        <v>0</v>
      </c>
      <c r="S111" s="35"/>
      <c r="T111" s="115"/>
    </row>
    <row r="112" spans="1:20" s="3" customFormat="1" ht="24.95" customHeight="1">
      <c r="A112" s="3" t="s">
        <v>340</v>
      </c>
      <c r="B112" s="50" t="s">
        <v>354</v>
      </c>
      <c r="D112" s="26" t="s">
        <v>341</v>
      </c>
      <c r="E112" s="61"/>
      <c r="F112" s="61"/>
      <c r="G112" s="61"/>
      <c r="H112" s="61"/>
      <c r="I112" s="61"/>
      <c r="J112" s="61"/>
      <c r="K112" s="61"/>
      <c r="L112" s="61"/>
      <c r="M112" s="61"/>
      <c r="N112" s="61"/>
      <c r="O112" s="61"/>
      <c r="P112" s="61"/>
      <c r="Q112" s="61">
        <f t="shared" si="21"/>
        <v>0</v>
      </c>
      <c r="R112" s="61">
        <f>Q112/'Rooms Summary'!$Q$111</f>
        <v>0</v>
      </c>
      <c r="S112" s="35"/>
      <c r="T112" s="115"/>
    </row>
    <row r="113" spans="1:20" s="3" customFormat="1" ht="24.95" customHeight="1">
      <c r="A113" s="3" t="s">
        <v>342</v>
      </c>
      <c r="B113" s="50" t="s">
        <v>354</v>
      </c>
      <c r="D113" s="26" t="s">
        <v>343</v>
      </c>
      <c r="E113" s="61"/>
      <c r="F113" s="61"/>
      <c r="G113" s="27"/>
      <c r="H113" s="61"/>
      <c r="I113" s="61"/>
      <c r="J113" s="61"/>
      <c r="K113" s="61"/>
      <c r="L113" s="61"/>
      <c r="M113" s="61"/>
      <c r="N113" s="61"/>
      <c r="O113" s="61"/>
      <c r="P113" s="61"/>
      <c r="Q113" s="61">
        <f>SUM(E113:P113)</f>
        <v>0</v>
      </c>
      <c r="R113" s="61">
        <f>Q113/'Rooms Summary'!$Q$111</f>
        <v>0</v>
      </c>
      <c r="S113" s="35"/>
      <c r="T113" s="40">
        <f>-IF(Q113-S113=0,0,(Q113-S113)/S113)</f>
        <v>0</v>
      </c>
    </row>
    <row r="114" spans="1:20" s="3" customFormat="1" ht="24.95" customHeight="1">
      <c r="A114" s="3" t="s">
        <v>344</v>
      </c>
      <c r="B114" s="50" t="s">
        <v>354</v>
      </c>
      <c r="D114" s="26" t="s">
        <v>345</v>
      </c>
      <c r="E114" s="61"/>
      <c r="F114" s="61"/>
      <c r="G114" s="61"/>
      <c r="H114" s="61"/>
      <c r="I114" s="61"/>
      <c r="J114" s="61"/>
      <c r="K114" s="61"/>
      <c r="L114" s="61"/>
      <c r="M114" s="61"/>
      <c r="N114" s="61"/>
      <c r="O114" s="61"/>
      <c r="P114" s="61"/>
      <c r="Q114" s="61">
        <f>SUM(E114:P114)</f>
        <v>0</v>
      </c>
      <c r="R114" s="61">
        <f>Q114/'Rooms Summary'!$Q$111</f>
        <v>0</v>
      </c>
      <c r="S114" s="35"/>
      <c r="T114" s="40">
        <f t="shared" ref="T114:T117" si="22">-IF(Q114-S114=0,0,(Q114-S114)/S114)</f>
        <v>0</v>
      </c>
    </row>
    <row r="115" spans="1:20" s="3" customFormat="1" ht="24.95" customHeight="1">
      <c r="A115" s="3" t="s">
        <v>346</v>
      </c>
      <c r="B115" s="50" t="s">
        <v>354</v>
      </c>
      <c r="D115" s="26" t="s">
        <v>347</v>
      </c>
      <c r="E115" s="61">
        <f>'Staff Canteen'!E200</f>
        <v>11978.84</v>
      </c>
      <c r="F115" s="61">
        <f>'Staff Canteen'!F200</f>
        <v>12520.87</v>
      </c>
      <c r="G115" s="61">
        <f>'Staff Canteen'!G200</f>
        <v>11707.83</v>
      </c>
      <c r="H115" s="61">
        <f>'Staff Canteen'!H200</f>
        <v>11978.84</v>
      </c>
      <c r="I115" s="61">
        <f>'Staff Canteen'!I200</f>
        <v>11978.84</v>
      </c>
      <c r="J115" s="61">
        <f>'Staff Canteen'!J200</f>
        <v>11978.84</v>
      </c>
      <c r="K115" s="61">
        <f>'Staff Canteen'!K200</f>
        <v>11707.83</v>
      </c>
      <c r="L115" s="61">
        <f>'Staff Canteen'!L200</f>
        <v>11707.83</v>
      </c>
      <c r="M115" s="61">
        <f>'Staff Canteen'!M200</f>
        <v>11978.84</v>
      </c>
      <c r="N115" s="61">
        <f>'Staff Canteen'!N200</f>
        <v>12520.87</v>
      </c>
      <c r="O115" s="61">
        <f>'Staff Canteen'!O200</f>
        <v>11707.83</v>
      </c>
      <c r="P115" s="61">
        <f>'Staff Canteen'!P200</f>
        <v>11707.83</v>
      </c>
      <c r="Q115" s="61">
        <f>SUM(E115:P115)</f>
        <v>143475.08999999997</v>
      </c>
      <c r="R115" s="61">
        <f>Q115/'Rooms Summary'!$Q$111</f>
        <v>3.1085492362690927</v>
      </c>
      <c r="S115" s="35"/>
      <c r="T115" s="40" t="e">
        <f t="shared" si="22"/>
        <v>#DIV/0!</v>
      </c>
    </row>
    <row r="116" spans="1:20" s="3" customFormat="1" ht="24.95" customHeight="1">
      <c r="B116" s="50"/>
      <c r="D116" s="19" t="s">
        <v>348</v>
      </c>
      <c r="E116" s="160">
        <f t="shared" ref="E116:Q116" si="23">SUM(E109:E115)</f>
        <v>11978.84</v>
      </c>
      <c r="F116" s="160">
        <f t="shared" si="23"/>
        <v>12520.87</v>
      </c>
      <c r="G116" s="160">
        <f t="shared" si="23"/>
        <v>11707.83</v>
      </c>
      <c r="H116" s="160">
        <f t="shared" si="23"/>
        <v>11978.84</v>
      </c>
      <c r="I116" s="160">
        <f t="shared" si="23"/>
        <v>11978.84</v>
      </c>
      <c r="J116" s="160">
        <f t="shared" si="23"/>
        <v>11978.84</v>
      </c>
      <c r="K116" s="160">
        <f t="shared" si="23"/>
        <v>11707.83</v>
      </c>
      <c r="L116" s="160">
        <f t="shared" si="23"/>
        <v>11707.83</v>
      </c>
      <c r="M116" s="160">
        <f t="shared" si="23"/>
        <v>11978.84</v>
      </c>
      <c r="N116" s="160">
        <f t="shared" si="23"/>
        <v>12520.87</v>
      </c>
      <c r="O116" s="160">
        <f t="shared" si="23"/>
        <v>11707.83</v>
      </c>
      <c r="P116" s="160">
        <f t="shared" si="23"/>
        <v>11707.83</v>
      </c>
      <c r="Q116" s="160">
        <f t="shared" si="23"/>
        <v>143475.08999999997</v>
      </c>
      <c r="R116" s="61">
        <f>Q116/'Rooms Summary'!$Q$111</f>
        <v>3.1085492362690927</v>
      </c>
      <c r="S116" s="35"/>
      <c r="T116" s="40" t="e">
        <f t="shared" si="22"/>
        <v>#DIV/0!</v>
      </c>
    </row>
    <row r="117" spans="1:20" s="3" customFormat="1" ht="24.95" customHeight="1">
      <c r="D117" s="19" t="s">
        <v>349</v>
      </c>
      <c r="E117" s="160">
        <f t="shared" ref="E117:Q117" si="24">E88+E97+E107+E116</f>
        <v>138500.75</v>
      </c>
      <c r="F117" s="160">
        <f t="shared" si="24"/>
        <v>144942.37999999998</v>
      </c>
      <c r="G117" s="160">
        <f t="shared" si="24"/>
        <v>135279.94</v>
      </c>
      <c r="H117" s="160">
        <f t="shared" si="24"/>
        <v>138500.75</v>
      </c>
      <c r="I117" s="160">
        <f t="shared" si="24"/>
        <v>138500.75</v>
      </c>
      <c r="J117" s="160">
        <f t="shared" si="24"/>
        <v>138500.75</v>
      </c>
      <c r="K117" s="160">
        <f t="shared" si="24"/>
        <v>135279.94</v>
      </c>
      <c r="L117" s="160">
        <f t="shared" si="24"/>
        <v>135279.94</v>
      </c>
      <c r="M117" s="160">
        <f t="shared" si="24"/>
        <v>138574.5</v>
      </c>
      <c r="N117" s="160">
        <f t="shared" si="24"/>
        <v>145163.62</v>
      </c>
      <c r="O117" s="160">
        <f t="shared" si="24"/>
        <v>135279.94</v>
      </c>
      <c r="P117" s="160">
        <f t="shared" si="24"/>
        <v>135279.94</v>
      </c>
      <c r="Q117" s="160">
        <f t="shared" si="24"/>
        <v>1659083.2000000002</v>
      </c>
      <c r="R117" s="61">
        <f>Q117/'Rooms Summary'!$Q$111</f>
        <v>35.945904019066191</v>
      </c>
      <c r="S117" s="35"/>
      <c r="T117" s="40" t="e">
        <f t="shared" si="22"/>
        <v>#DIV/0!</v>
      </c>
    </row>
    <row r="118" spans="1:20" s="42" customFormat="1" ht="24.95" customHeight="1">
      <c r="A118" s="42" t="s">
        <v>350</v>
      </c>
      <c r="D118" s="42" t="s">
        <v>351</v>
      </c>
      <c r="Q118" s="42">
        <f>Q117-Q95-Q96</f>
        <v>1627883.2000000002</v>
      </c>
      <c r="S118" s="35"/>
      <c r="T118" s="115"/>
    </row>
    <row r="119" spans="1:20" s="42" customFormat="1" ht="24.95" customHeight="1">
      <c r="S119" s="35"/>
      <c r="T119" s="115"/>
    </row>
    <row r="120" spans="1:20" s="3" customFormat="1" ht="24.95" customHeight="1">
      <c r="A120" s="189" t="s">
        <v>105</v>
      </c>
      <c r="B120" s="75" t="s">
        <v>354</v>
      </c>
      <c r="D120" s="19" t="s">
        <v>352</v>
      </c>
      <c r="E120" s="68">
        <v>15</v>
      </c>
      <c r="F120" s="68">
        <v>15</v>
      </c>
      <c r="G120" s="68">
        <v>15</v>
      </c>
      <c r="H120" s="68">
        <v>15</v>
      </c>
      <c r="I120" s="68">
        <v>15</v>
      </c>
      <c r="J120" s="68">
        <v>15</v>
      </c>
      <c r="K120" s="68">
        <v>15</v>
      </c>
      <c r="L120" s="68">
        <v>15</v>
      </c>
      <c r="M120" s="68">
        <v>15</v>
      </c>
      <c r="N120" s="68">
        <v>15</v>
      </c>
      <c r="O120" s="68">
        <v>15</v>
      </c>
      <c r="P120" s="68">
        <v>15</v>
      </c>
      <c r="Q120" s="68">
        <v>15</v>
      </c>
      <c r="S120" s="35"/>
      <c r="T120" s="40" t="e">
        <f>-IF(Q120-S120=0,0,(Q120-S120)/S120)</f>
        <v>#DIV/0!</v>
      </c>
    </row>
    <row r="122" spans="1:20" ht="26.25" customHeight="1">
      <c r="D122" s="59"/>
    </row>
  </sheetData>
  <phoneticPr fontId="57" type="noConversion"/>
  <dataValidations count="56">
    <dataValidation type="textLength" errorStyle="information" allowBlank="1" showInputMessage="1" showErrorMessage="1" sqref="E83:E85 F83:I83 F85:I85 F84:P84">
      <formula1>0</formula1>
      <formula2>300</formula2>
    </dataValidation>
    <dataValidation type="textLength" errorStyle="information" allowBlank="1" showInputMessage="1" showErrorMessage="1" error="XLBVal:6=15581.42_x000d__x000a_" sqref="E91:P91">
      <formula1>0</formula1>
      <formula2>300</formula2>
    </dataValidation>
    <dataValidation type="textLength" errorStyle="information" allowBlank="1" showInputMessage="1" showErrorMessage="1" error="XLBVal:6=3293096_x000d__x000a_" sqref="Q21">
      <formula1>0</formula1>
      <formula2>300</formula2>
    </dataValidation>
    <dataValidation type="textLength" errorStyle="information" allowBlank="1" showInputMessage="1" showErrorMessage="1" error="XLBVal:6=1439748_x000d__x000a_" sqref="Q99">
      <formula1>0</formula1>
      <formula2>300</formula2>
    </dataValidation>
    <dataValidation type="textLength" errorStyle="information" allowBlank="1" showInputMessage="1" showErrorMessage="1" error="XLBVal:6=265776_x000d__x000a_" sqref="Q80">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226546.19_x000d__x000a_" sqref="E11:P11">
      <formula1>0</formula1>
      <formula2>300</formula2>
    </dataValidation>
    <dataValidation type="textLength" errorStyle="information" allowBlank="1" showInputMessage="1" showErrorMessage="1" error="XLBVal:6=18155331_x000d__x000a_" sqref="Q11">
      <formula1>0</formula1>
      <formula2>300</formula2>
    </dataValidation>
    <dataValidation type="textLength" errorStyle="information" allowBlank="1" showInputMessage="1" showErrorMessage="1" error="XLBVal:6=0_x000d__x000a_" sqref="E82:Q82 Q24 E72:P72 E14:P14">
      <formula1>0</formula1>
      <formula2>300</formula2>
    </dataValidation>
    <dataValidation type="textLength" errorStyle="information" allowBlank="1" showInputMessage="1" showErrorMessage="1" error="XLBVal:6=48_x000d__x000a_" sqref="E120:Q120">
      <formula1>0</formula1>
      <formula2>300</formula2>
    </dataValidation>
    <dataValidation type="textLength" errorStyle="information" allowBlank="1" showInputMessage="1" showErrorMessage="1" error="XLBVal:2=0_x000d__x000a_" sqref="Q20 G109:G112 E70:Q70 E74:Q79 Q72 E81:Q81 Q86 Q92 G114:G115 Q106 F12:F13 Q26:Q27 Q31:Q32 Q35:Q36 Q38:Q41 Q43:Q48 Q50:Q67 Q109:Q114 H109:P115 E15:P18 J23:Q23 J24:P24 E26:P28 J20:P22 E43:P66 E30:P38 E20:I24 E40:P41 E105:P106 E109:F115 E94:P96">
      <formula1>0</formula1>
      <formula2>300</formula2>
    </dataValidation>
    <dataValidation type="textLength" errorStyle="information" allowBlank="1" showInputMessage="1" showErrorMessage="1" error="XLBVal:6=46954.93_x000d__x000a_" sqref="E19:P19">
      <formula1>0</formula1>
      <formula2>300</formula2>
    </dataValidation>
    <dataValidation type="textLength" errorStyle="information" allowBlank="1" showInputMessage="1" showErrorMessage="1" error="XLBVal:6=40347.72_x000d__x000a_" sqref="E86:P87">
      <formula1>0</formula1>
      <formula2>300</formula2>
    </dataValidation>
    <dataValidation type="textLength" errorStyle="information" allowBlank="1" showInputMessage="1" showErrorMessage="1" error="XLBVal:6=6595485.04_x000d__x000a_" sqref="G12:G13">
      <formula1>0</formula1>
      <formula2>300</formula2>
    </dataValidation>
    <dataValidation type="textLength" errorStyle="information" allowBlank="1" showInputMessage="1" showErrorMessage="1" error="XLBVal:6=224000_x000d__x000a_" sqref="Q22">
      <formula1>0</formula1>
      <formula2>300</formula2>
    </dataValidation>
    <dataValidation type="textLength" errorStyle="information" allowBlank="1" showInputMessage="1" showErrorMessage="1" error="XLBVal:6=533.97_x000d__x000a_" sqref="E25:P25">
      <formula1>0</formula1>
      <formula2>300</formula2>
    </dataValidation>
    <dataValidation type="textLength" errorStyle="information" allowBlank="1" showInputMessage="1" showErrorMessage="1" error="XLBVal:6=-1310.21_x000d__x000a_" sqref="E29:P29 E68:P68 E39:P39">
      <formula1>0</formula1>
      <formula2>300</formula2>
    </dataValidation>
    <dataValidation type="textLength" errorStyle="information" allowBlank="1" showInputMessage="1" showErrorMessage="1" error="XLBVal:6=38000_x000d__x000a_" sqref="Q25">
      <formula1>0</formula1>
      <formula2>300</formula2>
    </dataValidation>
    <dataValidation type="textLength" errorStyle="information" allowBlank="1" showInputMessage="1" showErrorMessage="1" error="XLBVal:6=30984_x000d__x000a_" sqref="Q28">
      <formula1>0</formula1>
      <formula2>300</formula2>
    </dataValidation>
    <dataValidation type="textLength" errorStyle="information" allowBlank="1" showInputMessage="1" showErrorMessage="1" error="XLBVal:6=6864605_x000d__x000a_" sqref="Q29">
      <formula1>0</formula1>
      <formula2>300</formula2>
    </dataValidation>
    <dataValidation type="textLength" errorStyle="information" allowBlank="1" showInputMessage="1" showErrorMessage="1" error="XLBVal:5=15426.66_x000d__x000a_" sqref="I12:I13">
      <formula1>0</formula1>
      <formula2>300</formula2>
    </dataValidation>
    <dataValidation type="textLength" errorStyle="information" allowBlank="1" showInputMessage="1" showErrorMessage="1" error="XLBVal:6=812280_x000d__x000a_" sqref="Q30">
      <formula1>0</formula1>
      <formula2>300</formula2>
    </dataValidation>
    <dataValidation type="textLength" errorStyle="information" allowBlank="1" showInputMessage="1" showErrorMessage="1" error="XLBVal:6=45391_x000d__x000a_" sqref="Q33">
      <formula1>0</formula1>
      <formula2>300</formula2>
    </dataValidation>
    <dataValidation type="textLength" errorStyle="information" allowBlank="1" showInputMessage="1" showErrorMessage="1" error="XLBVal:6=58_x000d__x000a_" sqref="E73:P73">
      <formula1>0</formula1>
      <formula2>300</formula2>
    </dataValidation>
    <dataValidation type="textLength" errorStyle="information" allowBlank="1" showInputMessage="1" showErrorMessage="1" error="XLBVal:6=497071_x000d__x000a_" sqref="Q34">
      <formula1>0</formula1>
      <formula2>300</formula2>
    </dataValidation>
    <dataValidation type="textLength" errorStyle="information" allowBlank="1" showInputMessage="1" showErrorMessage="1" error="XLBVal:6=604513_x000d__x000a_" sqref="Q37">
      <formula1>0</formula1>
      <formula2>300</formula2>
    </dataValidation>
    <dataValidation type="textLength" errorStyle="information" allowBlank="1" showInputMessage="1" showErrorMessage="1" error="XLBVal:6=650_x000d__x000a_" sqref="E92:P93">
      <formula1>0</formula1>
      <formula2>300</formula2>
    </dataValidation>
    <dataValidation type="textLength" errorStyle="information" allowBlank="1" showInputMessage="1" showErrorMessage="1" error="XLBVal:6=1019_x000d__x000a_" sqref="E42:P42">
      <formula1>0</formula1>
      <formula2>300</formula2>
    </dataValidation>
    <dataValidation type="textLength" errorStyle="information" allowBlank="1" showInputMessage="1" showErrorMessage="1" error="XLBVal:6=6688509.16_x000d__x000a_" sqref="E12:E13">
      <formula1>0</formula1>
      <formula2>300</formula2>
    </dataValidation>
    <dataValidation type="textLength" errorStyle="information" allowBlank="1" showInputMessage="1" showErrorMessage="1" error="XLBVal:6=133777_x000d__x000a_" sqref="Q42">
      <formula1>0</formula1>
      <formula2>300</formula2>
    </dataValidation>
    <dataValidation type="textLength" errorStyle="information" allowBlank="1" showInputMessage="1" showErrorMessage="1" error="XLBVal:6=31710_x000d__x000a_" sqref="Q102">
      <formula1>0</formula1>
      <formula2>300</formula2>
    </dataValidation>
    <dataValidation type="textLength" errorStyle="information" allowBlank="1" showInputMessage="1" showErrorMessage="1" error="XLBVal:6=1640556_x000d__x000a_" sqref="Q91">
      <formula1>0</formula1>
      <formula2>300</formula2>
    </dataValidation>
    <dataValidation type="textLength" errorStyle="information" allowBlank="1" showInputMessage="1" showErrorMessage="1" error="XLBVal:6=497000_x000d__x000a_" sqref="Q49">
      <formula1>0</formula1>
      <formula2>300</formula2>
    </dataValidation>
    <dataValidation type="textLength" errorStyle="information" allowBlank="1" showInputMessage="1" showErrorMessage="1" error="XLBVal:6=39534_x000d__x000a_" sqref="Q101">
      <formula1>0</formula1>
      <formula2>300</formula2>
    </dataValidation>
    <dataValidation type="textLength" errorStyle="information" allowBlank="1" showInputMessage="1" showErrorMessage="1" error="XLBVal:6=3_x000d__x000a_" sqref="Q93">
      <formula1>0</formula1>
      <formula2>300</formula2>
    </dataValidation>
    <dataValidation type="textLength" errorStyle="information" allowBlank="1" showInputMessage="1" showErrorMessage="1" error="XLBVal:6=646.26_x000d__x000a_" sqref="E67:P67">
      <formula1>0</formula1>
      <formula2>300</formula2>
    </dataValidation>
    <dataValidation type="textLength" errorStyle="information" allowBlank="1" showInputMessage="1" showErrorMessage="1" error="XLBVal:6=128852_x000d__x000a_" sqref="Q68">
      <formula1>0</formula1>
      <formula2>300</formula2>
    </dataValidation>
    <dataValidation type="textLength" errorStyle="information" allowBlank="1" showInputMessage="1" showErrorMessage="1" error="XLBVal:6=541.23_x000d__x000a_" sqref="E69:P69">
      <formula1>0</formula1>
      <formula2>300</formula2>
    </dataValidation>
    <dataValidation type="textLength" errorStyle="information" allowBlank="1" showInputMessage="1" showErrorMessage="1" error="XLBVal:6=2195857_x000d__x000a_" sqref="Q69">
      <formula1>0</formula1>
      <formula2>300</formula2>
    </dataValidation>
    <dataValidation type="textLength" errorStyle="information" allowBlank="1" showInputMessage="1" showErrorMessage="1" error="XLBVal:6=1119.5_x000d__x000a_" sqref="E71:P71">
      <formula1>0</formula1>
      <formula2>300</formula2>
    </dataValidation>
    <dataValidation type="textLength" errorStyle="information" allowBlank="1" showInputMessage="1" showErrorMessage="1" error="XLBVal:6=913200_x000d__x000a_" sqref="Q71">
      <formula1>0</formula1>
      <formula2>300</formula2>
    </dataValidation>
    <dataValidation type="textLength" errorStyle="information" allowBlank="1" showInputMessage="1" showErrorMessage="1" error="XLBVal:6=78120_x000d__x000a_" sqref="Q73">
      <formula1>0</formula1>
      <formula2>300</formula2>
    </dataValidation>
    <dataValidation type="textLength" errorStyle="information" allowBlank="1" showInputMessage="1" showErrorMessage="1" error="XLBVal:6=70_x000d__x000a_" sqref="E80:P80">
      <formula1>0</formula1>
      <formula2>300</formula2>
    </dataValidation>
    <dataValidation type="textLength" errorStyle="information" allowBlank="1" showInputMessage="1" showErrorMessage="1" error="XLBVal:6=2793648_x000d__x000a_" sqref="Q87">
      <formula1>0</formula1>
      <formula2>300</formula2>
    </dataValidation>
    <dataValidation type="textLength" errorStyle="information" allowBlank="1" showInputMessage="1" showErrorMessage="1" error="XLBVal:6=354026_x000d__x000a_" sqref="Q104">
      <formula1>0</formula1>
      <formula2>300</formula2>
    </dataValidation>
    <dataValidation type="textLength" errorStyle="information" allowBlank="1" showInputMessage="1" showErrorMessage="1" error="XLBVal:6=2502.46_x000d__x000a_" sqref="E90:P90">
      <formula1>0</formula1>
      <formula2>300</formula2>
    </dataValidation>
    <dataValidation type="textLength" errorStyle="information" allowBlank="1" showInputMessage="1" showErrorMessage="1" error="XLBVal:6=447561_x000d__x000a_" sqref="Q90">
      <formula1>0</formula1>
      <formula2>300</formula2>
    </dataValidation>
    <dataValidation type="textLength" errorStyle="information" allowBlank="1" showInputMessage="1" showErrorMessage="1" error="XLBVal:6=639338_x000d__x000a_" sqref="Q94:Q96">
      <formula1>0</formula1>
      <formula2>300</formula2>
    </dataValidation>
    <dataValidation type="textLength" errorStyle="information" allowBlank="1" showInputMessage="1" showErrorMessage="1" error="XLBVal:6=632410_x000d__x000a_" sqref="Q100">
      <formula1>0</formula1>
      <formula2>300</formula2>
    </dataValidation>
    <dataValidation type="textLength" errorStyle="information" allowBlank="1" showInputMessage="1" showErrorMessage="1" error="XLBVal:6=39654_x000d__x000a_" sqref="Q103">
      <formula1>0</formula1>
      <formula2>300</formula2>
    </dataValidation>
    <dataValidation type="textLength" errorStyle="information" allowBlank="1" showInputMessage="1" showErrorMessage="1" error="XLBVal:6=234560_x000d__x000a_" sqref="Q105">
      <formula1>0</formula1>
      <formula2>300</formula2>
    </dataValidation>
    <dataValidation type="textLength" errorStyle="information" allowBlank="1" showInputMessage="1" showErrorMessage="1" error="XLBVal:6=3099839_x000d__x000a_" sqref="Q115">
      <formula1>0</formula1>
      <formula2>300</formula2>
    </dataValidation>
    <dataValidation type="textLength" errorStyle="information" allowBlank="1" showInputMessage="1" showErrorMessage="1" error="XLBVal:5=-2586288.67_x000d__x000a_" sqref="H12:H13">
      <formula1>0</formula1>
      <formula2>300</formula2>
    </dataValidation>
    <dataValidation type="textLength" errorStyle="information" allowBlank="1" showInputMessage="1" showErrorMessage="1" error="XLBVal:6=10508400_x000d__x000a_" sqref="Q14:Q19">
      <formula1>0</formula1>
      <formula2>300</formula2>
    </dataValidation>
    <dataValidation type="textLength" errorStyle="information" allowBlank="1" showInputMessage="1" showErrorMessage="1" error="XLBVal:6=10459.34_x000d__x000a_" sqref="E99:P104">
      <formula1>0</formula1>
      <formula2>300</formula2>
    </dataValidation>
    <dataValidation type="textLength" errorStyle="information" allowBlank="1" showInputMessage="1" showErrorMessage="1" error="XLBVal:6=13973.8_x000d__x000a_" sqref="G113">
      <formula1>0</formula1>
      <formula2>300</formula2>
    </dataValidation>
  </dataValidations>
  <printOptions horizontalCentered="1"/>
  <pageMargins left="0.118110236220472" right="0.118110236220472" top="0.59055118110236204" bottom="0.39370078740157499" header="0" footer="0"/>
  <pageSetup paperSize="9" scale="43" fitToHeight="0" orientation="landscape" r:id="rId1"/>
  <headerFooter>
    <oddFooter>&amp;L&amp;"微软雅黑,Regular"&amp;F&amp;C&amp;"微软雅黑,Regular"Page &amp;P of &amp;N&amp;R&amp;"微软雅黑,Regular"&amp;D</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9">
    <tabColor rgb="FF00B050"/>
    <pageSetUpPr fitToPage="1"/>
  </sheetPr>
  <dimension ref="A1:X123"/>
  <sheetViews>
    <sheetView zoomScale="50" zoomScaleNormal="50" zoomScaleSheetLayoutView="40" workbookViewId="0">
      <pane xSplit="4" ySplit="10" topLeftCell="E11" activePane="bottomRight" state="frozen"/>
      <selection pane="topRight" activeCell="E1" sqref="E1"/>
      <selection pane="bottomLeft" activeCell="A11" sqref="A11"/>
      <selection pane="bottomRight" activeCell="I91" sqref="I91"/>
    </sheetView>
  </sheetViews>
  <sheetFormatPr defaultColWidth="8.875" defaultRowHeight="26.25" customHeight="1" outlineLevelRow="1" outlineLevelCol="1"/>
  <cols>
    <col min="1" max="3" width="15.5" style="5" hidden="1" customWidth="1" outlineLevel="1"/>
    <col min="4" max="4" width="69.125" style="6" customWidth="1" collapsed="1"/>
    <col min="5" max="9" width="24" style="7" customWidth="1"/>
    <col min="10" max="11" width="24" style="184" customWidth="1"/>
    <col min="12" max="12" width="24" style="5" customWidth="1"/>
    <col min="13" max="17" width="24" style="184" customWidth="1"/>
    <col min="18" max="19" width="25.375" style="184" hidden="1" customWidth="1"/>
    <col min="20" max="20" width="13.5" style="184" customWidth="1"/>
    <col min="21" max="21" width="22.5" style="190" hidden="1" customWidth="1"/>
    <col min="22" max="22" width="22.5" style="191" hidden="1" customWidth="1"/>
    <col min="23" max="23" width="0" style="184" hidden="1" customWidth="1"/>
    <col min="24" max="24" width="26.125" style="184" customWidth="1"/>
    <col min="25" max="25" width="23" style="184" customWidth="1"/>
    <col min="26" max="26" width="19.625" style="184" bestFit="1" customWidth="1"/>
    <col min="27" max="16384" width="8.875" style="184"/>
  </cols>
  <sheetData>
    <row r="1" spans="1:22" s="1" customFormat="1" ht="15" customHeight="1" outlineLevel="1">
      <c r="E1" s="9"/>
      <c r="F1" s="9"/>
      <c r="G1" s="9"/>
      <c r="H1" s="9"/>
      <c r="I1" s="9"/>
      <c r="J1" s="9"/>
      <c r="K1" s="9"/>
      <c r="L1" s="9"/>
      <c r="M1" s="9"/>
      <c r="N1" s="9"/>
      <c r="O1" s="9"/>
      <c r="P1" s="9"/>
      <c r="Q1" s="9"/>
      <c r="R1" s="9"/>
      <c r="S1" s="9"/>
      <c r="U1" s="32"/>
      <c r="V1" s="176"/>
    </row>
    <row r="2" spans="1:22" s="1" customFormat="1" ht="15" customHeight="1" outlineLevel="1">
      <c r="E2" s="9"/>
      <c r="F2" s="9"/>
      <c r="G2" s="9"/>
      <c r="H2" s="9"/>
      <c r="I2" s="9"/>
      <c r="J2" s="9"/>
      <c r="K2" s="9"/>
      <c r="L2" s="9"/>
      <c r="M2" s="9"/>
      <c r="N2" s="9"/>
      <c r="O2" s="9"/>
      <c r="P2" s="9"/>
      <c r="Q2" s="9"/>
      <c r="R2" s="9"/>
      <c r="S2" s="9"/>
      <c r="U2" s="32"/>
      <c r="V2" s="176"/>
    </row>
    <row r="3" spans="1:22" s="1" customFormat="1" ht="15" customHeight="1" outlineLevel="1">
      <c r="E3" s="9"/>
      <c r="F3" s="9"/>
      <c r="G3" s="9"/>
      <c r="H3" s="9"/>
      <c r="I3" s="9"/>
      <c r="J3" s="9"/>
      <c r="K3" s="9"/>
      <c r="L3" s="9"/>
      <c r="M3" s="9"/>
      <c r="N3" s="9"/>
      <c r="O3" s="9"/>
      <c r="P3" s="9"/>
      <c r="Q3" s="9"/>
      <c r="R3" s="9"/>
      <c r="S3" s="9"/>
      <c r="U3" s="32"/>
      <c r="V3" s="176"/>
    </row>
    <row r="4" spans="1:22" s="2" customFormat="1" ht="24.95" customHeight="1">
      <c r="D4" s="10" t="str">
        <f>Summary!D4</f>
        <v>Hotel Budget Report</v>
      </c>
      <c r="E4" s="11"/>
      <c r="F4" s="11"/>
      <c r="G4" s="12"/>
      <c r="H4" s="13"/>
      <c r="I4" s="13"/>
      <c r="U4" s="33"/>
      <c r="V4" s="193"/>
    </row>
    <row r="5" spans="1:22" s="2" customFormat="1" ht="24.95" customHeight="1">
      <c r="D5" s="10" t="str">
        <f>Summary!$D$5</f>
        <v>酒店预算报表</v>
      </c>
      <c r="E5" s="11"/>
      <c r="F5" s="11"/>
      <c r="G5" s="12"/>
      <c r="H5" s="13"/>
      <c r="I5" s="13"/>
      <c r="U5" s="33"/>
      <c r="V5" s="193"/>
    </row>
    <row r="6" spans="1:22" s="2" customFormat="1" ht="24.95" customHeight="1">
      <c r="D6" s="14" t="s">
        <v>356</v>
      </c>
      <c r="E6" s="13"/>
      <c r="F6" s="13"/>
      <c r="G6" s="13"/>
      <c r="H6" s="13"/>
      <c r="I6" s="13"/>
      <c r="U6" s="33"/>
      <c r="V6" s="193"/>
    </row>
    <row r="7" spans="1:22" s="2" customFormat="1" ht="24.95" customHeight="1">
      <c r="D7" s="192" t="s">
        <v>1185</v>
      </c>
      <c r="E7" s="13"/>
      <c r="F7" s="13"/>
      <c r="G7" s="13"/>
      <c r="H7" s="13"/>
      <c r="I7" s="13"/>
      <c r="U7" s="33"/>
      <c r="V7" s="193"/>
    </row>
    <row r="8" spans="1:22" ht="24.95" customHeight="1">
      <c r="A8" s="184"/>
      <c r="B8" s="184"/>
      <c r="C8" s="184"/>
      <c r="D8" s="186"/>
      <c r="E8" s="390"/>
      <c r="F8" s="390"/>
      <c r="G8" s="390"/>
      <c r="H8" s="390"/>
      <c r="I8" s="390"/>
      <c r="J8" s="390"/>
      <c r="K8" s="390"/>
      <c r="L8" s="390"/>
      <c r="M8" s="390"/>
      <c r="N8" s="390"/>
      <c r="O8" s="390"/>
      <c r="P8" s="390"/>
    </row>
    <row r="9" spans="1:22" s="3" customFormat="1" ht="24.95" customHeight="1">
      <c r="D9" s="17"/>
      <c r="E9" s="18">
        <v>1</v>
      </c>
      <c r="F9" s="18">
        <v>2</v>
      </c>
      <c r="G9" s="18">
        <v>3</v>
      </c>
      <c r="H9" s="18">
        <v>4</v>
      </c>
      <c r="I9" s="18">
        <v>5</v>
      </c>
      <c r="J9" s="18">
        <v>6</v>
      </c>
      <c r="K9" s="18">
        <v>7</v>
      </c>
      <c r="L9" s="18">
        <v>8</v>
      </c>
      <c r="M9" s="18">
        <v>9</v>
      </c>
      <c r="N9" s="18">
        <v>10</v>
      </c>
      <c r="O9" s="18">
        <v>11</v>
      </c>
      <c r="P9" s="18">
        <v>12</v>
      </c>
      <c r="Q9" s="18">
        <v>2025</v>
      </c>
      <c r="R9" s="384"/>
      <c r="S9" s="384"/>
      <c r="U9" s="116"/>
      <c r="V9" s="117"/>
    </row>
    <row r="10" spans="1:22" s="4" customFormat="1" ht="39.950000000000003" customHeight="1">
      <c r="A10" s="19" t="s">
        <v>19</v>
      </c>
      <c r="B10" s="19" t="s">
        <v>20</v>
      </c>
      <c r="C10" s="19" t="s">
        <v>112</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20"/>
      <c r="U10" s="36" t="s">
        <v>24</v>
      </c>
      <c r="V10" s="37" t="s">
        <v>25</v>
      </c>
    </row>
    <row r="11" spans="1:22" s="3" customFormat="1" ht="24.95" customHeight="1">
      <c r="A11" s="3" t="s">
        <v>103</v>
      </c>
      <c r="B11" s="50" t="s">
        <v>301</v>
      </c>
      <c r="D11" s="21" t="s">
        <v>137</v>
      </c>
      <c r="E11" s="45">
        <f>E117</f>
        <v>226240.31</v>
      </c>
      <c r="F11" s="45">
        <f t="shared" ref="F11:P11" si="0">F117</f>
        <v>205312.90999999997</v>
      </c>
      <c r="G11" s="45">
        <f t="shared" si="0"/>
        <v>218735.50999999998</v>
      </c>
      <c r="H11" s="45">
        <f t="shared" si="0"/>
        <v>235109.81</v>
      </c>
      <c r="I11" s="45">
        <f t="shared" si="0"/>
        <v>245621.81</v>
      </c>
      <c r="J11" s="45">
        <f t="shared" si="0"/>
        <v>227634.81</v>
      </c>
      <c r="K11" s="45">
        <f t="shared" si="0"/>
        <v>238255.50999999998</v>
      </c>
      <c r="L11" s="45">
        <f t="shared" si="0"/>
        <v>239350.50999999998</v>
      </c>
      <c r="M11" s="45">
        <f t="shared" si="0"/>
        <v>243810.08000000002</v>
      </c>
      <c r="N11" s="45">
        <f t="shared" si="0"/>
        <v>265168.71000000002</v>
      </c>
      <c r="O11" s="45">
        <f t="shared" si="0"/>
        <v>240036.50999999998</v>
      </c>
      <c r="P11" s="45">
        <f t="shared" si="0"/>
        <v>235875.50999999998</v>
      </c>
      <c r="Q11" s="179">
        <f>SUM(E11:P11)</f>
        <v>2821151.9899999998</v>
      </c>
      <c r="R11" s="179"/>
      <c r="S11" s="179"/>
      <c r="T11" s="39">
        <f>Q11/'Rooms Summary'!$Q$20</f>
        <v>0.12823142555372719</v>
      </c>
      <c r="U11" s="35"/>
      <c r="V11" s="40" t="e">
        <f>-IF(Q11-U11=0,0,(Q11-U11)/U11)</f>
        <v>#DIV/0!</v>
      </c>
    </row>
    <row r="12" spans="1:22" s="3" customFormat="1" ht="24.95" customHeight="1">
      <c r="D12" s="26"/>
      <c r="E12" s="63"/>
      <c r="F12" s="63"/>
      <c r="G12" s="63"/>
      <c r="H12" s="63"/>
      <c r="I12" s="63"/>
      <c r="L12" s="161"/>
      <c r="U12" s="35"/>
      <c r="V12" s="115"/>
    </row>
    <row r="13" spans="1:22" s="3" customFormat="1" ht="24.75" customHeight="1">
      <c r="D13" s="21" t="s">
        <v>138</v>
      </c>
      <c r="E13" s="63"/>
      <c r="F13" s="63"/>
      <c r="G13" s="63"/>
      <c r="H13" s="63"/>
      <c r="I13" s="63"/>
      <c r="J13" s="63"/>
      <c r="K13" s="63"/>
      <c r="L13" s="63"/>
      <c r="M13" s="63"/>
      <c r="N13" s="63"/>
      <c r="O13" s="63"/>
      <c r="P13" s="63"/>
      <c r="Q13" s="3">
        <f t="shared" ref="Q13" si="1">SUM(E13:P13)</f>
        <v>0</v>
      </c>
      <c r="T13" s="34" t="s">
        <v>139</v>
      </c>
      <c r="U13" s="35"/>
      <c r="V13" s="115"/>
    </row>
    <row r="14" spans="1:22" s="3" customFormat="1" ht="24.95" customHeight="1">
      <c r="A14" s="3" t="s">
        <v>140</v>
      </c>
      <c r="B14" s="50" t="s">
        <v>301</v>
      </c>
      <c r="D14" s="26" t="s">
        <v>141</v>
      </c>
      <c r="E14" s="63"/>
      <c r="F14" s="63"/>
      <c r="G14" s="63"/>
      <c r="H14" s="63"/>
      <c r="I14" s="63"/>
      <c r="J14" s="61"/>
      <c r="K14" s="61"/>
      <c r="L14" s="61"/>
      <c r="M14" s="61"/>
      <c r="N14" s="61"/>
      <c r="O14" s="61"/>
      <c r="P14" s="61"/>
      <c r="Q14" s="61">
        <f>SUM(E14:P14)</f>
        <v>0</v>
      </c>
      <c r="R14" s="61"/>
      <c r="S14" s="61"/>
      <c r="T14" s="61">
        <f>Q14/'Rooms Summary'!$Q$111</f>
        <v>0</v>
      </c>
      <c r="U14" s="35"/>
      <c r="V14" s="115" t="e">
        <f t="shared" ref="V14:V17" si="2">(Q14-U14)/U14</f>
        <v>#DIV/0!</v>
      </c>
    </row>
    <row r="15" spans="1:22" s="3" customFormat="1" ht="24.95" hidden="1" customHeight="1">
      <c r="A15" s="3" t="s">
        <v>142</v>
      </c>
      <c r="B15" s="50" t="s">
        <v>301</v>
      </c>
      <c r="D15" s="26" t="s">
        <v>143</v>
      </c>
      <c r="E15" s="63"/>
      <c r="F15" s="63"/>
      <c r="G15" s="63"/>
      <c r="H15" s="63"/>
      <c r="I15" s="63"/>
      <c r="J15" s="61"/>
      <c r="K15" s="61"/>
      <c r="L15" s="61"/>
      <c r="M15" s="61"/>
      <c r="N15" s="61"/>
      <c r="O15" s="61"/>
      <c r="P15" s="61"/>
      <c r="Q15" s="61">
        <f t="shared" ref="Q15:Q80" si="3">SUM(E15:P15)</f>
        <v>0</v>
      </c>
      <c r="R15" s="61"/>
      <c r="S15" s="61"/>
      <c r="T15" s="61">
        <f>Q15/'Rooms Summary'!$Q$111</f>
        <v>0</v>
      </c>
      <c r="U15" s="35"/>
      <c r="V15" s="115" t="e">
        <f t="shared" si="2"/>
        <v>#DIV/0!</v>
      </c>
    </row>
    <row r="16" spans="1:22" s="3" customFormat="1" ht="24.95" hidden="1" customHeight="1">
      <c r="A16" s="3" t="s">
        <v>144</v>
      </c>
      <c r="B16" s="50" t="s">
        <v>301</v>
      </c>
      <c r="D16" s="26" t="s">
        <v>145</v>
      </c>
      <c r="E16" s="63"/>
      <c r="F16" s="63"/>
      <c r="G16" s="63"/>
      <c r="H16" s="63"/>
      <c r="I16" s="63"/>
      <c r="J16" s="61"/>
      <c r="K16" s="61"/>
      <c r="L16" s="61"/>
      <c r="M16" s="61"/>
      <c r="N16" s="61"/>
      <c r="O16" s="61"/>
      <c r="P16" s="61"/>
      <c r="Q16" s="61">
        <f t="shared" si="3"/>
        <v>0</v>
      </c>
      <c r="R16" s="61"/>
      <c r="S16" s="61"/>
      <c r="T16" s="61">
        <f>Q16/'Rooms Summary'!$Q$111</f>
        <v>0</v>
      </c>
      <c r="U16" s="35"/>
      <c r="V16" s="115" t="e">
        <f t="shared" si="2"/>
        <v>#DIV/0!</v>
      </c>
    </row>
    <row r="17" spans="1:22" s="3" customFormat="1" ht="24.95" customHeight="1">
      <c r="A17" s="3" t="s">
        <v>146</v>
      </c>
      <c r="B17" s="50" t="s">
        <v>301</v>
      </c>
      <c r="D17" s="26" t="s">
        <v>147</v>
      </c>
      <c r="E17" s="63"/>
      <c r="F17" s="63"/>
      <c r="G17" s="63"/>
      <c r="H17" s="63"/>
      <c r="I17" s="63"/>
      <c r="J17" s="61"/>
      <c r="K17" s="61"/>
      <c r="L17" s="61"/>
      <c r="M17" s="61"/>
      <c r="N17" s="61"/>
      <c r="O17" s="61"/>
      <c r="P17" s="61"/>
      <c r="Q17" s="61">
        <f t="shared" si="3"/>
        <v>0</v>
      </c>
      <c r="R17" s="61"/>
      <c r="S17" s="61"/>
      <c r="T17" s="61">
        <f>Q17/'Rooms Summary'!$Q$111</f>
        <v>0</v>
      </c>
      <c r="U17" s="35"/>
      <c r="V17" s="115" t="e">
        <f t="shared" si="2"/>
        <v>#DIV/0!</v>
      </c>
    </row>
    <row r="18" spans="1:22" s="372" customFormat="1" ht="24.95" customHeight="1">
      <c r="A18" s="372" t="s">
        <v>148</v>
      </c>
      <c r="B18" s="373" t="s">
        <v>301</v>
      </c>
      <c r="D18" s="367" t="s">
        <v>149</v>
      </c>
      <c r="E18" s="63">
        <v>2024</v>
      </c>
      <c r="F18" s="63">
        <v>1751</v>
      </c>
      <c r="G18" s="63">
        <v>2617.25</v>
      </c>
      <c r="H18" s="63">
        <v>3250.4000000000005</v>
      </c>
      <c r="I18" s="63">
        <v>3386.9000000000005</v>
      </c>
      <c r="J18" s="63">
        <v>3092.9</v>
      </c>
      <c r="K18" s="63">
        <v>3628.4000000000005</v>
      </c>
      <c r="L18" s="63">
        <v>3681.95</v>
      </c>
      <c r="M18" s="63">
        <v>3722.9000000000005</v>
      </c>
      <c r="N18" s="63">
        <v>3812.1500000000005</v>
      </c>
      <c r="O18" s="63">
        <v>3617.9000000000005</v>
      </c>
      <c r="P18" s="63">
        <v>3418.4000000000005</v>
      </c>
      <c r="Q18" s="355">
        <f t="shared" si="3"/>
        <v>38004.150000000009</v>
      </c>
      <c r="R18" s="355"/>
      <c r="S18" s="355"/>
      <c r="T18" s="61">
        <f>Q18/'Rooms Summary'!$Q$111</f>
        <v>0.82340266493337688</v>
      </c>
      <c r="U18" s="374"/>
      <c r="V18" s="360" t="e">
        <f>-IF(Q18-U18=0,0,(Q18-U18)/U18)</f>
        <v>#DIV/0!</v>
      </c>
    </row>
    <row r="19" spans="1:22" s="372" customFormat="1" ht="24.95" customHeight="1">
      <c r="A19" s="372" t="s">
        <v>150</v>
      </c>
      <c r="B19" s="373" t="s">
        <v>301</v>
      </c>
      <c r="D19" s="367" t="s">
        <v>151</v>
      </c>
      <c r="E19" s="63"/>
      <c r="F19" s="63"/>
      <c r="G19" s="63"/>
      <c r="H19" s="63"/>
      <c r="I19" s="63"/>
      <c r="J19" s="63"/>
      <c r="K19" s="63"/>
      <c r="L19" s="63"/>
      <c r="M19" s="63"/>
      <c r="N19" s="63"/>
      <c r="O19" s="63"/>
      <c r="P19" s="63"/>
      <c r="Q19" s="61">
        <f t="shared" si="3"/>
        <v>0</v>
      </c>
      <c r="R19" s="61"/>
      <c r="S19" s="355"/>
      <c r="T19" s="61">
        <f>Q19/'Rooms Summary'!$Q$111</f>
        <v>0</v>
      </c>
      <c r="U19" s="375"/>
      <c r="V19" s="360"/>
    </row>
    <row r="20" spans="1:22" s="372" customFormat="1" ht="24.95" hidden="1" customHeight="1">
      <c r="A20" s="372" t="s">
        <v>152</v>
      </c>
      <c r="B20" s="373" t="s">
        <v>301</v>
      </c>
      <c r="D20" s="367" t="s">
        <v>153</v>
      </c>
      <c r="E20" s="63"/>
      <c r="F20" s="63"/>
      <c r="G20" s="63"/>
      <c r="H20" s="63"/>
      <c r="I20" s="63"/>
      <c r="J20" s="63"/>
      <c r="K20" s="63"/>
      <c r="L20" s="63"/>
      <c r="M20" s="63"/>
      <c r="N20" s="63"/>
      <c r="O20" s="63"/>
      <c r="P20" s="63"/>
      <c r="Q20" s="61">
        <f t="shared" si="3"/>
        <v>0</v>
      </c>
      <c r="R20" s="61"/>
      <c r="S20" s="355"/>
      <c r="T20" s="61">
        <f>Q20/'Rooms Summary'!$Q$111</f>
        <v>0</v>
      </c>
      <c r="U20" s="375"/>
      <c r="V20" s="360">
        <f t="shared" ref="V20:V82" si="4">-IF(Q20-U20=0,0,(Q20-U20)/U20)</f>
        <v>0</v>
      </c>
    </row>
    <row r="21" spans="1:22" s="372" customFormat="1" ht="24.95" customHeight="1">
      <c r="A21" s="372" t="s">
        <v>154</v>
      </c>
      <c r="B21" s="373" t="s">
        <v>301</v>
      </c>
      <c r="D21" s="367" t="s">
        <v>155</v>
      </c>
      <c r="E21" s="63">
        <v>29836.799999999999</v>
      </c>
      <c r="F21" s="63">
        <v>27143.199999999997</v>
      </c>
      <c r="G21" s="63">
        <v>35690.199999999997</v>
      </c>
      <c r="H21" s="63">
        <v>40248.6</v>
      </c>
      <c r="I21" s="63">
        <v>41595.399999999994</v>
      </c>
      <c r="J21" s="63">
        <v>38694.6</v>
      </c>
      <c r="K21" s="63">
        <v>43978.2</v>
      </c>
      <c r="L21" s="63">
        <v>44496.2</v>
      </c>
      <c r="M21" s="63">
        <v>44910.6</v>
      </c>
      <c r="N21" s="63">
        <v>45791.199999999997</v>
      </c>
      <c r="O21" s="63">
        <v>43874.6</v>
      </c>
      <c r="P21" s="63">
        <v>41906.199999999997</v>
      </c>
      <c r="Q21" s="61">
        <f t="shared" si="3"/>
        <v>478165.8</v>
      </c>
      <c r="R21" s="61"/>
      <c r="S21" s="355"/>
      <c r="T21" s="61">
        <f>Q21/'Rooms Summary'!$Q$111</f>
        <v>10.36</v>
      </c>
      <c r="U21" s="375"/>
      <c r="V21" s="360" t="e">
        <f t="shared" si="4"/>
        <v>#DIV/0!</v>
      </c>
    </row>
    <row r="22" spans="1:22" s="372" customFormat="1" ht="24.75" customHeight="1">
      <c r="A22" s="372" t="s">
        <v>156</v>
      </c>
      <c r="B22" s="373" t="s">
        <v>301</v>
      </c>
      <c r="D22" s="367" t="s">
        <v>157</v>
      </c>
      <c r="E22" s="63"/>
      <c r="F22" s="63"/>
      <c r="G22" s="63"/>
      <c r="H22" s="63"/>
      <c r="I22" s="63"/>
      <c r="J22" s="63"/>
      <c r="K22" s="63"/>
      <c r="L22" s="63"/>
      <c r="M22" s="63"/>
      <c r="N22" s="63"/>
      <c r="O22" s="63"/>
      <c r="P22" s="63"/>
      <c r="Q22" s="61">
        <f>SUM(E22:P22)</f>
        <v>0</v>
      </c>
      <c r="R22" s="61"/>
      <c r="S22" s="355"/>
      <c r="T22" s="61">
        <f>Q22/'Rooms Summary'!$Q$111</f>
        <v>0</v>
      </c>
      <c r="U22" s="375"/>
      <c r="V22" s="360">
        <f t="shared" si="4"/>
        <v>0</v>
      </c>
    </row>
    <row r="23" spans="1:22" s="372" customFormat="1" ht="24.95" customHeight="1">
      <c r="A23" s="372" t="s">
        <v>158</v>
      </c>
      <c r="B23" s="373" t="s">
        <v>301</v>
      </c>
      <c r="D23" s="367" t="s">
        <v>159</v>
      </c>
      <c r="E23" s="63">
        <v>7500</v>
      </c>
      <c r="F23" s="63"/>
      <c r="G23" s="63"/>
      <c r="H23" s="63"/>
      <c r="I23" s="63"/>
      <c r="J23" s="63"/>
      <c r="K23" s="63"/>
      <c r="L23" s="63"/>
      <c r="M23" s="63"/>
      <c r="N23" s="63"/>
      <c r="O23" s="63"/>
      <c r="P23" s="63">
        <v>7500</v>
      </c>
      <c r="Q23" s="61">
        <f t="shared" si="3"/>
        <v>15000</v>
      </c>
      <c r="R23" s="61"/>
      <c r="S23" s="355"/>
      <c r="T23" s="61">
        <f>Q23/'Rooms Summary'!$Q$111</f>
        <v>0.3249918752031199</v>
      </c>
      <c r="U23" s="375"/>
      <c r="V23" s="360" t="e">
        <f t="shared" si="4"/>
        <v>#DIV/0!</v>
      </c>
    </row>
    <row r="24" spans="1:22" s="372" customFormat="1" ht="24.95" customHeight="1">
      <c r="A24" s="372" t="s">
        <v>160</v>
      </c>
      <c r="B24" s="373" t="s">
        <v>301</v>
      </c>
      <c r="D24" s="367" t="s">
        <v>161</v>
      </c>
      <c r="E24" s="63"/>
      <c r="F24" s="63"/>
      <c r="G24" s="63"/>
      <c r="H24" s="63"/>
      <c r="I24" s="63"/>
      <c r="J24" s="63"/>
      <c r="K24" s="63"/>
      <c r="L24" s="63"/>
      <c r="M24" s="63"/>
      <c r="N24" s="63"/>
      <c r="O24" s="63"/>
      <c r="P24" s="63"/>
      <c r="Q24" s="61">
        <f t="shared" si="3"/>
        <v>0</v>
      </c>
      <c r="R24" s="61"/>
      <c r="S24" s="355"/>
      <c r="T24" s="61">
        <f>Q24/'Rooms Summary'!$Q$111</f>
        <v>0</v>
      </c>
      <c r="U24" s="375"/>
      <c r="V24" s="360">
        <f t="shared" si="4"/>
        <v>0</v>
      </c>
    </row>
    <row r="25" spans="1:22" s="372" customFormat="1" ht="24.75" customHeight="1">
      <c r="A25" s="372" t="s">
        <v>162</v>
      </c>
      <c r="B25" s="373" t="s">
        <v>301</v>
      </c>
      <c r="D25" s="367" t="s">
        <v>163</v>
      </c>
      <c r="E25" s="63">
        <v>500</v>
      </c>
      <c r="F25" s="63"/>
      <c r="G25" s="63"/>
      <c r="H25" s="63"/>
      <c r="I25" s="63">
        <v>500</v>
      </c>
      <c r="J25" s="63"/>
      <c r="K25" s="63"/>
      <c r="L25" s="63"/>
      <c r="M25" s="63"/>
      <c r="N25" s="63">
        <v>500</v>
      </c>
      <c r="O25" s="63"/>
      <c r="P25" s="63"/>
      <c r="Q25" s="61">
        <f t="shared" si="3"/>
        <v>1500</v>
      </c>
      <c r="R25" s="61"/>
      <c r="S25" s="355"/>
      <c r="T25" s="61">
        <f>Q25/'Rooms Summary'!$Q$111</f>
        <v>3.2499187520311994E-2</v>
      </c>
      <c r="U25" s="375"/>
      <c r="V25" s="360" t="e">
        <f t="shared" si="4"/>
        <v>#DIV/0!</v>
      </c>
    </row>
    <row r="26" spans="1:22" s="372" customFormat="1" ht="24.95" hidden="1" customHeight="1">
      <c r="A26" s="372" t="s">
        <v>164</v>
      </c>
      <c r="B26" s="373" t="s">
        <v>301</v>
      </c>
      <c r="D26" s="367" t="s">
        <v>165</v>
      </c>
      <c r="E26" s="63"/>
      <c r="F26" s="63"/>
      <c r="G26" s="63"/>
      <c r="H26" s="63"/>
      <c r="I26" s="63"/>
      <c r="J26" s="63"/>
      <c r="K26" s="63"/>
      <c r="L26" s="63"/>
      <c r="M26" s="63"/>
      <c r="N26" s="63"/>
      <c r="O26" s="63"/>
      <c r="P26" s="63"/>
      <c r="Q26" s="61">
        <f t="shared" si="3"/>
        <v>0</v>
      </c>
      <c r="R26" s="61"/>
      <c r="S26" s="355"/>
      <c r="T26" s="61">
        <f>Q26/'Rooms Summary'!$Q$111</f>
        <v>0</v>
      </c>
      <c r="U26" s="375"/>
      <c r="V26" s="360">
        <f t="shared" si="4"/>
        <v>0</v>
      </c>
    </row>
    <row r="27" spans="1:22" s="372" customFormat="1" ht="24.95" customHeight="1">
      <c r="A27" s="372" t="s">
        <v>166</v>
      </c>
      <c r="B27" s="373" t="s">
        <v>301</v>
      </c>
      <c r="D27" s="367" t="s">
        <v>167</v>
      </c>
      <c r="E27" s="63"/>
      <c r="F27" s="63"/>
      <c r="G27" s="63"/>
      <c r="H27" s="63"/>
      <c r="I27" s="63"/>
      <c r="J27" s="63"/>
      <c r="K27" s="63"/>
      <c r="L27" s="63"/>
      <c r="M27" s="63"/>
      <c r="N27" s="63"/>
      <c r="O27" s="63"/>
      <c r="P27" s="63"/>
      <c r="Q27" s="61">
        <f t="shared" si="3"/>
        <v>0</v>
      </c>
      <c r="R27" s="61"/>
      <c r="S27" s="355"/>
      <c r="T27" s="61">
        <f>Q27/'Rooms Summary'!$Q$111</f>
        <v>0</v>
      </c>
      <c r="U27" s="375"/>
      <c r="V27" s="360">
        <f t="shared" si="4"/>
        <v>0</v>
      </c>
    </row>
    <row r="28" spans="1:22" s="372" customFormat="1" ht="24.95" customHeight="1">
      <c r="A28" s="372" t="s">
        <v>168</v>
      </c>
      <c r="B28" s="373" t="s">
        <v>301</v>
      </c>
      <c r="D28" s="367" t="s">
        <v>169</v>
      </c>
      <c r="E28" s="63"/>
      <c r="F28" s="63"/>
      <c r="G28" s="63"/>
      <c r="H28" s="63"/>
      <c r="I28" s="63"/>
      <c r="J28" s="63"/>
      <c r="K28" s="63"/>
      <c r="L28" s="63"/>
      <c r="M28" s="63"/>
      <c r="N28" s="63"/>
      <c r="O28" s="63"/>
      <c r="P28" s="63"/>
      <c r="Q28" s="61">
        <f t="shared" si="3"/>
        <v>0</v>
      </c>
      <c r="R28" s="61"/>
      <c r="S28" s="355"/>
      <c r="T28" s="61">
        <f>Q28/'Rooms Summary'!$Q$111</f>
        <v>0</v>
      </c>
      <c r="U28" s="375"/>
      <c r="V28" s="360">
        <f t="shared" si="4"/>
        <v>0</v>
      </c>
    </row>
    <row r="29" spans="1:22" s="372" customFormat="1" ht="24.95" customHeight="1">
      <c r="A29" s="372" t="s">
        <v>170</v>
      </c>
      <c r="B29" s="373" t="s">
        <v>301</v>
      </c>
      <c r="D29" s="367" t="s">
        <v>171</v>
      </c>
      <c r="E29" s="63">
        <v>23200</v>
      </c>
      <c r="F29" s="63">
        <v>19300</v>
      </c>
      <c r="G29" s="63">
        <v>25675</v>
      </c>
      <c r="H29" s="63">
        <v>38275</v>
      </c>
      <c r="I29" s="63">
        <v>53225</v>
      </c>
      <c r="J29" s="63">
        <v>59025</v>
      </c>
      <c r="K29" s="63">
        <v>63675</v>
      </c>
      <c r="L29" s="63">
        <v>64425</v>
      </c>
      <c r="M29" s="63">
        <v>65025</v>
      </c>
      <c r="N29" s="63">
        <v>66300</v>
      </c>
      <c r="O29" s="63">
        <v>63525</v>
      </c>
      <c r="P29" s="63">
        <v>60675</v>
      </c>
      <c r="Q29" s="61">
        <f t="shared" si="3"/>
        <v>602325</v>
      </c>
      <c r="R29" s="61"/>
      <c r="S29" s="355"/>
      <c r="T29" s="61">
        <f>Q29/'Rooms Summary'!$Q$111</f>
        <v>13.050048748781281</v>
      </c>
      <c r="U29" s="375"/>
      <c r="V29" s="360" t="e">
        <f t="shared" si="4"/>
        <v>#DIV/0!</v>
      </c>
    </row>
    <row r="30" spans="1:22" s="372" customFormat="1" ht="24.95" customHeight="1">
      <c r="A30" s="372" t="s">
        <v>172</v>
      </c>
      <c r="B30" s="373" t="s">
        <v>301</v>
      </c>
      <c r="D30" s="367" t="s">
        <v>173</v>
      </c>
      <c r="E30" s="63">
        <v>4600</v>
      </c>
      <c r="F30" s="63">
        <v>4600</v>
      </c>
      <c r="G30" s="63">
        <v>4600</v>
      </c>
      <c r="H30" s="63">
        <v>4600</v>
      </c>
      <c r="I30" s="63">
        <v>4600</v>
      </c>
      <c r="J30" s="63">
        <v>4600</v>
      </c>
      <c r="K30" s="63">
        <v>4600</v>
      </c>
      <c r="L30" s="63">
        <v>4600</v>
      </c>
      <c r="M30" s="63">
        <v>4600</v>
      </c>
      <c r="N30" s="63">
        <v>4600</v>
      </c>
      <c r="O30" s="63">
        <v>4600</v>
      </c>
      <c r="P30" s="63">
        <v>4600</v>
      </c>
      <c r="Q30" s="61">
        <f t="shared" si="3"/>
        <v>55200</v>
      </c>
      <c r="R30" s="61"/>
      <c r="S30" s="355"/>
      <c r="T30" s="61">
        <f>Q30/'Rooms Summary'!$Q$111</f>
        <v>1.1959701007474812</v>
      </c>
      <c r="U30" s="375"/>
      <c r="V30" s="360" t="e">
        <f t="shared" si="4"/>
        <v>#DIV/0!</v>
      </c>
    </row>
    <row r="31" spans="1:22" s="372" customFormat="1" ht="24.95" customHeight="1">
      <c r="A31" s="372" t="s">
        <v>174</v>
      </c>
      <c r="B31" s="373" t="s">
        <v>301</v>
      </c>
      <c r="D31" s="367" t="s">
        <v>175</v>
      </c>
      <c r="E31" s="63"/>
      <c r="F31" s="63"/>
      <c r="G31" s="63"/>
      <c r="H31" s="63"/>
      <c r="I31" s="63"/>
      <c r="J31" s="63"/>
      <c r="K31" s="63"/>
      <c r="L31" s="63"/>
      <c r="M31" s="63"/>
      <c r="N31" s="63"/>
      <c r="O31" s="63"/>
      <c r="P31" s="63"/>
      <c r="Q31" s="61">
        <f t="shared" si="3"/>
        <v>0</v>
      </c>
      <c r="R31" s="61"/>
      <c r="S31" s="355"/>
      <c r="T31" s="61">
        <f>Q31/'Rooms Summary'!$Q$111</f>
        <v>0</v>
      </c>
      <c r="U31" s="375"/>
      <c r="V31" s="360">
        <f t="shared" si="4"/>
        <v>0</v>
      </c>
    </row>
    <row r="32" spans="1:22" s="372" customFormat="1" ht="24.95" customHeight="1">
      <c r="A32" s="372" t="s">
        <v>176</v>
      </c>
      <c r="B32" s="373" t="s">
        <v>301</v>
      </c>
      <c r="D32" s="367" t="s">
        <v>177</v>
      </c>
      <c r="E32" s="63">
        <v>2500</v>
      </c>
      <c r="F32" s="63">
        <v>2500</v>
      </c>
      <c r="G32" s="63">
        <v>2500</v>
      </c>
      <c r="H32" s="63">
        <v>2500</v>
      </c>
      <c r="I32" s="63">
        <v>2500</v>
      </c>
      <c r="J32" s="63">
        <v>2500</v>
      </c>
      <c r="K32" s="63">
        <v>2500</v>
      </c>
      <c r="L32" s="63">
        <v>2500</v>
      </c>
      <c r="M32" s="63">
        <v>2500</v>
      </c>
      <c r="N32" s="63">
        <v>2500</v>
      </c>
      <c r="O32" s="63">
        <v>2500</v>
      </c>
      <c r="P32" s="63">
        <v>2500</v>
      </c>
      <c r="Q32" s="61">
        <f t="shared" si="3"/>
        <v>30000</v>
      </c>
      <c r="R32" s="61"/>
      <c r="S32" s="355"/>
      <c r="T32" s="61">
        <f>Q32/'Rooms Summary'!$Q$111</f>
        <v>0.64998375040623979</v>
      </c>
      <c r="U32" s="375"/>
      <c r="V32" s="360" t="e">
        <f t="shared" si="4"/>
        <v>#DIV/0!</v>
      </c>
    </row>
    <row r="33" spans="1:24" s="372" customFormat="1" ht="24.95" customHeight="1">
      <c r="A33" s="372" t="s">
        <v>178</v>
      </c>
      <c r="B33" s="373" t="s">
        <v>301</v>
      </c>
      <c r="D33" s="367" t="s">
        <v>179</v>
      </c>
      <c r="E33" s="63"/>
      <c r="F33" s="63"/>
      <c r="G33" s="63"/>
      <c r="H33" s="63"/>
      <c r="I33" s="63"/>
      <c r="J33" s="63"/>
      <c r="K33" s="63"/>
      <c r="L33" s="63"/>
      <c r="M33" s="63"/>
      <c r="N33" s="63"/>
      <c r="O33" s="63"/>
      <c r="P33" s="63"/>
      <c r="Q33" s="61">
        <f t="shared" si="3"/>
        <v>0</v>
      </c>
      <c r="R33" s="61"/>
      <c r="S33" s="355"/>
      <c r="T33" s="61">
        <f>Q33/'Rooms Summary'!$Q$111</f>
        <v>0</v>
      </c>
      <c r="U33" s="375"/>
      <c r="V33" s="360"/>
    </row>
    <row r="34" spans="1:24" s="372" customFormat="1" ht="24.95" customHeight="1">
      <c r="A34" s="372" t="s">
        <v>180</v>
      </c>
      <c r="B34" s="373" t="s">
        <v>301</v>
      </c>
      <c r="D34" s="367" t="s">
        <v>181</v>
      </c>
      <c r="E34" s="63">
        <v>3529.6</v>
      </c>
      <c r="F34" s="63">
        <v>3030.4</v>
      </c>
      <c r="G34" s="63">
        <v>5614.4</v>
      </c>
      <c r="H34" s="63">
        <v>7459.2</v>
      </c>
      <c r="I34" s="63">
        <v>7708.7999999999993</v>
      </c>
      <c r="J34" s="63">
        <v>7171.2</v>
      </c>
      <c r="K34" s="63">
        <v>8150.4</v>
      </c>
      <c r="L34" s="63">
        <v>8246.4</v>
      </c>
      <c r="M34" s="63">
        <v>8323.1999999999989</v>
      </c>
      <c r="N34" s="63">
        <v>8486.4</v>
      </c>
      <c r="O34" s="63">
        <v>8131.2</v>
      </c>
      <c r="P34" s="63">
        <v>7766.4</v>
      </c>
      <c r="Q34" s="61">
        <f t="shared" si="3"/>
        <v>83617.599999999991</v>
      </c>
      <c r="R34" s="61"/>
      <c r="S34" s="355"/>
      <c r="T34" s="61">
        <f>Q34/'Rooms Summary'!$Q$111</f>
        <v>1.8116693749322932</v>
      </c>
      <c r="U34" s="375"/>
      <c r="V34" s="360" t="e">
        <f t="shared" si="4"/>
        <v>#DIV/0!</v>
      </c>
    </row>
    <row r="35" spans="1:24" s="372" customFormat="1" ht="24.95" customHeight="1">
      <c r="A35" s="372" t="s">
        <v>182</v>
      </c>
      <c r="B35" s="373" t="s">
        <v>301</v>
      </c>
      <c r="D35" s="367" t="s">
        <v>183</v>
      </c>
      <c r="E35" s="63"/>
      <c r="F35" s="63"/>
      <c r="G35" s="63"/>
      <c r="H35" s="63"/>
      <c r="I35" s="63"/>
      <c r="J35" s="63"/>
      <c r="K35" s="63"/>
      <c r="L35" s="63"/>
      <c r="M35" s="63"/>
      <c r="N35" s="63"/>
      <c r="O35" s="63"/>
      <c r="P35" s="63"/>
      <c r="Q35" s="61">
        <f t="shared" si="3"/>
        <v>0</v>
      </c>
      <c r="R35" s="61"/>
      <c r="S35" s="355"/>
      <c r="T35" s="61">
        <f>Q35/'Rooms Summary'!$Q$111</f>
        <v>0</v>
      </c>
      <c r="U35" s="375"/>
      <c r="V35" s="360">
        <f t="shared" si="4"/>
        <v>0</v>
      </c>
    </row>
    <row r="36" spans="1:24" s="372" customFormat="1" ht="24.95" customHeight="1">
      <c r="A36" s="372" t="s">
        <v>184</v>
      </c>
      <c r="B36" s="373" t="s">
        <v>301</v>
      </c>
      <c r="D36" s="367" t="s">
        <v>185</v>
      </c>
      <c r="E36" s="63"/>
      <c r="F36" s="63"/>
      <c r="G36" s="63"/>
      <c r="H36" s="63">
        <v>400</v>
      </c>
      <c r="I36" s="63">
        <v>800</v>
      </c>
      <c r="J36" s="63">
        <v>800</v>
      </c>
      <c r="K36" s="63">
        <v>800</v>
      </c>
      <c r="L36" s="63">
        <v>400</v>
      </c>
      <c r="M36" s="63">
        <v>400</v>
      </c>
      <c r="N36" s="63">
        <v>400</v>
      </c>
      <c r="O36" s="63">
        <v>400</v>
      </c>
      <c r="P36" s="63">
        <v>400</v>
      </c>
      <c r="Q36" s="61">
        <f t="shared" si="3"/>
        <v>4800</v>
      </c>
      <c r="R36" s="61"/>
      <c r="S36" s="355"/>
      <c r="T36" s="61">
        <f>Q36/'Rooms Summary'!$Q$111</f>
        <v>0.10399740006499837</v>
      </c>
      <c r="U36" s="375"/>
      <c r="V36" s="360"/>
      <c r="X36" s="404"/>
    </row>
    <row r="37" spans="1:24" s="372" customFormat="1" ht="24.95" customHeight="1">
      <c r="A37" s="372" t="s">
        <v>186</v>
      </c>
      <c r="B37" s="373" t="s">
        <v>301</v>
      </c>
      <c r="D37" s="367" t="s">
        <v>187</v>
      </c>
      <c r="E37" s="63"/>
      <c r="F37" s="63"/>
      <c r="G37" s="63"/>
      <c r="H37" s="63">
        <v>1200</v>
      </c>
      <c r="I37" s="63">
        <v>2400</v>
      </c>
      <c r="J37" s="63">
        <v>2400</v>
      </c>
      <c r="K37" s="63">
        <v>2400</v>
      </c>
      <c r="L37" s="63">
        <v>1200</v>
      </c>
      <c r="M37" s="63">
        <v>1200</v>
      </c>
      <c r="N37" s="63">
        <v>1200</v>
      </c>
      <c r="O37" s="63">
        <v>1200</v>
      </c>
      <c r="P37" s="63">
        <v>1200</v>
      </c>
      <c r="Q37" s="61">
        <f t="shared" si="3"/>
        <v>14400</v>
      </c>
      <c r="R37" s="61"/>
      <c r="S37" s="355"/>
      <c r="T37" s="61">
        <f>Q37/'Rooms Summary'!$Q$111</f>
        <v>0.31199220019499513</v>
      </c>
      <c r="U37" s="375"/>
      <c r="V37" s="360" t="e">
        <f t="shared" si="4"/>
        <v>#DIV/0!</v>
      </c>
      <c r="X37" s="404"/>
    </row>
    <row r="38" spans="1:24" s="372" customFormat="1" ht="24.95" customHeight="1">
      <c r="A38" s="372" t="s">
        <v>188</v>
      </c>
      <c r="B38" s="373" t="s">
        <v>301</v>
      </c>
      <c r="D38" s="367" t="s">
        <v>189</v>
      </c>
      <c r="Q38" s="61">
        <f t="shared" si="3"/>
        <v>0</v>
      </c>
      <c r="R38" s="61"/>
      <c r="S38" s="355"/>
      <c r="T38" s="61">
        <f>Q38/'Rooms Summary'!$Q$111</f>
        <v>0</v>
      </c>
      <c r="U38" s="375"/>
      <c r="V38" s="360">
        <f t="shared" si="4"/>
        <v>0</v>
      </c>
    </row>
    <row r="39" spans="1:24" s="372" customFormat="1" ht="24.95" customHeight="1">
      <c r="A39" s="372" t="s">
        <v>190</v>
      </c>
      <c r="B39" s="373" t="s">
        <v>301</v>
      </c>
      <c r="D39" s="367" t="s">
        <v>1213</v>
      </c>
      <c r="E39" s="63"/>
      <c r="F39" s="63"/>
      <c r="G39" s="63"/>
      <c r="H39" s="63">
        <v>1917</v>
      </c>
      <c r="I39" s="63">
        <v>1917</v>
      </c>
      <c r="J39" s="63">
        <v>3834</v>
      </c>
      <c r="K39" s="63">
        <v>3834</v>
      </c>
      <c r="L39" s="63">
        <v>3834</v>
      </c>
      <c r="M39" s="63">
        <v>1917</v>
      </c>
      <c r="N39" s="63">
        <v>1917</v>
      </c>
      <c r="O39" s="63">
        <v>1917</v>
      </c>
      <c r="P39" s="63">
        <v>1917</v>
      </c>
      <c r="Q39" s="61">
        <f t="shared" si="3"/>
        <v>23004</v>
      </c>
      <c r="R39" s="61"/>
      <c r="S39" s="355"/>
      <c r="T39" s="61">
        <f>Q39/'Rooms Summary'!$Q$111</f>
        <v>0.49840753981150471</v>
      </c>
      <c r="U39" s="375"/>
      <c r="V39" s="360" t="e">
        <f t="shared" si="4"/>
        <v>#DIV/0!</v>
      </c>
      <c r="X39" s="382"/>
    </row>
    <row r="40" spans="1:24" s="372" customFormat="1" ht="24.95" customHeight="1">
      <c r="A40" s="372" t="s">
        <v>192</v>
      </c>
      <c r="B40" s="373" t="s">
        <v>301</v>
      </c>
      <c r="D40" s="367" t="s">
        <v>193</v>
      </c>
      <c r="E40" s="63"/>
      <c r="F40" s="63"/>
      <c r="G40" s="63"/>
      <c r="H40" s="63"/>
      <c r="I40" s="63"/>
      <c r="J40" s="63"/>
      <c r="K40" s="63"/>
      <c r="L40" s="63"/>
      <c r="M40" s="63"/>
      <c r="N40" s="63"/>
      <c r="O40" s="63"/>
      <c r="P40" s="63"/>
      <c r="Q40" s="61">
        <f t="shared" si="3"/>
        <v>0</v>
      </c>
      <c r="R40" s="61"/>
      <c r="S40" s="355"/>
      <c r="T40" s="61">
        <f>Q40/'Rooms Summary'!$Q$111</f>
        <v>0</v>
      </c>
      <c r="U40" s="375"/>
      <c r="V40" s="360">
        <f t="shared" si="4"/>
        <v>0</v>
      </c>
    </row>
    <row r="41" spans="1:24" s="372" customFormat="1" ht="24.75" customHeight="1">
      <c r="A41" s="372" t="s">
        <v>194</v>
      </c>
      <c r="B41" s="373" t="s">
        <v>301</v>
      </c>
      <c r="D41" s="367" t="s">
        <v>195</v>
      </c>
      <c r="E41" s="63"/>
      <c r="F41" s="63"/>
      <c r="G41" s="63"/>
      <c r="H41" s="63"/>
      <c r="I41" s="63"/>
      <c r="J41" s="63"/>
      <c r="K41" s="63"/>
      <c r="L41" s="63"/>
      <c r="M41" s="63"/>
      <c r="N41" s="63"/>
      <c r="O41" s="63"/>
      <c r="P41" s="63"/>
      <c r="Q41" s="61">
        <f t="shared" si="3"/>
        <v>0</v>
      </c>
      <c r="R41" s="61"/>
      <c r="S41" s="355"/>
      <c r="T41" s="61">
        <f>Q41/'Rooms Summary'!$Q$111</f>
        <v>0</v>
      </c>
      <c r="U41" s="375"/>
      <c r="V41" s="360">
        <f t="shared" si="4"/>
        <v>0</v>
      </c>
    </row>
    <row r="42" spans="1:24" s="372" customFormat="1" ht="24.95" customHeight="1">
      <c r="A42" s="372" t="s">
        <v>196</v>
      </c>
      <c r="B42" s="373" t="s">
        <v>301</v>
      </c>
      <c r="D42" s="367" t="s">
        <v>197</v>
      </c>
      <c r="E42" s="61">
        <v>230</v>
      </c>
      <c r="F42" s="61">
        <v>230</v>
      </c>
      <c r="G42" s="61">
        <v>230</v>
      </c>
      <c r="H42" s="61">
        <v>230</v>
      </c>
      <c r="I42" s="61">
        <v>230</v>
      </c>
      <c r="J42" s="61">
        <v>230</v>
      </c>
      <c r="K42" s="61">
        <v>230</v>
      </c>
      <c r="L42" s="61">
        <v>230</v>
      </c>
      <c r="M42" s="61">
        <v>230</v>
      </c>
      <c r="N42" s="61">
        <v>230</v>
      </c>
      <c r="O42" s="61">
        <v>230</v>
      </c>
      <c r="P42" s="61">
        <v>230</v>
      </c>
      <c r="Q42" s="61">
        <f t="shared" si="3"/>
        <v>2760</v>
      </c>
      <c r="R42" s="61"/>
      <c r="S42" s="355"/>
      <c r="T42" s="61">
        <f>Q42/'Rooms Summary'!$Q$111</f>
        <v>5.9798505037374064E-2</v>
      </c>
      <c r="U42" s="375"/>
      <c r="V42" s="360" t="e">
        <f t="shared" si="4"/>
        <v>#DIV/0!</v>
      </c>
    </row>
    <row r="43" spans="1:24" s="372" customFormat="1" ht="24.95" customHeight="1">
      <c r="A43" s="372" t="s">
        <v>198</v>
      </c>
      <c r="B43" s="373" t="s">
        <v>301</v>
      </c>
      <c r="D43" s="367" t="s">
        <v>199</v>
      </c>
      <c r="E43" s="63"/>
      <c r="F43" s="63"/>
      <c r="G43" s="63"/>
      <c r="H43" s="63"/>
      <c r="I43" s="63"/>
      <c r="J43" s="63"/>
      <c r="K43" s="63"/>
      <c r="L43" s="63"/>
      <c r="M43" s="63"/>
      <c r="N43" s="63"/>
      <c r="O43" s="63"/>
      <c r="P43" s="63"/>
      <c r="Q43" s="61">
        <f t="shared" si="3"/>
        <v>0</v>
      </c>
      <c r="R43" s="61"/>
      <c r="S43" s="355"/>
      <c r="T43" s="61">
        <f>Q43/'Rooms Summary'!$Q$111</f>
        <v>0</v>
      </c>
      <c r="U43" s="375"/>
      <c r="V43" s="360">
        <f t="shared" si="4"/>
        <v>0</v>
      </c>
    </row>
    <row r="44" spans="1:24" s="372" customFormat="1" ht="24.95" hidden="1" customHeight="1">
      <c r="A44" s="372" t="s">
        <v>200</v>
      </c>
      <c r="B44" s="373" t="s">
        <v>301</v>
      </c>
      <c r="D44" s="367" t="s">
        <v>201</v>
      </c>
      <c r="E44" s="63"/>
      <c r="F44" s="63"/>
      <c r="G44" s="63"/>
      <c r="H44" s="63"/>
      <c r="I44" s="63"/>
      <c r="J44" s="63"/>
      <c r="K44" s="63"/>
      <c r="L44" s="63"/>
      <c r="M44" s="63"/>
      <c r="N44" s="63"/>
      <c r="O44" s="63"/>
      <c r="P44" s="63"/>
      <c r="Q44" s="61">
        <f t="shared" si="3"/>
        <v>0</v>
      </c>
      <c r="R44" s="61"/>
      <c r="S44" s="355"/>
      <c r="T44" s="61">
        <f>Q44/'Rooms Summary'!$Q$111</f>
        <v>0</v>
      </c>
      <c r="U44" s="375"/>
      <c r="V44" s="360">
        <f t="shared" si="4"/>
        <v>0</v>
      </c>
    </row>
    <row r="45" spans="1:24" s="372" customFormat="1" ht="24.95" hidden="1" customHeight="1">
      <c r="A45" s="372" t="s">
        <v>202</v>
      </c>
      <c r="B45" s="373" t="s">
        <v>301</v>
      </c>
      <c r="D45" s="367" t="s">
        <v>203</v>
      </c>
      <c r="E45" s="63"/>
      <c r="F45" s="63"/>
      <c r="G45" s="63"/>
      <c r="H45" s="63"/>
      <c r="I45" s="63"/>
      <c r="J45" s="63"/>
      <c r="K45" s="63"/>
      <c r="L45" s="63"/>
      <c r="M45" s="63"/>
      <c r="N45" s="63"/>
      <c r="O45" s="63"/>
      <c r="P45" s="63"/>
      <c r="Q45" s="61">
        <f t="shared" si="3"/>
        <v>0</v>
      </c>
      <c r="R45" s="61"/>
      <c r="S45" s="355"/>
      <c r="T45" s="61">
        <f>Q45/'Rooms Summary'!$Q$111</f>
        <v>0</v>
      </c>
      <c r="U45" s="375"/>
      <c r="V45" s="360">
        <f t="shared" si="4"/>
        <v>0</v>
      </c>
    </row>
    <row r="46" spans="1:24" s="372" customFormat="1" ht="24.95" hidden="1" customHeight="1">
      <c r="A46" s="372" t="s">
        <v>204</v>
      </c>
      <c r="B46" s="373" t="s">
        <v>301</v>
      </c>
      <c r="D46" s="367" t="s">
        <v>205</v>
      </c>
      <c r="E46" s="63"/>
      <c r="F46" s="63"/>
      <c r="G46" s="63"/>
      <c r="H46" s="63"/>
      <c r="I46" s="63"/>
      <c r="J46" s="63"/>
      <c r="K46" s="63"/>
      <c r="L46" s="63"/>
      <c r="M46" s="63"/>
      <c r="N46" s="63"/>
      <c r="O46" s="63"/>
      <c r="P46" s="63"/>
      <c r="Q46" s="61">
        <f t="shared" si="3"/>
        <v>0</v>
      </c>
      <c r="R46" s="61"/>
      <c r="S46" s="355"/>
      <c r="T46" s="61">
        <f>Q46/'Rooms Summary'!$Q$111</f>
        <v>0</v>
      </c>
      <c r="U46" s="375"/>
      <c r="V46" s="360">
        <f t="shared" si="4"/>
        <v>0</v>
      </c>
    </row>
    <row r="47" spans="1:24" s="372" customFormat="1" ht="24.95" hidden="1" customHeight="1">
      <c r="A47" s="372" t="s">
        <v>206</v>
      </c>
      <c r="B47" s="373" t="s">
        <v>301</v>
      </c>
      <c r="D47" s="367" t="s">
        <v>207</v>
      </c>
      <c r="E47" s="63"/>
      <c r="F47" s="63"/>
      <c r="G47" s="63"/>
      <c r="H47" s="63"/>
      <c r="I47" s="63"/>
      <c r="J47" s="63"/>
      <c r="K47" s="63"/>
      <c r="L47" s="63"/>
      <c r="M47" s="63"/>
      <c r="N47" s="63"/>
      <c r="O47" s="63"/>
      <c r="P47" s="63"/>
      <c r="Q47" s="61">
        <f t="shared" si="3"/>
        <v>0</v>
      </c>
      <c r="R47" s="61"/>
      <c r="S47" s="355"/>
      <c r="T47" s="61">
        <f>Q47/'Rooms Summary'!$Q$111</f>
        <v>0</v>
      </c>
      <c r="U47" s="375"/>
      <c r="V47" s="360"/>
    </row>
    <row r="48" spans="1:24" s="372" customFormat="1" ht="24.95" hidden="1" customHeight="1">
      <c r="A48" s="372" t="s">
        <v>208</v>
      </c>
      <c r="B48" s="373" t="s">
        <v>301</v>
      </c>
      <c r="D48" s="367" t="s">
        <v>209</v>
      </c>
      <c r="E48" s="63"/>
      <c r="F48" s="63"/>
      <c r="G48" s="63"/>
      <c r="H48" s="63"/>
      <c r="I48" s="63"/>
      <c r="J48" s="63"/>
      <c r="K48" s="63"/>
      <c r="L48" s="63"/>
      <c r="M48" s="63"/>
      <c r="N48" s="63"/>
      <c r="O48" s="63"/>
      <c r="P48" s="63"/>
      <c r="Q48" s="61">
        <f t="shared" si="3"/>
        <v>0</v>
      </c>
      <c r="R48" s="61"/>
      <c r="S48" s="355"/>
      <c r="T48" s="61">
        <f>Q48/'Rooms Summary'!$Q$111</f>
        <v>0</v>
      </c>
      <c r="U48" s="375"/>
      <c r="V48" s="360">
        <f t="shared" si="4"/>
        <v>0</v>
      </c>
    </row>
    <row r="49" spans="1:22" s="372" customFormat="1" ht="24.95" customHeight="1">
      <c r="A49" s="372" t="s">
        <v>210</v>
      </c>
      <c r="B49" s="373" t="s">
        <v>301</v>
      </c>
      <c r="D49" s="367" t="s">
        <v>211</v>
      </c>
      <c r="E49" s="63">
        <v>4600</v>
      </c>
      <c r="F49" s="63">
        <v>4600</v>
      </c>
      <c r="G49" s="63">
        <v>4600</v>
      </c>
      <c r="H49" s="63">
        <v>4600</v>
      </c>
      <c r="I49" s="63">
        <v>4600</v>
      </c>
      <c r="J49" s="63">
        <v>4600</v>
      </c>
      <c r="K49" s="63">
        <v>4600</v>
      </c>
      <c r="L49" s="63">
        <v>4600</v>
      </c>
      <c r="M49" s="63">
        <v>4600</v>
      </c>
      <c r="N49" s="63">
        <v>4600</v>
      </c>
      <c r="O49" s="63">
        <v>4600</v>
      </c>
      <c r="P49" s="63">
        <v>4600</v>
      </c>
      <c r="Q49" s="61">
        <f t="shared" si="3"/>
        <v>55200</v>
      </c>
      <c r="R49" s="61"/>
      <c r="S49" s="355"/>
      <c r="T49" s="61">
        <f>Q49/'Rooms Summary'!$Q$111</f>
        <v>1.1959701007474812</v>
      </c>
      <c r="U49" s="375"/>
      <c r="V49" s="360" t="e">
        <f t="shared" si="4"/>
        <v>#DIV/0!</v>
      </c>
    </row>
    <row r="50" spans="1:22" s="3" customFormat="1" ht="24.95" customHeight="1">
      <c r="A50" s="3" t="s">
        <v>212</v>
      </c>
      <c r="B50" s="50" t="s">
        <v>301</v>
      </c>
      <c r="D50" s="26" t="s">
        <v>213</v>
      </c>
      <c r="E50" s="63"/>
      <c r="F50" s="63"/>
      <c r="G50" s="63"/>
      <c r="H50" s="63"/>
      <c r="I50" s="63"/>
      <c r="J50" s="63"/>
      <c r="K50" s="63"/>
      <c r="L50" s="63"/>
      <c r="M50" s="63"/>
      <c r="N50" s="63"/>
      <c r="O50" s="63"/>
      <c r="P50" s="63"/>
      <c r="Q50" s="61">
        <f t="shared" si="3"/>
        <v>0</v>
      </c>
      <c r="R50" s="61"/>
      <c r="S50" s="355"/>
      <c r="T50" s="61">
        <f>Q50/'Rooms Summary'!$Q$111</f>
        <v>0</v>
      </c>
      <c r="U50" s="35"/>
      <c r="V50" s="40">
        <f t="shared" si="4"/>
        <v>0</v>
      </c>
    </row>
    <row r="51" spans="1:22" s="3" customFormat="1" ht="24.95" hidden="1" customHeight="1">
      <c r="A51" s="3" t="s">
        <v>214</v>
      </c>
      <c r="B51" s="50" t="s">
        <v>301</v>
      </c>
      <c r="D51" s="26" t="s">
        <v>215</v>
      </c>
      <c r="E51" s="63"/>
      <c r="F51" s="63"/>
      <c r="G51" s="63"/>
      <c r="H51" s="63"/>
      <c r="I51" s="63"/>
      <c r="J51" s="63"/>
      <c r="K51" s="63"/>
      <c r="L51" s="63"/>
      <c r="M51" s="63"/>
      <c r="N51" s="63"/>
      <c r="O51" s="63"/>
      <c r="P51" s="63"/>
      <c r="Q51" s="61">
        <f t="shared" si="3"/>
        <v>0</v>
      </c>
      <c r="R51" s="61"/>
      <c r="S51" s="61"/>
      <c r="T51" s="61">
        <f>Q51/'Rooms Summary'!$Q$111</f>
        <v>0</v>
      </c>
      <c r="U51" s="35"/>
      <c r="V51" s="40">
        <f t="shared" si="4"/>
        <v>0</v>
      </c>
    </row>
    <row r="52" spans="1:22" s="3" customFormat="1" ht="24.95" hidden="1" customHeight="1">
      <c r="A52" s="3" t="s">
        <v>216</v>
      </c>
      <c r="B52" s="50" t="s">
        <v>301</v>
      </c>
      <c r="D52" s="26" t="s">
        <v>217</v>
      </c>
      <c r="E52" s="63"/>
      <c r="F52" s="63"/>
      <c r="G52" s="63"/>
      <c r="H52" s="63"/>
      <c r="I52" s="63"/>
      <c r="J52" s="63"/>
      <c r="K52" s="63"/>
      <c r="L52" s="63"/>
      <c r="M52" s="63"/>
      <c r="N52" s="63"/>
      <c r="O52" s="63"/>
      <c r="P52" s="63"/>
      <c r="Q52" s="61">
        <f t="shared" si="3"/>
        <v>0</v>
      </c>
      <c r="R52" s="61"/>
      <c r="S52" s="61"/>
      <c r="T52" s="61">
        <f>Q52/'Rooms Summary'!$Q$111</f>
        <v>0</v>
      </c>
      <c r="U52" s="35"/>
      <c r="V52" s="40">
        <f t="shared" si="4"/>
        <v>0</v>
      </c>
    </row>
    <row r="53" spans="1:22" s="3" customFormat="1" ht="24.95" hidden="1" customHeight="1">
      <c r="A53" s="3" t="s">
        <v>218</v>
      </c>
      <c r="B53" s="50" t="s">
        <v>301</v>
      </c>
      <c r="D53" s="26" t="s">
        <v>219</v>
      </c>
      <c r="E53" s="63"/>
      <c r="F53" s="63"/>
      <c r="G53" s="63"/>
      <c r="H53" s="63"/>
      <c r="I53" s="63"/>
      <c r="J53" s="63"/>
      <c r="K53" s="63"/>
      <c r="L53" s="63"/>
      <c r="M53" s="63"/>
      <c r="N53" s="63"/>
      <c r="O53" s="63"/>
      <c r="P53" s="63"/>
      <c r="Q53" s="61">
        <f t="shared" si="3"/>
        <v>0</v>
      </c>
      <c r="R53" s="61"/>
      <c r="S53" s="61"/>
      <c r="T53" s="61">
        <f>Q53/'Rooms Summary'!$Q$111</f>
        <v>0</v>
      </c>
      <c r="U53" s="35"/>
      <c r="V53" s="40">
        <f t="shared" si="4"/>
        <v>0</v>
      </c>
    </row>
    <row r="54" spans="1:22" s="3" customFormat="1" ht="24.95" hidden="1" customHeight="1">
      <c r="A54" s="3" t="s">
        <v>220</v>
      </c>
      <c r="B54" s="50" t="s">
        <v>301</v>
      </c>
      <c r="D54" s="26" t="s">
        <v>221</v>
      </c>
      <c r="E54" s="63"/>
      <c r="F54" s="63"/>
      <c r="G54" s="63"/>
      <c r="H54" s="63"/>
      <c r="I54" s="63"/>
      <c r="J54" s="63"/>
      <c r="K54" s="63"/>
      <c r="L54" s="63"/>
      <c r="M54" s="63"/>
      <c r="N54" s="63"/>
      <c r="O54" s="63"/>
      <c r="P54" s="63"/>
      <c r="Q54" s="61">
        <f t="shared" si="3"/>
        <v>0</v>
      </c>
      <c r="R54" s="61"/>
      <c r="S54" s="61"/>
      <c r="T54" s="61">
        <f>Q54/'Rooms Summary'!$Q$111</f>
        <v>0</v>
      </c>
      <c r="U54" s="35"/>
      <c r="V54" s="40">
        <f t="shared" si="4"/>
        <v>0</v>
      </c>
    </row>
    <row r="55" spans="1:22" s="3" customFormat="1" ht="24.95" hidden="1" customHeight="1">
      <c r="A55" s="3" t="s">
        <v>222</v>
      </c>
      <c r="B55" s="50" t="s">
        <v>301</v>
      </c>
      <c r="D55" s="26" t="s">
        <v>223</v>
      </c>
      <c r="E55" s="63"/>
      <c r="F55" s="63"/>
      <c r="G55" s="63"/>
      <c r="H55" s="63"/>
      <c r="I55" s="63"/>
      <c r="J55" s="63"/>
      <c r="K55" s="63"/>
      <c r="L55" s="63"/>
      <c r="M55" s="63"/>
      <c r="N55" s="63"/>
      <c r="O55" s="63"/>
      <c r="P55" s="63"/>
      <c r="Q55" s="61">
        <f t="shared" si="3"/>
        <v>0</v>
      </c>
      <c r="R55" s="61"/>
      <c r="S55" s="61"/>
      <c r="T55" s="61">
        <f>Q55/'Rooms Summary'!$Q$111</f>
        <v>0</v>
      </c>
      <c r="U55" s="35"/>
      <c r="V55" s="40">
        <f t="shared" si="4"/>
        <v>0</v>
      </c>
    </row>
    <row r="56" spans="1:22" s="3" customFormat="1" ht="24.95" hidden="1" customHeight="1">
      <c r="A56" s="3" t="s">
        <v>224</v>
      </c>
      <c r="B56" s="50" t="s">
        <v>301</v>
      </c>
      <c r="D56" s="26" t="s">
        <v>225</v>
      </c>
      <c r="E56" s="63"/>
      <c r="F56" s="63"/>
      <c r="G56" s="63"/>
      <c r="H56" s="63"/>
      <c r="I56" s="63"/>
      <c r="J56" s="63"/>
      <c r="K56" s="63"/>
      <c r="L56" s="63"/>
      <c r="M56" s="63"/>
      <c r="N56" s="63"/>
      <c r="O56" s="63"/>
      <c r="P56" s="63"/>
      <c r="Q56" s="61">
        <f t="shared" si="3"/>
        <v>0</v>
      </c>
      <c r="R56" s="61"/>
      <c r="S56" s="61"/>
      <c r="T56" s="61">
        <f>Q56/'Rooms Summary'!$Q$111</f>
        <v>0</v>
      </c>
      <c r="U56" s="35"/>
      <c r="V56" s="40">
        <f t="shared" si="4"/>
        <v>0</v>
      </c>
    </row>
    <row r="57" spans="1:22" s="3" customFormat="1" ht="24.95" hidden="1" customHeight="1">
      <c r="A57" s="3" t="s">
        <v>226</v>
      </c>
      <c r="B57" s="50" t="s">
        <v>301</v>
      </c>
      <c r="D57" s="26" t="s">
        <v>227</v>
      </c>
      <c r="E57" s="63"/>
      <c r="F57" s="63"/>
      <c r="G57" s="63"/>
      <c r="H57" s="63"/>
      <c r="I57" s="63"/>
      <c r="J57" s="63"/>
      <c r="K57" s="63"/>
      <c r="L57" s="63"/>
      <c r="M57" s="63"/>
      <c r="N57" s="63"/>
      <c r="O57" s="63"/>
      <c r="P57" s="63"/>
      <c r="Q57" s="61">
        <f t="shared" si="3"/>
        <v>0</v>
      </c>
      <c r="R57" s="61"/>
      <c r="S57" s="61"/>
      <c r="T57" s="61">
        <f>Q57/'Rooms Summary'!$Q$111</f>
        <v>0</v>
      </c>
      <c r="U57" s="35"/>
      <c r="V57" s="40">
        <f t="shared" si="4"/>
        <v>0</v>
      </c>
    </row>
    <row r="58" spans="1:22" s="3" customFormat="1" ht="24.95" hidden="1" customHeight="1">
      <c r="A58" s="3" t="s">
        <v>228</v>
      </c>
      <c r="B58" s="50" t="s">
        <v>301</v>
      </c>
      <c r="D58" s="26" t="s">
        <v>229</v>
      </c>
      <c r="E58" s="63"/>
      <c r="F58" s="63"/>
      <c r="G58" s="63"/>
      <c r="H58" s="63"/>
      <c r="I58" s="63"/>
      <c r="J58" s="63"/>
      <c r="K58" s="63"/>
      <c r="L58" s="63"/>
      <c r="M58" s="63"/>
      <c r="N58" s="63"/>
      <c r="O58" s="63"/>
      <c r="P58" s="63"/>
      <c r="Q58" s="61">
        <f t="shared" si="3"/>
        <v>0</v>
      </c>
      <c r="R58" s="61"/>
      <c r="S58" s="61"/>
      <c r="T58" s="61">
        <f>Q58/'Rooms Summary'!$Q$111</f>
        <v>0</v>
      </c>
      <c r="U58" s="35"/>
      <c r="V58" s="40">
        <f t="shared" si="4"/>
        <v>0</v>
      </c>
    </row>
    <row r="59" spans="1:22" s="3" customFormat="1" ht="24.95" hidden="1" customHeight="1">
      <c r="A59" s="3" t="s">
        <v>230</v>
      </c>
      <c r="B59" s="50" t="s">
        <v>301</v>
      </c>
      <c r="D59" s="26" t="s">
        <v>231</v>
      </c>
      <c r="E59" s="63"/>
      <c r="F59" s="63"/>
      <c r="G59" s="63"/>
      <c r="H59" s="63"/>
      <c r="I59" s="63"/>
      <c r="J59" s="63"/>
      <c r="K59" s="63"/>
      <c r="L59" s="63"/>
      <c r="M59" s="63"/>
      <c r="N59" s="63"/>
      <c r="O59" s="63"/>
      <c r="P59" s="63"/>
      <c r="Q59" s="61">
        <f t="shared" si="3"/>
        <v>0</v>
      </c>
      <c r="R59" s="61"/>
      <c r="S59" s="61"/>
      <c r="T59" s="61">
        <f>Q59/'Rooms Summary'!$Q$111</f>
        <v>0</v>
      </c>
      <c r="U59" s="35"/>
      <c r="V59" s="40">
        <f t="shared" si="4"/>
        <v>0</v>
      </c>
    </row>
    <row r="60" spans="1:22" s="3" customFormat="1" ht="24.95" hidden="1" customHeight="1">
      <c r="A60" s="3" t="s">
        <v>232</v>
      </c>
      <c r="B60" s="50" t="s">
        <v>301</v>
      </c>
      <c r="D60" s="26" t="s">
        <v>233</v>
      </c>
      <c r="E60" s="63"/>
      <c r="F60" s="63"/>
      <c r="G60" s="63"/>
      <c r="H60" s="63"/>
      <c r="I60" s="63"/>
      <c r="J60" s="63"/>
      <c r="K60" s="63"/>
      <c r="L60" s="63"/>
      <c r="M60" s="63"/>
      <c r="N60" s="63"/>
      <c r="O60" s="63"/>
      <c r="P60" s="63"/>
      <c r="Q60" s="61">
        <f t="shared" si="3"/>
        <v>0</v>
      </c>
      <c r="R60" s="61"/>
      <c r="S60" s="61"/>
      <c r="T60" s="61">
        <f>Q60/'Rooms Summary'!$Q$111</f>
        <v>0</v>
      </c>
      <c r="U60" s="35"/>
      <c r="V60" s="40">
        <f t="shared" si="4"/>
        <v>0</v>
      </c>
    </row>
    <row r="61" spans="1:22" s="3" customFormat="1" ht="24.95" hidden="1" customHeight="1">
      <c r="A61" s="3" t="s">
        <v>234</v>
      </c>
      <c r="B61" s="50" t="s">
        <v>301</v>
      </c>
      <c r="D61" s="26" t="s">
        <v>235</v>
      </c>
      <c r="E61" s="63"/>
      <c r="F61" s="63"/>
      <c r="G61" s="63"/>
      <c r="H61" s="63"/>
      <c r="I61" s="63"/>
      <c r="J61" s="63"/>
      <c r="K61" s="63"/>
      <c r="L61" s="63"/>
      <c r="M61" s="63"/>
      <c r="N61" s="63"/>
      <c r="O61" s="63"/>
      <c r="P61" s="63"/>
      <c r="Q61" s="61">
        <f t="shared" si="3"/>
        <v>0</v>
      </c>
      <c r="R61" s="61"/>
      <c r="S61" s="61"/>
      <c r="T61" s="61">
        <f>Q61/'Rooms Summary'!$Q$111</f>
        <v>0</v>
      </c>
      <c r="U61" s="35"/>
      <c r="V61" s="40">
        <f t="shared" si="4"/>
        <v>0</v>
      </c>
    </row>
    <row r="62" spans="1:22" s="3" customFormat="1" ht="24.95" customHeight="1">
      <c r="A62" s="3" t="s">
        <v>236</v>
      </c>
      <c r="B62" s="50" t="s">
        <v>301</v>
      </c>
      <c r="D62" s="26" t="s">
        <v>237</v>
      </c>
      <c r="E62" s="63"/>
      <c r="F62" s="63"/>
      <c r="G62" s="63"/>
      <c r="H62" s="63"/>
      <c r="I62" s="63"/>
      <c r="J62" s="63"/>
      <c r="K62" s="63"/>
      <c r="L62" s="63"/>
      <c r="M62" s="63"/>
      <c r="N62" s="63"/>
      <c r="O62" s="63"/>
      <c r="P62" s="63"/>
      <c r="Q62" s="61">
        <f t="shared" si="3"/>
        <v>0</v>
      </c>
      <c r="R62" s="61"/>
      <c r="S62" s="61"/>
      <c r="T62" s="61">
        <f>Q62/'Rooms Summary'!$Q$111</f>
        <v>0</v>
      </c>
      <c r="U62" s="35"/>
      <c r="V62" s="40">
        <f t="shared" si="4"/>
        <v>0</v>
      </c>
    </row>
    <row r="63" spans="1:22" s="3" customFormat="1" ht="24.95" hidden="1" customHeight="1">
      <c r="A63" s="3" t="s">
        <v>238</v>
      </c>
      <c r="B63" s="50" t="s">
        <v>301</v>
      </c>
      <c r="D63" s="26" t="s">
        <v>239</v>
      </c>
      <c r="E63" s="63"/>
      <c r="F63" s="63"/>
      <c r="G63" s="63"/>
      <c r="H63" s="63"/>
      <c r="I63" s="63"/>
      <c r="J63" s="63"/>
      <c r="K63" s="63"/>
      <c r="L63" s="63"/>
      <c r="M63" s="63"/>
      <c r="N63" s="63"/>
      <c r="O63" s="63"/>
      <c r="P63" s="63"/>
      <c r="Q63" s="61">
        <f t="shared" si="3"/>
        <v>0</v>
      </c>
      <c r="R63" s="61"/>
      <c r="S63" s="61"/>
      <c r="T63" s="61">
        <f>Q63/'Rooms Summary'!$Q$111</f>
        <v>0</v>
      </c>
      <c r="U63" s="35"/>
      <c r="V63" s="40">
        <f t="shared" si="4"/>
        <v>0</v>
      </c>
    </row>
    <row r="64" spans="1:22" s="3" customFormat="1" ht="24.95" hidden="1" customHeight="1">
      <c r="A64" s="3" t="s">
        <v>240</v>
      </c>
      <c r="B64" s="50" t="s">
        <v>301</v>
      </c>
      <c r="D64" s="26" t="s">
        <v>241</v>
      </c>
      <c r="E64" s="63"/>
      <c r="F64" s="63"/>
      <c r="G64" s="63"/>
      <c r="H64" s="63"/>
      <c r="I64" s="63"/>
      <c r="J64" s="63"/>
      <c r="K64" s="63"/>
      <c r="L64" s="63"/>
      <c r="M64" s="63"/>
      <c r="N64" s="63"/>
      <c r="O64" s="63"/>
      <c r="P64" s="63"/>
      <c r="Q64" s="61">
        <f t="shared" si="3"/>
        <v>0</v>
      </c>
      <c r="R64" s="61"/>
      <c r="S64" s="61"/>
      <c r="T64" s="61">
        <f>Q64/'Rooms Summary'!$Q$111</f>
        <v>0</v>
      </c>
      <c r="U64" s="35"/>
      <c r="V64" s="40">
        <f t="shared" si="4"/>
        <v>0</v>
      </c>
    </row>
    <row r="65" spans="1:22" s="3" customFormat="1" ht="24.95" hidden="1" customHeight="1">
      <c r="A65" s="3" t="s">
        <v>242</v>
      </c>
      <c r="B65" s="50" t="s">
        <v>301</v>
      </c>
      <c r="D65" s="26" t="s">
        <v>243</v>
      </c>
      <c r="E65" s="63"/>
      <c r="F65" s="63"/>
      <c r="G65" s="63"/>
      <c r="H65" s="63"/>
      <c r="I65" s="63"/>
      <c r="J65" s="63"/>
      <c r="K65" s="63"/>
      <c r="L65" s="63"/>
      <c r="M65" s="63"/>
      <c r="N65" s="63"/>
      <c r="O65" s="63"/>
      <c r="P65" s="63"/>
      <c r="Q65" s="61">
        <f t="shared" si="3"/>
        <v>0</v>
      </c>
      <c r="R65" s="61"/>
      <c r="S65" s="61"/>
      <c r="T65" s="61">
        <f>Q65/'Rooms Summary'!$Q$111</f>
        <v>0</v>
      </c>
      <c r="U65" s="35"/>
      <c r="V65" s="40">
        <f t="shared" si="4"/>
        <v>0</v>
      </c>
    </row>
    <row r="66" spans="1:22" s="3" customFormat="1" ht="24.95" hidden="1" customHeight="1">
      <c r="A66" s="3" t="s">
        <v>244</v>
      </c>
      <c r="B66" s="50" t="s">
        <v>301</v>
      </c>
      <c r="D66" s="26" t="s">
        <v>245</v>
      </c>
      <c r="E66" s="63"/>
      <c r="F66" s="63"/>
      <c r="G66" s="63"/>
      <c r="H66" s="63"/>
      <c r="I66" s="63"/>
      <c r="J66" s="63"/>
      <c r="K66" s="63"/>
      <c r="L66" s="63"/>
      <c r="M66" s="63"/>
      <c r="N66" s="63"/>
      <c r="O66" s="63"/>
      <c r="P66" s="63"/>
      <c r="Q66" s="61">
        <f t="shared" si="3"/>
        <v>0</v>
      </c>
      <c r="R66" s="61"/>
      <c r="S66" s="61"/>
      <c r="T66" s="61">
        <f>Q66/'Rooms Summary'!$Q$111</f>
        <v>0</v>
      </c>
      <c r="U66" s="35"/>
      <c r="V66" s="40">
        <f t="shared" si="4"/>
        <v>0</v>
      </c>
    </row>
    <row r="67" spans="1:22" s="3" customFormat="1" ht="24.95" customHeight="1">
      <c r="A67" s="3" t="s">
        <v>246</v>
      </c>
      <c r="B67" s="50" t="s">
        <v>301</v>
      </c>
      <c r="D67" s="26" t="s">
        <v>247</v>
      </c>
      <c r="E67" s="63">
        <v>100</v>
      </c>
      <c r="F67" s="63"/>
      <c r="G67" s="63"/>
      <c r="H67" s="63"/>
      <c r="I67" s="63">
        <v>100</v>
      </c>
      <c r="J67" s="63"/>
      <c r="K67" s="63"/>
      <c r="L67" s="63"/>
      <c r="M67" s="63"/>
      <c r="N67" s="63">
        <v>100</v>
      </c>
      <c r="O67" s="63"/>
      <c r="P67" s="63"/>
      <c r="Q67" s="61">
        <f t="shared" si="3"/>
        <v>300</v>
      </c>
      <c r="R67" s="61"/>
      <c r="S67" s="61"/>
      <c r="T67" s="61">
        <f>Q67/'Rooms Summary'!$Q$111</f>
        <v>6.4998375040623982E-3</v>
      </c>
      <c r="U67" s="35"/>
      <c r="V67" s="40"/>
    </row>
    <row r="68" spans="1:22" s="3" customFormat="1" ht="24.95" customHeight="1">
      <c r="A68" s="3" t="s">
        <v>248</v>
      </c>
      <c r="B68" s="50" t="s">
        <v>301</v>
      </c>
      <c r="D68" s="26" t="s">
        <v>249</v>
      </c>
      <c r="E68" s="63">
        <v>300</v>
      </c>
      <c r="F68" s="63">
        <v>300</v>
      </c>
      <c r="G68" s="63">
        <v>300</v>
      </c>
      <c r="H68" s="63">
        <v>300</v>
      </c>
      <c r="I68" s="63">
        <v>300</v>
      </c>
      <c r="J68" s="63">
        <v>300</v>
      </c>
      <c r="K68" s="63">
        <v>300</v>
      </c>
      <c r="L68" s="63">
        <v>300</v>
      </c>
      <c r="M68" s="63">
        <v>300</v>
      </c>
      <c r="N68" s="63">
        <v>300</v>
      </c>
      <c r="O68" s="63">
        <v>300</v>
      </c>
      <c r="P68" s="63">
        <v>300</v>
      </c>
      <c r="Q68" s="61">
        <f t="shared" si="3"/>
        <v>3600</v>
      </c>
      <c r="R68" s="61"/>
      <c r="S68" s="61"/>
      <c r="T68" s="61">
        <f>Q68/'Rooms Summary'!$Q$111</f>
        <v>7.7998050048748782E-2</v>
      </c>
      <c r="U68" s="35"/>
      <c r="V68" s="40" t="e">
        <f t="shared" si="4"/>
        <v>#DIV/0!</v>
      </c>
    </row>
    <row r="69" spans="1:22" s="3" customFormat="1" ht="24.6" customHeight="1">
      <c r="A69" s="3" t="s">
        <v>250</v>
      </c>
      <c r="B69" s="50" t="s">
        <v>301</v>
      </c>
      <c r="D69" s="26" t="s">
        <v>251</v>
      </c>
      <c r="E69" s="61">
        <f>Laundry!E202</f>
        <v>10211.58</v>
      </c>
      <c r="F69" s="61">
        <f>Laundry!F202</f>
        <v>10952.550000000001</v>
      </c>
      <c r="G69" s="61">
        <f>Laundry!G202</f>
        <v>10184.19</v>
      </c>
      <c r="H69" s="61">
        <f>Laundry!H202</f>
        <v>11016.09</v>
      </c>
      <c r="I69" s="61">
        <f>Laundry!I202</f>
        <v>11118.630000000001</v>
      </c>
      <c r="J69" s="61">
        <f>Laundry!J202</f>
        <v>11193.51</v>
      </c>
      <c r="K69" s="61">
        <f>Laundry!K202</f>
        <v>11110.92</v>
      </c>
      <c r="L69" s="61">
        <f>Laundry!L202</f>
        <v>11150.36</v>
      </c>
      <c r="M69" s="61">
        <f>Laundry!M202</f>
        <v>11666.78</v>
      </c>
      <c r="N69" s="61">
        <f>Laundry!N202</f>
        <v>12407.74</v>
      </c>
      <c r="O69" s="61">
        <f>Laundry!O202</f>
        <v>10807.29</v>
      </c>
      <c r="P69" s="61">
        <f>Laundry!P202</f>
        <v>10657.42</v>
      </c>
      <c r="Q69" s="61">
        <f t="shared" si="3"/>
        <v>132477.06000000003</v>
      </c>
      <c r="R69" s="61"/>
      <c r="S69" s="61"/>
      <c r="T69" s="61">
        <f>Q69/'Rooms Summary'!$Q$111</f>
        <v>2.870264543386416</v>
      </c>
      <c r="U69" s="35"/>
      <c r="V69" s="40" t="e">
        <f t="shared" si="4"/>
        <v>#DIV/0!</v>
      </c>
    </row>
    <row r="70" spans="1:22" s="3" customFormat="1" ht="24.95" customHeight="1">
      <c r="A70" s="3" t="s">
        <v>252</v>
      </c>
      <c r="B70" s="50" t="s">
        <v>301</v>
      </c>
      <c r="D70" s="26" t="s">
        <v>253</v>
      </c>
      <c r="E70" s="63"/>
      <c r="F70" s="63"/>
      <c r="G70" s="63"/>
      <c r="H70" s="63"/>
      <c r="I70" s="63"/>
      <c r="J70" s="61"/>
      <c r="K70" s="61"/>
      <c r="L70" s="61"/>
      <c r="M70" s="61"/>
      <c r="N70" s="61"/>
      <c r="O70" s="61"/>
      <c r="P70" s="61"/>
      <c r="Q70" s="61">
        <f t="shared" si="3"/>
        <v>0</v>
      </c>
      <c r="R70" s="61"/>
      <c r="S70" s="61"/>
      <c r="T70" s="61">
        <f>Q70/'Rooms Summary'!$Q$111</f>
        <v>0</v>
      </c>
      <c r="U70" s="35"/>
      <c r="V70" s="40">
        <f t="shared" si="4"/>
        <v>0</v>
      </c>
    </row>
    <row r="71" spans="1:22" s="3" customFormat="1" ht="24.6" customHeight="1">
      <c r="A71" s="3" t="s">
        <v>254</v>
      </c>
      <c r="B71" s="50" t="s">
        <v>301</v>
      </c>
      <c r="D71" s="26" t="s">
        <v>357</v>
      </c>
      <c r="E71" s="63">
        <v>850</v>
      </c>
      <c r="F71" s="63">
        <v>850</v>
      </c>
      <c r="G71" s="63">
        <v>850</v>
      </c>
      <c r="H71" s="63">
        <v>850</v>
      </c>
      <c r="I71" s="63">
        <v>850</v>
      </c>
      <c r="J71" s="63">
        <v>850</v>
      </c>
      <c r="K71" s="63">
        <v>850</v>
      </c>
      <c r="L71" s="63">
        <v>850</v>
      </c>
      <c r="M71" s="63">
        <v>850</v>
      </c>
      <c r="N71" s="63">
        <v>850</v>
      </c>
      <c r="O71" s="63">
        <v>850</v>
      </c>
      <c r="P71" s="63">
        <v>850</v>
      </c>
      <c r="Q71" s="61">
        <f t="shared" si="3"/>
        <v>10200</v>
      </c>
      <c r="R71" s="61"/>
      <c r="S71" s="61"/>
      <c r="T71" s="61">
        <f>Q71/'Rooms Summary'!$Q$111</f>
        <v>0.22099447513812154</v>
      </c>
      <c r="U71" s="35"/>
      <c r="V71" s="40" t="e">
        <f t="shared" si="4"/>
        <v>#DIV/0!</v>
      </c>
    </row>
    <row r="72" spans="1:22" s="3" customFormat="1" ht="24.95" hidden="1" customHeight="1">
      <c r="A72" s="3" t="s">
        <v>256</v>
      </c>
      <c r="B72" s="50" t="s">
        <v>301</v>
      </c>
      <c r="D72" s="26" t="s">
        <v>257</v>
      </c>
      <c r="E72" s="63"/>
      <c r="F72" s="63"/>
      <c r="G72" s="63"/>
      <c r="H72" s="63"/>
      <c r="I72" s="63"/>
      <c r="J72" s="63"/>
      <c r="K72" s="63"/>
      <c r="L72" s="63"/>
      <c r="M72" s="63"/>
      <c r="N72" s="63"/>
      <c r="O72" s="63"/>
      <c r="P72" s="63"/>
      <c r="Q72" s="61">
        <f t="shared" si="3"/>
        <v>0</v>
      </c>
      <c r="R72" s="61"/>
      <c r="S72" s="61"/>
      <c r="T72" s="61">
        <f>Q72/'Rooms Summary'!$Q$111</f>
        <v>0</v>
      </c>
      <c r="U72" s="35"/>
      <c r="V72" s="40">
        <f t="shared" si="4"/>
        <v>0</v>
      </c>
    </row>
    <row r="73" spans="1:22" s="3" customFormat="1" ht="24.95" customHeight="1">
      <c r="A73" s="3" t="s">
        <v>258</v>
      </c>
      <c r="B73" s="50" t="s">
        <v>301</v>
      </c>
      <c r="D73" s="26" t="s">
        <v>259</v>
      </c>
      <c r="E73" s="63"/>
      <c r="F73" s="63"/>
      <c r="G73" s="63"/>
      <c r="H73" s="63"/>
      <c r="I73" s="63"/>
      <c r="J73" s="63"/>
      <c r="K73" s="63"/>
      <c r="L73" s="63"/>
      <c r="M73" s="63"/>
      <c r="N73" s="63"/>
      <c r="O73" s="63"/>
      <c r="P73" s="63"/>
      <c r="Q73" s="61">
        <f t="shared" si="3"/>
        <v>0</v>
      </c>
      <c r="R73" s="61"/>
      <c r="S73" s="61"/>
      <c r="T73" s="61">
        <f>Q73/'Rooms Summary'!$Q$111</f>
        <v>0</v>
      </c>
      <c r="U73" s="35"/>
      <c r="V73" s="40">
        <f t="shared" si="4"/>
        <v>0</v>
      </c>
    </row>
    <row r="74" spans="1:22" s="3" customFormat="1" ht="24.95" customHeight="1">
      <c r="A74" s="3" t="s">
        <v>260</v>
      </c>
      <c r="B74" s="50" t="s">
        <v>301</v>
      </c>
      <c r="D74" s="26" t="s">
        <v>261</v>
      </c>
      <c r="E74" s="63"/>
      <c r="F74" s="63"/>
      <c r="G74" s="63"/>
      <c r="H74" s="63">
        <v>5000</v>
      </c>
      <c r="I74" s="63"/>
      <c r="J74" s="63"/>
      <c r="K74" s="63"/>
      <c r="L74" s="63"/>
      <c r="M74" s="63"/>
      <c r="N74" s="63"/>
      <c r="O74" s="63"/>
      <c r="P74" s="63"/>
      <c r="Q74" s="61">
        <f t="shared" si="3"/>
        <v>5000</v>
      </c>
      <c r="R74" s="61"/>
      <c r="S74" s="61"/>
      <c r="T74" s="61">
        <f>Q74/'Rooms Summary'!$Q$111</f>
        <v>0.10833062506770665</v>
      </c>
      <c r="U74" s="35"/>
      <c r="V74" s="40" t="e">
        <f t="shared" si="4"/>
        <v>#DIV/0!</v>
      </c>
    </row>
    <row r="75" spans="1:22" s="3" customFormat="1" ht="24.95" customHeight="1">
      <c r="A75" s="3" t="s">
        <v>262</v>
      </c>
      <c r="B75" s="50" t="s">
        <v>301</v>
      </c>
      <c r="D75" s="26" t="s">
        <v>263</v>
      </c>
      <c r="E75" s="63"/>
      <c r="F75" s="63"/>
      <c r="G75" s="63"/>
      <c r="H75" s="63"/>
      <c r="I75" s="63"/>
      <c r="J75" s="63"/>
      <c r="K75" s="63"/>
      <c r="L75" s="63"/>
      <c r="M75" s="63"/>
      <c r="N75" s="63"/>
      <c r="O75" s="63"/>
      <c r="P75" s="63"/>
      <c r="Q75" s="61">
        <f t="shared" si="3"/>
        <v>0</v>
      </c>
      <c r="R75" s="61"/>
      <c r="S75" s="61"/>
      <c r="T75" s="61">
        <f>Q75/'Rooms Summary'!$Q$111</f>
        <v>0</v>
      </c>
      <c r="U75" s="35"/>
      <c r="V75" s="40">
        <f t="shared" si="4"/>
        <v>0</v>
      </c>
    </row>
    <row r="76" spans="1:22" s="3" customFormat="1" ht="24.95" customHeight="1">
      <c r="A76" s="3" t="s">
        <v>264</v>
      </c>
      <c r="B76" s="50" t="s">
        <v>301</v>
      </c>
      <c r="D76" s="26" t="s">
        <v>265</v>
      </c>
      <c r="E76" s="63"/>
      <c r="F76" s="63"/>
      <c r="G76" s="63"/>
      <c r="H76" s="63"/>
      <c r="I76" s="63"/>
      <c r="J76" s="63"/>
      <c r="K76" s="63"/>
      <c r="L76" s="63"/>
      <c r="M76" s="63"/>
      <c r="N76" s="63"/>
      <c r="O76" s="63"/>
      <c r="P76" s="63"/>
      <c r="Q76" s="61">
        <f t="shared" si="3"/>
        <v>0</v>
      </c>
      <c r="R76" s="61"/>
      <c r="S76" s="61"/>
      <c r="T76" s="61">
        <f>Q76/'Rooms Summary'!$Q$111</f>
        <v>0</v>
      </c>
      <c r="U76" s="35"/>
      <c r="V76" s="40">
        <f t="shared" si="4"/>
        <v>0</v>
      </c>
    </row>
    <row r="77" spans="1:22" s="3" customFormat="1" ht="24.95" customHeight="1">
      <c r="A77" s="3" t="s">
        <v>266</v>
      </c>
      <c r="B77" s="50" t="s">
        <v>301</v>
      </c>
      <c r="D77" s="26" t="s">
        <v>267</v>
      </c>
      <c r="E77" s="63"/>
      <c r="F77" s="63"/>
      <c r="G77" s="63"/>
      <c r="H77" s="63"/>
      <c r="I77" s="63"/>
      <c r="J77" s="63"/>
      <c r="K77" s="63"/>
      <c r="L77" s="63"/>
      <c r="M77" s="63"/>
      <c r="N77" s="63"/>
      <c r="O77" s="63"/>
      <c r="P77" s="63"/>
      <c r="Q77" s="61">
        <f>SUM(E77:P77)</f>
        <v>0</v>
      </c>
      <c r="R77" s="61"/>
      <c r="S77" s="61"/>
      <c r="T77" s="61">
        <f>Q77/'Rooms Summary'!$Q$111</f>
        <v>0</v>
      </c>
      <c r="U77" s="35"/>
      <c r="V77" s="40">
        <f t="shared" si="4"/>
        <v>0</v>
      </c>
    </row>
    <row r="78" spans="1:22" s="3" customFormat="1" ht="24.95" customHeight="1">
      <c r="A78" s="3" t="s">
        <v>268</v>
      </c>
      <c r="B78" s="50" t="s">
        <v>301</v>
      </c>
      <c r="D78" s="26" t="s">
        <v>269</v>
      </c>
      <c r="E78" s="63"/>
      <c r="F78" s="63"/>
      <c r="G78" s="63"/>
      <c r="H78" s="63"/>
      <c r="I78" s="63"/>
      <c r="J78" s="63"/>
      <c r="K78" s="63"/>
      <c r="L78" s="63"/>
      <c r="M78" s="63"/>
      <c r="N78" s="63"/>
      <c r="O78" s="63"/>
      <c r="P78" s="63"/>
      <c r="Q78" s="61">
        <f t="shared" si="3"/>
        <v>0</v>
      </c>
      <c r="R78" s="61"/>
      <c r="S78" s="61"/>
      <c r="T78" s="61">
        <f>Q78/'Rooms Summary'!$Q$111</f>
        <v>0</v>
      </c>
      <c r="U78" s="35"/>
      <c r="V78" s="40">
        <f t="shared" si="4"/>
        <v>0</v>
      </c>
    </row>
    <row r="79" spans="1:22" s="3" customFormat="1" ht="24.95" customHeight="1">
      <c r="A79" s="3" t="s">
        <v>270</v>
      </c>
      <c r="B79" s="50" t="s">
        <v>301</v>
      </c>
      <c r="D79" s="26" t="s">
        <v>271</v>
      </c>
      <c r="E79" s="63"/>
      <c r="F79" s="63"/>
      <c r="G79" s="63"/>
      <c r="H79" s="63"/>
      <c r="I79" s="63"/>
      <c r="J79" s="63"/>
      <c r="K79" s="63"/>
      <c r="L79" s="63"/>
      <c r="M79" s="63"/>
      <c r="N79" s="63"/>
      <c r="O79" s="63"/>
      <c r="P79" s="63"/>
      <c r="Q79" s="61">
        <f t="shared" si="3"/>
        <v>0</v>
      </c>
      <c r="R79" s="61"/>
      <c r="S79" s="61"/>
      <c r="T79" s="61">
        <f>Q79/'Rooms Summary'!$Q$111</f>
        <v>0</v>
      </c>
      <c r="U79" s="35"/>
      <c r="V79" s="40">
        <f t="shared" si="4"/>
        <v>0</v>
      </c>
    </row>
    <row r="80" spans="1:22" s="3" customFormat="1" ht="24.95" customHeight="1">
      <c r="A80" s="3" t="s">
        <v>272</v>
      </c>
      <c r="B80" s="50" t="s">
        <v>301</v>
      </c>
      <c r="D80" s="26" t="s">
        <v>273</v>
      </c>
      <c r="E80" s="63">
        <v>100</v>
      </c>
      <c r="F80" s="63">
        <v>100</v>
      </c>
      <c r="G80" s="63">
        <v>100</v>
      </c>
      <c r="H80" s="63">
        <v>100</v>
      </c>
      <c r="I80" s="63">
        <v>100</v>
      </c>
      <c r="J80" s="63">
        <v>100</v>
      </c>
      <c r="K80" s="63">
        <v>100</v>
      </c>
      <c r="L80" s="63">
        <v>100</v>
      </c>
      <c r="M80" s="63">
        <v>100</v>
      </c>
      <c r="N80" s="63">
        <v>100</v>
      </c>
      <c r="O80" s="63">
        <v>100</v>
      </c>
      <c r="P80" s="63">
        <v>100</v>
      </c>
      <c r="Q80" s="61">
        <f t="shared" si="3"/>
        <v>1200</v>
      </c>
      <c r="R80" s="61"/>
      <c r="S80" s="61"/>
      <c r="T80" s="61">
        <f>Q80/'Rooms Summary'!$Q$111</f>
        <v>2.5999350016249593E-2</v>
      </c>
      <c r="U80" s="35"/>
      <c r="V80" s="40" t="e">
        <f t="shared" si="4"/>
        <v>#DIV/0!</v>
      </c>
    </row>
    <row r="81" spans="1:22" s="3" customFormat="1" ht="24.95" customHeight="1">
      <c r="D81" s="19" t="s">
        <v>274</v>
      </c>
      <c r="E81" s="160">
        <f>SUM(E14:E80)</f>
        <v>90081.98000000001</v>
      </c>
      <c r="F81" s="160">
        <f t="shared" ref="F81:P81" si="5">SUM(F14:F80)</f>
        <v>75357.149999999994</v>
      </c>
      <c r="G81" s="160">
        <f t="shared" si="5"/>
        <v>92961.04</v>
      </c>
      <c r="H81" s="160">
        <f t="shared" si="5"/>
        <v>121946.29</v>
      </c>
      <c r="I81" s="160">
        <f t="shared" si="5"/>
        <v>135931.72999999998</v>
      </c>
      <c r="J81" s="160">
        <f t="shared" si="5"/>
        <v>139391.21</v>
      </c>
      <c r="K81" s="160">
        <f t="shared" si="5"/>
        <v>150756.92000000001</v>
      </c>
      <c r="L81" s="160">
        <f t="shared" si="5"/>
        <v>150613.90999999997</v>
      </c>
      <c r="M81" s="160">
        <f t="shared" si="5"/>
        <v>150345.48000000001</v>
      </c>
      <c r="N81" s="160">
        <f t="shared" si="5"/>
        <v>154094.49</v>
      </c>
      <c r="O81" s="160">
        <f t="shared" si="5"/>
        <v>146652.99000000002</v>
      </c>
      <c r="P81" s="160">
        <f t="shared" si="5"/>
        <v>148620.42000000001</v>
      </c>
      <c r="Q81" s="160">
        <f>SUM(Q14:Q80)</f>
        <v>1556753.61</v>
      </c>
      <c r="R81" s="385"/>
      <c r="S81" s="385"/>
      <c r="T81" s="61">
        <f>Q81/'Rooms Summary'!$Q$111</f>
        <v>33.728818329541767</v>
      </c>
      <c r="U81" s="35"/>
      <c r="V81" s="40" t="e">
        <f t="shared" si="4"/>
        <v>#DIV/0!</v>
      </c>
    </row>
    <row r="82" spans="1:22" s="3" customFormat="1" ht="24.95" customHeight="1">
      <c r="D82" s="19" t="s">
        <v>355</v>
      </c>
      <c r="E82" s="160">
        <f>E81+E11</f>
        <v>316322.29000000004</v>
      </c>
      <c r="F82" s="160">
        <f t="shared" ref="F82:Q82" si="6">F81+F11</f>
        <v>280670.05999999994</v>
      </c>
      <c r="G82" s="160">
        <f t="shared" si="6"/>
        <v>311696.55</v>
      </c>
      <c r="H82" s="160">
        <f t="shared" si="6"/>
        <v>357056.1</v>
      </c>
      <c r="I82" s="160">
        <f t="shared" si="6"/>
        <v>381553.54</v>
      </c>
      <c r="J82" s="160">
        <f t="shared" si="6"/>
        <v>367026.02</v>
      </c>
      <c r="K82" s="160">
        <f t="shared" si="6"/>
        <v>389012.43</v>
      </c>
      <c r="L82" s="160">
        <f t="shared" si="6"/>
        <v>389964.41999999993</v>
      </c>
      <c r="M82" s="160">
        <f t="shared" si="6"/>
        <v>394155.56000000006</v>
      </c>
      <c r="N82" s="160">
        <f t="shared" si="6"/>
        <v>419263.2</v>
      </c>
      <c r="O82" s="160">
        <f t="shared" si="6"/>
        <v>386689.5</v>
      </c>
      <c r="P82" s="160">
        <f t="shared" si="6"/>
        <v>384495.93</v>
      </c>
      <c r="Q82" s="160">
        <f t="shared" si="6"/>
        <v>4377905.5999999996</v>
      </c>
      <c r="R82" s="385"/>
      <c r="S82" s="385"/>
      <c r="T82" s="61">
        <f>Q82/'Rooms Summary'!$Q$111</f>
        <v>94.852250027082647</v>
      </c>
      <c r="U82" s="35"/>
      <c r="V82" s="40" t="e">
        <f t="shared" si="4"/>
        <v>#DIV/0!</v>
      </c>
    </row>
    <row r="83" spans="1:22" s="3" customFormat="1" ht="24.95" customHeight="1">
      <c r="L83" s="161"/>
      <c r="U83" s="35"/>
      <c r="V83" s="115"/>
    </row>
    <row r="84" spans="1:22" s="3" customFormat="1" ht="24.75" customHeight="1">
      <c r="D84" s="19" t="s">
        <v>293</v>
      </c>
      <c r="L84" s="161"/>
      <c r="U84" s="35"/>
      <c r="V84" s="115"/>
    </row>
    <row r="85" spans="1:22" s="3" customFormat="1" ht="24.95" customHeight="1">
      <c r="D85" s="19" t="s">
        <v>294</v>
      </c>
      <c r="L85" s="161"/>
      <c r="U85" s="35"/>
      <c r="V85" s="115"/>
    </row>
    <row r="86" spans="1:22" s="3" customFormat="1" ht="24.95" customHeight="1">
      <c r="A86" s="3" t="s">
        <v>295</v>
      </c>
      <c r="B86" s="75" t="s">
        <v>301</v>
      </c>
      <c r="D86" s="3" t="s">
        <v>297</v>
      </c>
      <c r="E86" s="61">
        <v>19000</v>
      </c>
      <c r="F86" s="61">
        <v>19000</v>
      </c>
      <c r="G86" s="61">
        <v>19000</v>
      </c>
      <c r="H86" s="61">
        <v>19000</v>
      </c>
      <c r="I86" s="61">
        <v>19000</v>
      </c>
      <c r="J86" s="61">
        <v>19000</v>
      </c>
      <c r="K86" s="61">
        <v>19000</v>
      </c>
      <c r="L86" s="61">
        <v>19000</v>
      </c>
      <c r="M86" s="61">
        <v>19000</v>
      </c>
      <c r="N86" s="61">
        <v>19000</v>
      </c>
      <c r="O86" s="61">
        <v>19000</v>
      </c>
      <c r="P86" s="61">
        <v>19000</v>
      </c>
      <c r="Q86" s="61">
        <f>SUM(E86:P86)</f>
        <v>228000</v>
      </c>
      <c r="R86" s="61"/>
      <c r="S86" s="61"/>
      <c r="T86" s="61">
        <f>Q86/'Rooms Summary'!$Q$111</f>
        <v>4.9398765030874232</v>
      </c>
      <c r="U86" s="35"/>
      <c r="V86" s="40" t="e">
        <f>-IF(Q86-U86=0,0,(Q86-U86)/U86)</f>
        <v>#DIV/0!</v>
      </c>
    </row>
    <row r="87" spans="1:22" s="3" customFormat="1" ht="24.95" customHeight="1">
      <c r="A87" s="50" t="s">
        <v>298</v>
      </c>
      <c r="B87" s="75" t="s">
        <v>301</v>
      </c>
      <c r="D87" s="3" t="s">
        <v>358</v>
      </c>
      <c r="E87" s="61">
        <v>22100</v>
      </c>
      <c r="F87" s="61">
        <v>22100</v>
      </c>
      <c r="G87" s="61">
        <v>22100</v>
      </c>
      <c r="H87" s="61">
        <v>22100</v>
      </c>
      <c r="I87" s="61">
        <v>22100</v>
      </c>
      <c r="J87" s="61">
        <v>22100</v>
      </c>
      <c r="K87" s="61">
        <v>22100</v>
      </c>
      <c r="L87" s="61">
        <v>22100</v>
      </c>
      <c r="M87" s="61">
        <v>22100</v>
      </c>
      <c r="N87" s="61">
        <v>22100</v>
      </c>
      <c r="O87" s="61">
        <v>22100</v>
      </c>
      <c r="P87" s="61">
        <v>22100</v>
      </c>
      <c r="Q87" s="61">
        <f>SUM(E87:P87)</f>
        <v>265200</v>
      </c>
      <c r="R87" s="61"/>
      <c r="S87" s="61"/>
      <c r="T87" s="61">
        <f>Q87/'Rooms Summary'!$Q$111</f>
        <v>5.7458563535911606</v>
      </c>
      <c r="U87" s="35"/>
      <c r="V87" s="40" t="e">
        <f t="shared" ref="V87:V107" si="7">-IF(Q87-U87=0,0,(Q87-U87)/U87)</f>
        <v>#DIV/0!</v>
      </c>
    </row>
    <row r="88" spans="1:22" s="3" customFormat="1" ht="24.95" customHeight="1">
      <c r="D88" s="19" t="s">
        <v>305</v>
      </c>
      <c r="E88" s="160">
        <f t="shared" ref="E88:P88" si="8">SUM(E86:E87)</f>
        <v>41100</v>
      </c>
      <c r="F88" s="160">
        <f t="shared" si="8"/>
        <v>41100</v>
      </c>
      <c r="G88" s="160">
        <f t="shared" si="8"/>
        <v>41100</v>
      </c>
      <c r="H88" s="160">
        <f t="shared" si="8"/>
        <v>41100</v>
      </c>
      <c r="I88" s="160">
        <f t="shared" si="8"/>
        <v>41100</v>
      </c>
      <c r="J88" s="160">
        <f t="shared" si="8"/>
        <v>41100</v>
      </c>
      <c r="K88" s="160">
        <f t="shared" si="8"/>
        <v>41100</v>
      </c>
      <c r="L88" s="160">
        <f t="shared" si="8"/>
        <v>41100</v>
      </c>
      <c r="M88" s="160">
        <f t="shared" si="8"/>
        <v>41100</v>
      </c>
      <c r="N88" s="160">
        <f t="shared" si="8"/>
        <v>41100</v>
      </c>
      <c r="O88" s="160">
        <f t="shared" si="8"/>
        <v>41100</v>
      </c>
      <c r="P88" s="160">
        <f t="shared" si="8"/>
        <v>41100</v>
      </c>
      <c r="Q88" s="160">
        <f t="shared" ref="Q88" si="9">SUM(Q86:Q87)</f>
        <v>493200</v>
      </c>
      <c r="R88" s="385"/>
      <c r="S88" s="385"/>
      <c r="T88" s="61">
        <f>Q88/'Rooms Summary'!$Q$111</f>
        <v>10.685732856678584</v>
      </c>
      <c r="U88" s="35"/>
      <c r="V88" s="40" t="e">
        <f t="shared" si="7"/>
        <v>#DIV/0!</v>
      </c>
    </row>
    <row r="89" spans="1:22" s="3" customFormat="1" ht="24.95" customHeight="1">
      <c r="U89" s="35"/>
      <c r="V89" s="115"/>
    </row>
    <row r="90" spans="1:22" s="3" customFormat="1" ht="24.95" customHeight="1">
      <c r="A90" s="3" t="s">
        <v>306</v>
      </c>
      <c r="B90" s="50" t="s">
        <v>301</v>
      </c>
      <c r="D90" s="26" t="s">
        <v>307</v>
      </c>
      <c r="E90" s="3">
        <v>1410.62</v>
      </c>
      <c r="F90" s="61">
        <v>4231.8599999999997</v>
      </c>
      <c r="G90" s="61">
        <v>0</v>
      </c>
      <c r="H90" s="61">
        <v>1410.62</v>
      </c>
      <c r="I90" s="61">
        <v>1410.62</v>
      </c>
      <c r="J90" s="61">
        <v>1410.62</v>
      </c>
      <c r="K90" s="61">
        <v>0</v>
      </c>
      <c r="L90" s="61">
        <v>0</v>
      </c>
      <c r="M90" s="61">
        <v>1445.89</v>
      </c>
      <c r="N90" s="61">
        <v>4337.66</v>
      </c>
      <c r="O90" s="61">
        <v>0</v>
      </c>
      <c r="P90" s="61">
        <v>0</v>
      </c>
      <c r="Q90" s="61">
        <f t="shared" ref="Q90:Q96" si="10">SUM(E90:P90)</f>
        <v>15657.89</v>
      </c>
      <c r="R90" s="61"/>
      <c r="S90" s="61"/>
      <c r="T90" s="61">
        <f>Q90/'Rooms Summary'!$Q$111</f>
        <v>0.3392458021882786</v>
      </c>
      <c r="U90" s="35"/>
      <c r="V90" s="40" t="e">
        <f t="shared" si="7"/>
        <v>#DIV/0!</v>
      </c>
    </row>
    <row r="91" spans="1:22" s="3" customFormat="1" ht="24.95" customHeight="1">
      <c r="A91" s="3" t="s">
        <v>308</v>
      </c>
      <c r="B91" s="50" t="s">
        <v>301</v>
      </c>
      <c r="D91" s="26" t="s">
        <v>309</v>
      </c>
      <c r="E91" s="3">
        <f>ROUND(E88/12*1.5,2)</f>
        <v>5137.5</v>
      </c>
      <c r="F91" s="3">
        <f t="shared" ref="F91:P91" si="11">ROUND(F88/12*1.5,2)</f>
        <v>5137.5</v>
      </c>
      <c r="G91" s="3">
        <f t="shared" si="11"/>
        <v>5137.5</v>
      </c>
      <c r="H91" s="3">
        <f t="shared" si="11"/>
        <v>5137.5</v>
      </c>
      <c r="I91" s="3">
        <f t="shared" si="11"/>
        <v>5137.5</v>
      </c>
      <c r="J91" s="3">
        <f t="shared" si="11"/>
        <v>5137.5</v>
      </c>
      <c r="K91" s="3">
        <f t="shared" si="11"/>
        <v>5137.5</v>
      </c>
      <c r="L91" s="3">
        <f t="shared" si="11"/>
        <v>5137.5</v>
      </c>
      <c r="M91" s="3">
        <f t="shared" si="11"/>
        <v>5137.5</v>
      </c>
      <c r="N91" s="3">
        <f t="shared" si="11"/>
        <v>5137.5</v>
      </c>
      <c r="O91" s="3">
        <f t="shared" si="11"/>
        <v>5137.5</v>
      </c>
      <c r="P91" s="3">
        <f t="shared" si="11"/>
        <v>5137.5</v>
      </c>
      <c r="Q91" s="61">
        <f t="shared" si="10"/>
        <v>61650</v>
      </c>
      <c r="R91" s="61"/>
      <c r="S91" s="61"/>
      <c r="T91" s="61">
        <f>Q91/'Rooms Summary'!$Q$111</f>
        <v>1.335716607084823</v>
      </c>
      <c r="U91" s="35"/>
      <c r="V91" s="40" t="e">
        <f t="shared" si="7"/>
        <v>#DIV/0!</v>
      </c>
    </row>
    <row r="92" spans="1:22" s="3" customFormat="1" ht="24.95" customHeight="1">
      <c r="A92" s="3" t="s">
        <v>310</v>
      </c>
      <c r="B92" s="50" t="s">
        <v>301</v>
      </c>
      <c r="D92" s="26" t="s">
        <v>311</v>
      </c>
      <c r="E92" s="3">
        <v>1700</v>
      </c>
      <c r="F92" s="61">
        <v>1700</v>
      </c>
      <c r="G92" s="61">
        <v>1700</v>
      </c>
      <c r="H92" s="61">
        <v>1700</v>
      </c>
      <c r="I92" s="61">
        <v>1700</v>
      </c>
      <c r="J92" s="61">
        <v>1700</v>
      </c>
      <c r="K92" s="61">
        <v>1700</v>
      </c>
      <c r="L92" s="61">
        <v>1700</v>
      </c>
      <c r="M92" s="61">
        <v>1700</v>
      </c>
      <c r="N92" s="61">
        <v>1700</v>
      </c>
      <c r="O92" s="61">
        <v>1700</v>
      </c>
      <c r="P92" s="61">
        <v>1700</v>
      </c>
      <c r="Q92" s="61">
        <f t="shared" si="10"/>
        <v>20400</v>
      </c>
      <c r="R92" s="61"/>
      <c r="S92" s="61"/>
      <c r="T92" s="61">
        <f>Q92/'Rooms Summary'!$Q$111</f>
        <v>0.44198895027624308</v>
      </c>
      <c r="U92" s="35"/>
      <c r="V92" s="40"/>
    </row>
    <row r="93" spans="1:22" s="3" customFormat="1" ht="24.95" customHeight="1">
      <c r="A93" s="3" t="s">
        <v>312</v>
      </c>
      <c r="B93" s="50" t="s">
        <v>301</v>
      </c>
      <c r="D93" s="26" t="s">
        <v>313</v>
      </c>
      <c r="F93" s="61"/>
      <c r="G93" s="61"/>
      <c r="H93" s="61"/>
      <c r="I93" s="61"/>
      <c r="J93" s="61"/>
      <c r="K93" s="61"/>
      <c r="L93" s="61"/>
      <c r="M93" s="61"/>
      <c r="N93" s="61"/>
      <c r="O93" s="61"/>
      <c r="P93" s="61"/>
      <c r="Q93" s="61">
        <f t="shared" si="10"/>
        <v>0</v>
      </c>
      <c r="R93" s="61"/>
      <c r="S93" s="61"/>
      <c r="T93" s="61">
        <f>Q93/'Rooms Summary'!$Q$111</f>
        <v>0</v>
      </c>
      <c r="U93" s="35"/>
      <c r="V93" s="115">
        <f t="shared" si="7"/>
        <v>0</v>
      </c>
    </row>
    <row r="94" spans="1:22" s="3" customFormat="1" ht="24.95" customHeight="1">
      <c r="A94" s="3" t="s">
        <v>314</v>
      </c>
      <c r="B94" s="50" t="s">
        <v>301</v>
      </c>
      <c r="D94" s="26" t="s">
        <v>315</v>
      </c>
      <c r="F94" s="61"/>
      <c r="G94" s="61"/>
      <c r="H94" s="61"/>
      <c r="I94" s="61"/>
      <c r="J94" s="61"/>
      <c r="K94" s="61"/>
      <c r="L94" s="61"/>
      <c r="M94" s="61"/>
      <c r="N94" s="61"/>
      <c r="O94" s="61"/>
      <c r="P94" s="61"/>
      <c r="Q94" s="61">
        <f t="shared" si="10"/>
        <v>0</v>
      </c>
      <c r="R94" s="61"/>
      <c r="S94" s="61"/>
      <c r="T94" s="61">
        <f>Q94/'Rooms Summary'!$Q$111</f>
        <v>0</v>
      </c>
      <c r="U94" s="35"/>
      <c r="V94" s="40">
        <f t="shared" si="7"/>
        <v>0</v>
      </c>
    </row>
    <row r="95" spans="1:22" s="3" customFormat="1" ht="24.95" customHeight="1">
      <c r="A95" s="3" t="s">
        <v>1109</v>
      </c>
      <c r="B95" s="50" t="s">
        <v>301</v>
      </c>
      <c r="D95" s="26" t="s">
        <v>1113</v>
      </c>
      <c r="Q95" s="61">
        <f t="shared" si="10"/>
        <v>0</v>
      </c>
      <c r="R95" s="61"/>
      <c r="S95" s="61"/>
      <c r="T95" s="61">
        <f>Q95/'Rooms Summary'!$Q$111</f>
        <v>0</v>
      </c>
      <c r="U95" s="35"/>
      <c r="V95" s="40">
        <f t="shared" ref="V95" si="12">-IF(Q95-U95=0,0,(Q95-U95)/U95)</f>
        <v>0</v>
      </c>
    </row>
    <row r="96" spans="1:22" s="372" customFormat="1" ht="24.95" customHeight="1">
      <c r="A96" s="372" t="s">
        <v>1109</v>
      </c>
      <c r="B96" s="373" t="s">
        <v>301</v>
      </c>
      <c r="D96" s="367" t="s">
        <v>1114</v>
      </c>
      <c r="E96" s="372">
        <v>155402</v>
      </c>
      <c r="F96" s="61">
        <v>131378</v>
      </c>
      <c r="G96" s="61">
        <v>149445.5</v>
      </c>
      <c r="H96" s="61">
        <v>164271.5</v>
      </c>
      <c r="I96" s="61">
        <v>174783.5</v>
      </c>
      <c r="J96" s="61">
        <v>156796.5</v>
      </c>
      <c r="K96" s="61">
        <v>168965.5</v>
      </c>
      <c r="L96" s="61">
        <v>170060.5</v>
      </c>
      <c r="M96" s="61">
        <v>172936.5</v>
      </c>
      <c r="N96" s="61">
        <v>191128</v>
      </c>
      <c r="O96" s="61">
        <v>170746.5</v>
      </c>
      <c r="P96" s="61">
        <v>166585.5</v>
      </c>
      <c r="Q96" s="61">
        <f t="shared" si="10"/>
        <v>1972499.5</v>
      </c>
      <c r="R96" s="61"/>
      <c r="S96" s="61"/>
      <c r="T96" s="61">
        <f>Q96/'Rooms Summary'!$Q$111</f>
        <v>42.736420756147766</v>
      </c>
      <c r="U96" s="375"/>
      <c r="V96" s="360" t="e">
        <f t="shared" si="7"/>
        <v>#DIV/0!</v>
      </c>
    </row>
    <row r="97" spans="1:22" s="3" customFormat="1" ht="24.95" customHeight="1">
      <c r="D97" s="19" t="s">
        <v>316</v>
      </c>
      <c r="E97" s="160">
        <f>SUM(E90:E96)</f>
        <v>163650.12</v>
      </c>
      <c r="F97" s="160">
        <f t="shared" ref="F97:P97" si="13">SUM(F90:F96)</f>
        <v>142447.35999999999</v>
      </c>
      <c r="G97" s="160">
        <f t="shared" si="13"/>
        <v>156283</v>
      </c>
      <c r="H97" s="160">
        <f t="shared" si="13"/>
        <v>172519.62</v>
      </c>
      <c r="I97" s="160">
        <f t="shared" si="13"/>
        <v>183031.62</v>
      </c>
      <c r="J97" s="160">
        <f t="shared" si="13"/>
        <v>165044.62</v>
      </c>
      <c r="K97" s="160">
        <f t="shared" si="13"/>
        <v>175803</v>
      </c>
      <c r="L97" s="160">
        <f t="shared" si="13"/>
        <v>176898</v>
      </c>
      <c r="M97" s="160">
        <f t="shared" si="13"/>
        <v>181219.89</v>
      </c>
      <c r="N97" s="160">
        <f t="shared" si="13"/>
        <v>202303.16</v>
      </c>
      <c r="O97" s="160">
        <f t="shared" si="13"/>
        <v>177584</v>
      </c>
      <c r="P97" s="160">
        <f t="shared" si="13"/>
        <v>173423</v>
      </c>
      <c r="Q97" s="160">
        <f t="shared" ref="Q97" si="14">SUM(Q90:Q96)</f>
        <v>2070207.39</v>
      </c>
      <c r="R97" s="385"/>
      <c r="S97" s="385"/>
      <c r="T97" s="61">
        <f>Q97/'Rooms Summary'!$Q$111</f>
        <v>44.853372115697105</v>
      </c>
      <c r="U97" s="35"/>
      <c r="V97" s="40" t="e">
        <f t="shared" si="7"/>
        <v>#DIV/0!</v>
      </c>
    </row>
    <row r="98" spans="1:22" s="3" customFormat="1" ht="24.95" customHeight="1">
      <c r="U98" s="35"/>
      <c r="V98" s="115"/>
    </row>
    <row r="99" spans="1:22" s="3" customFormat="1" ht="24.95" customHeight="1">
      <c r="A99" s="3" t="s">
        <v>317</v>
      </c>
      <c r="B99" s="50" t="s">
        <v>301</v>
      </c>
      <c r="D99" s="26" t="s">
        <v>318</v>
      </c>
      <c r="E99" s="3">
        <v>6878.56</v>
      </c>
      <c r="F99" s="61">
        <v>6878.56</v>
      </c>
      <c r="G99" s="61">
        <v>6878.56</v>
      </c>
      <c r="H99" s="61">
        <v>6878.56</v>
      </c>
      <c r="I99" s="61">
        <v>6878.56</v>
      </c>
      <c r="J99" s="61">
        <v>6878.56</v>
      </c>
      <c r="K99" s="61">
        <v>6878.56</v>
      </c>
      <c r="L99" s="61">
        <v>6878.56</v>
      </c>
      <c r="M99" s="61">
        <v>6878.56</v>
      </c>
      <c r="N99" s="61">
        <v>6878.56</v>
      </c>
      <c r="O99" s="61">
        <v>6878.56</v>
      </c>
      <c r="P99" s="61">
        <v>6878.56</v>
      </c>
      <c r="Q99" s="61">
        <f t="shared" ref="Q99:Q106" si="15">SUM(E99:P99)</f>
        <v>82542.719999999987</v>
      </c>
      <c r="R99" s="61"/>
      <c r="S99" s="61"/>
      <c r="T99" s="61">
        <f>Q99/'Rooms Summary'!$Q$111</f>
        <v>1.7883808904777379</v>
      </c>
      <c r="U99" s="35"/>
      <c r="V99" s="40" t="e">
        <f t="shared" si="7"/>
        <v>#DIV/0!</v>
      </c>
    </row>
    <row r="100" spans="1:22" s="3" customFormat="1" ht="24.95" customHeight="1">
      <c r="A100" s="3" t="s">
        <v>319</v>
      </c>
      <c r="B100" s="50" t="s">
        <v>301</v>
      </c>
      <c r="D100" s="26" t="s">
        <v>320</v>
      </c>
      <c r="E100" s="3">
        <v>3009.37</v>
      </c>
      <c r="F100" s="61">
        <v>3009.37</v>
      </c>
      <c r="G100" s="61">
        <v>3009.37</v>
      </c>
      <c r="H100" s="61">
        <v>3009.37</v>
      </c>
      <c r="I100" s="61">
        <v>3009.37</v>
      </c>
      <c r="J100" s="61">
        <v>3009.37</v>
      </c>
      <c r="K100" s="61">
        <v>3009.37</v>
      </c>
      <c r="L100" s="61">
        <v>3009.37</v>
      </c>
      <c r="M100" s="61">
        <v>3009.37</v>
      </c>
      <c r="N100" s="61">
        <v>3009.37</v>
      </c>
      <c r="O100" s="61">
        <v>3009.37</v>
      </c>
      <c r="P100" s="61">
        <v>3009.37</v>
      </c>
      <c r="Q100" s="61">
        <f t="shared" si="15"/>
        <v>36112.439999999995</v>
      </c>
      <c r="R100" s="61"/>
      <c r="S100" s="61"/>
      <c r="T100" s="61">
        <f>Q100/'Rooms Summary'!$Q$111</f>
        <v>0.78241663958401031</v>
      </c>
      <c r="U100" s="35"/>
      <c r="V100" s="40" t="e">
        <f t="shared" si="7"/>
        <v>#DIV/0!</v>
      </c>
    </row>
    <row r="101" spans="1:22" s="3" customFormat="1" ht="24.95" customHeight="1">
      <c r="A101" s="3" t="s">
        <v>321</v>
      </c>
      <c r="B101" s="50" t="s">
        <v>301</v>
      </c>
      <c r="D101" s="26" t="s">
        <v>322</v>
      </c>
      <c r="E101" s="3">
        <v>214.96</v>
      </c>
      <c r="F101" s="61">
        <v>214.96</v>
      </c>
      <c r="G101" s="61">
        <v>214.96</v>
      </c>
      <c r="H101" s="61">
        <v>214.96</v>
      </c>
      <c r="I101" s="61">
        <v>214.96</v>
      </c>
      <c r="J101" s="61">
        <v>214.96</v>
      </c>
      <c r="K101" s="61">
        <v>214.96</v>
      </c>
      <c r="L101" s="61">
        <v>214.96</v>
      </c>
      <c r="M101" s="61">
        <v>214.96</v>
      </c>
      <c r="N101" s="61">
        <v>214.96</v>
      </c>
      <c r="O101" s="61">
        <v>214.96</v>
      </c>
      <c r="P101" s="61">
        <v>214.96</v>
      </c>
      <c r="Q101" s="61">
        <f t="shared" si="15"/>
        <v>2579.52</v>
      </c>
      <c r="R101" s="61"/>
      <c r="S101" s="61"/>
      <c r="T101" s="61">
        <f>Q101/'Rooms Summary'!$Q$111</f>
        <v>5.5888202794930127E-2</v>
      </c>
      <c r="U101" s="35"/>
      <c r="V101" s="40" t="e">
        <f t="shared" si="7"/>
        <v>#DIV/0!</v>
      </c>
    </row>
    <row r="102" spans="1:22" s="3" customFormat="1" ht="24.95" customHeight="1">
      <c r="A102" s="3" t="s">
        <v>323</v>
      </c>
      <c r="B102" s="50" t="s">
        <v>301</v>
      </c>
      <c r="D102" s="26" t="s">
        <v>324</v>
      </c>
      <c r="E102" s="3">
        <v>171.95999999999998</v>
      </c>
      <c r="F102" s="61">
        <v>171.95999999999998</v>
      </c>
      <c r="G102" s="61">
        <v>171.95999999999998</v>
      </c>
      <c r="H102" s="61">
        <v>171.95999999999998</v>
      </c>
      <c r="I102" s="61">
        <v>171.95999999999998</v>
      </c>
      <c r="J102" s="61">
        <v>171.95999999999998</v>
      </c>
      <c r="K102" s="61">
        <v>171.95999999999998</v>
      </c>
      <c r="L102" s="61">
        <v>171.95999999999998</v>
      </c>
      <c r="M102" s="61">
        <v>171.95999999999998</v>
      </c>
      <c r="N102" s="61">
        <v>171.95999999999998</v>
      </c>
      <c r="O102" s="61">
        <v>171.95999999999998</v>
      </c>
      <c r="P102" s="61">
        <v>171.95999999999998</v>
      </c>
      <c r="Q102" s="61">
        <f t="shared" si="15"/>
        <v>2063.52</v>
      </c>
      <c r="R102" s="61"/>
      <c r="S102" s="61"/>
      <c r="T102" s="61">
        <f>Q102/'Rooms Summary'!$Q$111</f>
        <v>4.4708482287942802E-2</v>
      </c>
      <c r="U102" s="35"/>
      <c r="V102" s="40" t="e">
        <f t="shared" si="7"/>
        <v>#DIV/0!</v>
      </c>
    </row>
    <row r="103" spans="1:22" s="3" customFormat="1" ht="24.95" customHeight="1">
      <c r="A103" s="3" t="s">
        <v>325</v>
      </c>
      <c r="B103" s="50" t="s">
        <v>301</v>
      </c>
      <c r="D103" s="26" t="s">
        <v>326</v>
      </c>
      <c r="E103" s="3">
        <v>343.92999999999995</v>
      </c>
      <c r="F103" s="61">
        <v>343.92999999999995</v>
      </c>
      <c r="G103" s="61">
        <v>343.92999999999995</v>
      </c>
      <c r="H103" s="61">
        <v>343.92999999999995</v>
      </c>
      <c r="I103" s="61">
        <v>343.92999999999995</v>
      </c>
      <c r="J103" s="61">
        <v>343.92999999999995</v>
      </c>
      <c r="K103" s="61">
        <v>343.92999999999995</v>
      </c>
      <c r="L103" s="61">
        <v>343.92999999999995</v>
      </c>
      <c r="M103" s="61">
        <v>343.92999999999995</v>
      </c>
      <c r="N103" s="61">
        <v>343.92999999999995</v>
      </c>
      <c r="O103" s="61">
        <v>343.92999999999995</v>
      </c>
      <c r="P103" s="61">
        <v>343.92999999999995</v>
      </c>
      <c r="Q103" s="61">
        <f t="shared" si="15"/>
        <v>4127.1599999999989</v>
      </c>
      <c r="R103" s="61"/>
      <c r="S103" s="61"/>
      <c r="T103" s="61">
        <f>Q103/'Rooms Summary'!$Q$111</f>
        <v>8.9419564510887201E-2</v>
      </c>
      <c r="U103" s="35"/>
      <c r="V103" s="40" t="e">
        <f t="shared" si="7"/>
        <v>#DIV/0!</v>
      </c>
    </row>
    <row r="104" spans="1:22" s="3" customFormat="1" ht="24.95" customHeight="1">
      <c r="A104" s="3" t="s">
        <v>327</v>
      </c>
      <c r="B104" s="50" t="s">
        <v>301</v>
      </c>
      <c r="D104" s="26" t="s">
        <v>328</v>
      </c>
      <c r="E104" s="3">
        <v>3963.9</v>
      </c>
      <c r="F104" s="61">
        <v>3963.9</v>
      </c>
      <c r="G104" s="61">
        <v>3963.9</v>
      </c>
      <c r="H104" s="61">
        <v>3963.9</v>
      </c>
      <c r="I104" s="61">
        <v>3963.9</v>
      </c>
      <c r="J104" s="61">
        <v>3963.9</v>
      </c>
      <c r="K104" s="61">
        <v>3963.9</v>
      </c>
      <c r="L104" s="61">
        <v>3963.9</v>
      </c>
      <c r="M104" s="61">
        <v>3963.9</v>
      </c>
      <c r="N104" s="61">
        <v>3963.9</v>
      </c>
      <c r="O104" s="61">
        <v>3963.9</v>
      </c>
      <c r="P104" s="61">
        <v>3963.9</v>
      </c>
      <c r="Q104" s="61">
        <f t="shared" si="15"/>
        <v>47566.80000000001</v>
      </c>
      <c r="R104" s="61"/>
      <c r="S104" s="61"/>
      <c r="T104" s="61">
        <f>Q104/'Rooms Summary'!$Q$111</f>
        <v>1.0305882352941178</v>
      </c>
      <c r="U104" s="35"/>
      <c r="V104" s="40" t="e">
        <f t="shared" si="7"/>
        <v>#DIV/0!</v>
      </c>
    </row>
    <row r="105" spans="1:22" s="3" customFormat="1" ht="24.95" customHeight="1">
      <c r="A105" s="3" t="s">
        <v>329</v>
      </c>
      <c r="B105" s="50" t="s">
        <v>301</v>
      </c>
      <c r="D105" s="26" t="s">
        <v>330</v>
      </c>
      <c r="E105" s="3">
        <f>ROUND(E88*0.02,2)</f>
        <v>822</v>
      </c>
      <c r="F105" s="3">
        <f t="shared" ref="F105:P105" si="16">ROUND(F88*0.02,2)</f>
        <v>822</v>
      </c>
      <c r="G105" s="3">
        <f t="shared" si="16"/>
        <v>822</v>
      </c>
      <c r="H105" s="3">
        <f t="shared" si="16"/>
        <v>822</v>
      </c>
      <c r="I105" s="3">
        <f t="shared" si="16"/>
        <v>822</v>
      </c>
      <c r="J105" s="3">
        <f t="shared" si="16"/>
        <v>822</v>
      </c>
      <c r="K105" s="3">
        <f t="shared" si="16"/>
        <v>822</v>
      </c>
      <c r="L105" s="3">
        <f t="shared" si="16"/>
        <v>822</v>
      </c>
      <c r="M105" s="3">
        <f t="shared" si="16"/>
        <v>822</v>
      </c>
      <c r="N105" s="3">
        <f t="shared" si="16"/>
        <v>822</v>
      </c>
      <c r="O105" s="3">
        <f t="shared" si="16"/>
        <v>822</v>
      </c>
      <c r="P105" s="3">
        <f t="shared" si="16"/>
        <v>822</v>
      </c>
      <c r="Q105" s="61">
        <f t="shared" si="15"/>
        <v>9864</v>
      </c>
      <c r="R105" s="61"/>
      <c r="S105" s="61"/>
      <c r="T105" s="61">
        <f>Q105/'Rooms Summary'!$Q$111</f>
        <v>0.21371465713357166</v>
      </c>
      <c r="U105" s="35"/>
      <c r="V105" s="115"/>
    </row>
    <row r="106" spans="1:22" s="3" customFormat="1" ht="24.95" customHeight="1">
      <c r="A106" s="3" t="s">
        <v>331</v>
      </c>
      <c r="B106" s="50" t="s">
        <v>301</v>
      </c>
      <c r="D106" s="26" t="s">
        <v>332</v>
      </c>
      <c r="F106" s="61"/>
      <c r="G106" s="61"/>
      <c r="H106" s="61"/>
      <c r="I106" s="61"/>
      <c r="J106" s="61"/>
      <c r="K106" s="61"/>
      <c r="L106" s="61"/>
      <c r="M106" s="61"/>
      <c r="N106" s="61"/>
      <c r="O106" s="61"/>
      <c r="P106" s="61"/>
      <c r="Q106" s="61">
        <f t="shared" si="15"/>
        <v>0</v>
      </c>
      <c r="R106" s="61"/>
      <c r="S106" s="61"/>
      <c r="T106" s="61">
        <f>Q106/'Rooms Summary'!$Q$111</f>
        <v>0</v>
      </c>
      <c r="U106" s="35"/>
      <c r="V106" s="115"/>
    </row>
    <row r="107" spans="1:22" s="3" customFormat="1" ht="24.95" customHeight="1">
      <c r="D107" s="19" t="s">
        <v>333</v>
      </c>
      <c r="E107" s="160">
        <f>SUM(E99:E106)</f>
        <v>15404.679999999998</v>
      </c>
      <c r="F107" s="160">
        <f t="shared" ref="F107:P107" si="17">SUM(F99:F106)</f>
        <v>15404.679999999998</v>
      </c>
      <c r="G107" s="160">
        <f t="shared" si="17"/>
        <v>15404.679999999998</v>
      </c>
      <c r="H107" s="160">
        <f t="shared" si="17"/>
        <v>15404.679999999998</v>
      </c>
      <c r="I107" s="160">
        <f t="shared" si="17"/>
        <v>15404.679999999998</v>
      </c>
      <c r="J107" s="160">
        <f t="shared" si="17"/>
        <v>15404.679999999998</v>
      </c>
      <c r="K107" s="160">
        <f t="shared" si="17"/>
        <v>15404.679999999998</v>
      </c>
      <c r="L107" s="160">
        <f t="shared" si="17"/>
        <v>15404.679999999998</v>
      </c>
      <c r="M107" s="160">
        <f t="shared" si="17"/>
        <v>15404.679999999998</v>
      </c>
      <c r="N107" s="160">
        <f t="shared" si="17"/>
        <v>15404.679999999998</v>
      </c>
      <c r="O107" s="160">
        <f t="shared" si="17"/>
        <v>15404.679999999998</v>
      </c>
      <c r="P107" s="160">
        <f t="shared" si="17"/>
        <v>15404.679999999998</v>
      </c>
      <c r="Q107" s="160">
        <f t="shared" ref="Q107" si="18">SUM(Q99:Q106)</f>
        <v>184856.16</v>
      </c>
      <c r="R107" s="385"/>
      <c r="S107" s="385"/>
      <c r="T107" s="61">
        <f>Q107/'Rooms Summary'!$Q$111</f>
        <v>4.0051166720831981</v>
      </c>
      <c r="U107" s="35"/>
      <c r="V107" s="40" t="e">
        <f t="shared" si="7"/>
        <v>#DIV/0!</v>
      </c>
    </row>
    <row r="108" spans="1:22" s="3" customFormat="1" ht="24.95" customHeight="1">
      <c r="L108" s="161"/>
      <c r="U108" s="35"/>
      <c r="V108" s="115"/>
    </row>
    <row r="109" spans="1:22" s="3" customFormat="1" ht="24.95" customHeight="1">
      <c r="A109" s="3" t="s">
        <v>334</v>
      </c>
      <c r="B109" s="50" t="s">
        <v>301</v>
      </c>
      <c r="D109" s="26" t="s">
        <v>335</v>
      </c>
      <c r="F109" s="63"/>
      <c r="G109" s="63"/>
      <c r="H109" s="63"/>
      <c r="I109" s="63"/>
      <c r="J109" s="61"/>
      <c r="K109" s="61"/>
      <c r="L109" s="61"/>
      <c r="M109" s="61"/>
      <c r="N109" s="61"/>
      <c r="O109" s="61"/>
      <c r="P109" s="61"/>
      <c r="Q109" s="61">
        <f t="shared" ref="Q109:Q115" si="19">SUM(E109:P109)</f>
        <v>0</v>
      </c>
      <c r="R109" s="61"/>
      <c r="S109" s="61"/>
      <c r="T109" s="61">
        <f>Q109/'Rooms Summary'!$Q$111</f>
        <v>0</v>
      </c>
      <c r="U109" s="35"/>
      <c r="V109" s="115"/>
    </row>
    <row r="110" spans="1:22" s="3" customFormat="1" ht="24.95" customHeight="1">
      <c r="A110" s="3" t="s">
        <v>336</v>
      </c>
      <c r="B110" s="50" t="s">
        <v>301</v>
      </c>
      <c r="D110" s="3" t="s">
        <v>337</v>
      </c>
      <c r="F110" s="63"/>
      <c r="G110" s="63"/>
      <c r="H110" s="63"/>
      <c r="I110" s="63"/>
      <c r="J110" s="61"/>
      <c r="K110" s="61"/>
      <c r="L110" s="61"/>
      <c r="M110" s="61"/>
      <c r="N110" s="61"/>
      <c r="O110" s="61"/>
      <c r="P110" s="61"/>
      <c r="Q110" s="61">
        <f t="shared" si="19"/>
        <v>0</v>
      </c>
      <c r="R110" s="61"/>
      <c r="S110" s="61"/>
      <c r="T110" s="61">
        <f>Q110/'Rooms Summary'!$Q$111</f>
        <v>0</v>
      </c>
      <c r="U110" s="35"/>
      <c r="V110" s="115"/>
    </row>
    <row r="111" spans="1:22" s="3" customFormat="1" ht="24.95" customHeight="1">
      <c r="A111" s="3" t="s">
        <v>338</v>
      </c>
      <c r="B111" s="50" t="s">
        <v>301</v>
      </c>
      <c r="D111" s="26" t="s">
        <v>339</v>
      </c>
      <c r="F111" s="63"/>
      <c r="G111" s="63"/>
      <c r="H111" s="63"/>
      <c r="I111" s="63"/>
      <c r="J111" s="61"/>
      <c r="K111" s="61"/>
      <c r="L111" s="61"/>
      <c r="M111" s="61"/>
      <c r="N111" s="61"/>
      <c r="O111" s="61"/>
      <c r="P111" s="61"/>
      <c r="Q111" s="61">
        <f t="shared" si="19"/>
        <v>0</v>
      </c>
      <c r="R111" s="61"/>
      <c r="S111" s="61"/>
      <c r="T111" s="61">
        <f>Q111/'Rooms Summary'!$Q$111</f>
        <v>0</v>
      </c>
      <c r="U111" s="35"/>
      <c r="V111" s="115"/>
    </row>
    <row r="112" spans="1:22" s="3" customFormat="1" ht="24.95" customHeight="1">
      <c r="A112" s="3" t="s">
        <v>340</v>
      </c>
      <c r="B112" s="50" t="s">
        <v>301</v>
      </c>
      <c r="D112" s="26" t="s">
        <v>341</v>
      </c>
      <c r="F112" s="63"/>
      <c r="G112" s="63"/>
      <c r="H112" s="63"/>
      <c r="I112" s="63"/>
      <c r="J112" s="61"/>
      <c r="K112" s="61"/>
      <c r="L112" s="61"/>
      <c r="M112" s="61"/>
      <c r="N112" s="61"/>
      <c r="O112" s="61"/>
      <c r="P112" s="61"/>
      <c r="Q112" s="61">
        <f t="shared" si="19"/>
        <v>0</v>
      </c>
      <c r="R112" s="61"/>
      <c r="S112" s="61"/>
      <c r="T112" s="61">
        <f>Q112/'Rooms Summary'!$Q$111</f>
        <v>0</v>
      </c>
      <c r="U112" s="35"/>
      <c r="V112" s="115"/>
    </row>
    <row r="113" spans="1:22" s="3" customFormat="1" ht="24.95" customHeight="1">
      <c r="A113" s="3" t="s">
        <v>342</v>
      </c>
      <c r="B113" s="50" t="s">
        <v>301</v>
      </c>
      <c r="D113" s="26" t="s">
        <v>343</v>
      </c>
      <c r="F113" s="61"/>
      <c r="G113" s="27"/>
      <c r="H113" s="61"/>
      <c r="I113" s="61"/>
      <c r="J113" s="61"/>
      <c r="K113" s="61"/>
      <c r="L113" s="61"/>
      <c r="M113" s="61"/>
      <c r="N113" s="61"/>
      <c r="O113" s="61"/>
      <c r="P113" s="61"/>
      <c r="Q113" s="61">
        <f t="shared" si="19"/>
        <v>0</v>
      </c>
      <c r="R113" s="61"/>
      <c r="S113" s="61"/>
      <c r="T113" s="61">
        <f>Q113/'Rooms Summary'!$Q$111</f>
        <v>0</v>
      </c>
      <c r="U113" s="35"/>
      <c r="V113" s="40">
        <f>-IF(Q113-U113=0,0,(Q113-U113)/U113)</f>
        <v>0</v>
      </c>
    </row>
    <row r="114" spans="1:22" s="3" customFormat="1" ht="24.95" customHeight="1">
      <c r="A114" s="3" t="s">
        <v>344</v>
      </c>
      <c r="B114" s="50" t="s">
        <v>301</v>
      </c>
      <c r="D114" s="26" t="s">
        <v>345</v>
      </c>
      <c r="F114" s="61"/>
      <c r="G114" s="61"/>
      <c r="H114" s="61"/>
      <c r="I114" s="61"/>
      <c r="J114" s="61"/>
      <c r="K114" s="61"/>
      <c r="L114" s="61"/>
      <c r="M114" s="61"/>
      <c r="N114" s="61"/>
      <c r="O114" s="61"/>
      <c r="P114" s="61"/>
      <c r="Q114" s="61">
        <f t="shared" si="19"/>
        <v>0</v>
      </c>
      <c r="R114" s="61"/>
      <c r="S114" s="61"/>
      <c r="T114" s="61">
        <f>Q114/'Rooms Summary'!$Q$111</f>
        <v>0</v>
      </c>
      <c r="U114" s="35"/>
      <c r="V114" s="40">
        <f t="shared" ref="V114:V117" si="20">-IF(Q114-U114=0,0,(Q114-U114)/U114)</f>
        <v>0</v>
      </c>
    </row>
    <row r="115" spans="1:22" s="3" customFormat="1" ht="24.95" customHeight="1">
      <c r="A115" s="3" t="s">
        <v>346</v>
      </c>
      <c r="B115" s="50" t="s">
        <v>301</v>
      </c>
      <c r="D115" s="26" t="s">
        <v>347</v>
      </c>
      <c r="E115" s="3">
        <f>'Staff Canteen'!E202</f>
        <v>6085.51</v>
      </c>
      <c r="F115" s="3">
        <f>'Staff Canteen'!F202</f>
        <v>6360.87</v>
      </c>
      <c r="G115" s="3">
        <f>'Staff Canteen'!G202</f>
        <v>5947.83</v>
      </c>
      <c r="H115" s="3">
        <f>'Staff Canteen'!H202</f>
        <v>6085.51</v>
      </c>
      <c r="I115" s="3">
        <f>'Staff Canteen'!I202</f>
        <v>6085.51</v>
      </c>
      <c r="J115" s="3">
        <f>'Staff Canteen'!J202</f>
        <v>6085.51</v>
      </c>
      <c r="K115" s="3">
        <f>'Staff Canteen'!K202</f>
        <v>5947.83</v>
      </c>
      <c r="L115" s="3">
        <f>'Staff Canteen'!L202</f>
        <v>5947.83</v>
      </c>
      <c r="M115" s="3">
        <f>'Staff Canteen'!M202</f>
        <v>6085.51</v>
      </c>
      <c r="N115" s="3">
        <f>'Staff Canteen'!N202</f>
        <v>6360.87</v>
      </c>
      <c r="O115" s="3">
        <f>'Staff Canteen'!O202</f>
        <v>5947.83</v>
      </c>
      <c r="P115" s="3">
        <f>'Staff Canteen'!P202</f>
        <v>5947.83</v>
      </c>
      <c r="Q115" s="61">
        <f t="shared" si="19"/>
        <v>72888.440000000017</v>
      </c>
      <c r="R115" s="61"/>
      <c r="S115" s="61"/>
      <c r="T115" s="61">
        <f>Q115/'Rooms Summary'!$Q$111</f>
        <v>1.5792100530820066</v>
      </c>
      <c r="U115" s="35"/>
      <c r="V115" s="40" t="e">
        <f t="shared" si="20"/>
        <v>#DIV/0!</v>
      </c>
    </row>
    <row r="116" spans="1:22" s="3" customFormat="1" ht="24.95" customHeight="1">
      <c r="B116" s="50"/>
      <c r="D116" s="19" t="s">
        <v>348</v>
      </c>
      <c r="E116" s="160">
        <f>SUM(E109:E115)</f>
        <v>6085.51</v>
      </c>
      <c r="F116" s="160">
        <f t="shared" ref="F116:Q116" si="21">SUM(F109:F115)</f>
        <v>6360.87</v>
      </c>
      <c r="G116" s="160">
        <f t="shared" si="21"/>
        <v>5947.83</v>
      </c>
      <c r="H116" s="160">
        <f t="shared" si="21"/>
        <v>6085.51</v>
      </c>
      <c r="I116" s="160">
        <f t="shared" si="21"/>
        <v>6085.51</v>
      </c>
      <c r="J116" s="160">
        <f t="shared" si="21"/>
        <v>6085.51</v>
      </c>
      <c r="K116" s="160">
        <f t="shared" si="21"/>
        <v>5947.83</v>
      </c>
      <c r="L116" s="160">
        <f t="shared" si="21"/>
        <v>5947.83</v>
      </c>
      <c r="M116" s="160">
        <f t="shared" si="21"/>
        <v>6085.51</v>
      </c>
      <c r="N116" s="160">
        <f t="shared" si="21"/>
        <v>6360.87</v>
      </c>
      <c r="O116" s="160">
        <f t="shared" si="21"/>
        <v>5947.83</v>
      </c>
      <c r="P116" s="160">
        <f t="shared" si="21"/>
        <v>5947.83</v>
      </c>
      <c r="Q116" s="160">
        <f t="shared" si="21"/>
        <v>72888.440000000017</v>
      </c>
      <c r="R116" s="385"/>
      <c r="S116" s="385"/>
      <c r="T116" s="61">
        <f>Q116/'Rooms Summary'!$Q$111</f>
        <v>1.5792100530820066</v>
      </c>
      <c r="U116" s="35"/>
      <c r="V116" s="40" t="e">
        <f t="shared" si="20"/>
        <v>#DIV/0!</v>
      </c>
    </row>
    <row r="117" spans="1:22" s="3" customFormat="1" ht="24.95" customHeight="1">
      <c r="D117" s="19" t="s">
        <v>349</v>
      </c>
      <c r="E117" s="160">
        <f>E88+E97+E107+E116</f>
        <v>226240.31</v>
      </c>
      <c r="F117" s="160">
        <f t="shared" ref="F117:Q117" si="22">F88+F97+F107+F116</f>
        <v>205312.90999999997</v>
      </c>
      <c r="G117" s="160">
        <f t="shared" si="22"/>
        <v>218735.50999999998</v>
      </c>
      <c r="H117" s="160">
        <f t="shared" si="22"/>
        <v>235109.81</v>
      </c>
      <c r="I117" s="160">
        <f t="shared" si="22"/>
        <v>245621.81</v>
      </c>
      <c r="J117" s="160">
        <f t="shared" si="22"/>
        <v>227634.81</v>
      </c>
      <c r="K117" s="160">
        <f t="shared" si="22"/>
        <v>238255.50999999998</v>
      </c>
      <c r="L117" s="160">
        <f t="shared" si="22"/>
        <v>239350.50999999998</v>
      </c>
      <c r="M117" s="160">
        <f t="shared" si="22"/>
        <v>243810.08000000002</v>
      </c>
      <c r="N117" s="160">
        <f t="shared" si="22"/>
        <v>265168.71000000002</v>
      </c>
      <c r="O117" s="160">
        <f t="shared" si="22"/>
        <v>240036.50999999998</v>
      </c>
      <c r="P117" s="160">
        <f t="shared" si="22"/>
        <v>235875.50999999998</v>
      </c>
      <c r="Q117" s="160">
        <f t="shared" si="22"/>
        <v>2821151.9899999998</v>
      </c>
      <c r="R117" s="385"/>
      <c r="S117" s="385"/>
      <c r="T117" s="61">
        <f>Q117/'Rooms Summary'!$Q$111</f>
        <v>61.123431697540887</v>
      </c>
      <c r="U117" s="35"/>
      <c r="V117" s="40" t="e">
        <f t="shared" si="20"/>
        <v>#DIV/0!</v>
      </c>
    </row>
    <row r="118" spans="1:22" s="42" customFormat="1" ht="24.95" customHeight="1">
      <c r="A118" s="42" t="s">
        <v>350</v>
      </c>
      <c r="D118" s="42" t="s">
        <v>351</v>
      </c>
      <c r="E118" s="183">
        <f>+E117-E11</f>
        <v>0</v>
      </c>
      <c r="L118" s="161"/>
      <c r="Q118" s="42">
        <f>Q117-Q95-Q96</f>
        <v>848652.48999999976</v>
      </c>
      <c r="U118" s="35"/>
      <c r="V118" s="115"/>
    </row>
    <row r="119" spans="1:22" s="42" customFormat="1" ht="24.95" customHeight="1">
      <c r="E119" s="183"/>
      <c r="L119" s="161"/>
      <c r="U119" s="35"/>
      <c r="V119" s="115"/>
    </row>
    <row r="120" spans="1:22" s="3" customFormat="1" ht="24.95" customHeight="1">
      <c r="A120" s="189" t="s">
        <v>105</v>
      </c>
      <c r="B120" s="75" t="s">
        <v>301</v>
      </c>
      <c r="D120" s="19" t="s">
        <v>352</v>
      </c>
      <c r="E120" s="86">
        <v>7</v>
      </c>
      <c r="F120" s="86">
        <v>7</v>
      </c>
      <c r="G120" s="86">
        <v>7</v>
      </c>
      <c r="H120" s="86">
        <v>7</v>
      </c>
      <c r="I120" s="86">
        <v>7</v>
      </c>
      <c r="J120" s="86">
        <v>7</v>
      </c>
      <c r="K120" s="86">
        <v>7</v>
      </c>
      <c r="L120" s="86">
        <v>7</v>
      </c>
      <c r="M120" s="86">
        <v>7</v>
      </c>
      <c r="N120" s="86">
        <v>7</v>
      </c>
      <c r="O120" s="86">
        <v>7</v>
      </c>
      <c r="P120" s="86">
        <v>7</v>
      </c>
      <c r="Q120" s="179">
        <v>7</v>
      </c>
      <c r="R120" s="179"/>
      <c r="S120" s="179"/>
      <c r="U120" s="35"/>
      <c r="V120" s="40" t="e">
        <f>-IF(Q120-U120=0,0,(Q120-U120)/U120)</f>
        <v>#DIV/0!</v>
      </c>
    </row>
    <row r="122" spans="1:22" ht="26.25" customHeight="1">
      <c r="D122" s="59"/>
    </row>
    <row r="123" spans="1:22" s="3" customFormat="1" ht="24.95" customHeight="1">
      <c r="B123" s="50"/>
      <c r="D123" s="386" t="s">
        <v>1209</v>
      </c>
      <c r="E123" s="387">
        <v>8496</v>
      </c>
      <c r="F123" s="388">
        <v>7729.0000000000009</v>
      </c>
      <c r="G123" s="388">
        <v>10162.75</v>
      </c>
      <c r="H123" s="388">
        <v>11941.6</v>
      </c>
      <c r="I123" s="388">
        <v>12325.1</v>
      </c>
      <c r="J123" s="388">
        <v>11499.1</v>
      </c>
      <c r="K123" s="388">
        <v>13003.6</v>
      </c>
      <c r="L123" s="388">
        <v>13154.050000000001</v>
      </c>
      <c r="M123" s="388">
        <v>13269.1</v>
      </c>
      <c r="N123" s="388">
        <v>13519.85</v>
      </c>
      <c r="O123" s="388">
        <v>12974.1</v>
      </c>
      <c r="P123" s="388">
        <v>12413.6</v>
      </c>
      <c r="Q123" s="388">
        <f>SUM(E123:P123)</f>
        <v>140487.85</v>
      </c>
      <c r="R123" s="61"/>
      <c r="S123" s="61"/>
      <c r="T123" s="61"/>
      <c r="U123" s="35"/>
      <c r="V123" s="40"/>
    </row>
  </sheetData>
  <phoneticPr fontId="57" type="noConversion"/>
  <dataValidations count="65">
    <dataValidation type="textLength" errorStyle="information" allowBlank="1" showInputMessage="1" showErrorMessage="1" error="XLBVal:6=258096_x000d__x000a_" sqref="Q113:S113">
      <formula1>0</formula1>
      <formula2>300</formula2>
    </dataValidation>
    <dataValidation type="textLength" errorStyle="information" allowBlank="1" showInputMessage="1" showErrorMessage="1" error="XLBVal:6=1439748_x000d__x000a_" sqref="Q99:S99">
      <formula1>0</formula1>
      <formula2>300</formula2>
    </dataValidation>
    <dataValidation type="textLength" errorStyle="information" allowBlank="1" showInputMessage="1" showErrorMessage="1" error="XLBVal:6=265776_x000d__x000a_" sqref="Q80:S80">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217144_x000d__x000a_" sqref="E87:P87">
      <formula1>0</formula1>
      <formula2>300</formula2>
    </dataValidation>
    <dataValidation type="textLength" errorStyle="information" allowBlank="1" showInputMessage="1" showErrorMessage="1" error="XLBVal:6=10508400_x000d__x000a_" sqref="Q14:S14">
      <formula1>0</formula1>
      <formula2>300</formula2>
    </dataValidation>
    <dataValidation type="textLength" errorStyle="information" allowBlank="1" showInputMessage="1" showErrorMessage="1" error="XLBVal:6=226546.19_x000d__x000a_" sqref="E11:P11">
      <formula1>0</formula1>
      <formula2>300</formula2>
    </dataValidation>
    <dataValidation type="textLength" errorStyle="information" allowBlank="1" showInputMessage="1" showErrorMessage="1" error="XLBVal:6=18155331_x000d__x000a_" sqref="Q11:S11">
      <formula1>0</formula1>
      <formula2>300</formula2>
    </dataValidation>
    <dataValidation type="textLength" errorStyle="information" allowBlank="1" showInputMessage="1" showErrorMessage="1" error="XLBVal:6=0_x000d__x000a_" sqref="E14:G14 E82:S82">
      <formula1>0</formula1>
      <formula2>300</formula2>
    </dataValidation>
    <dataValidation type="textLength" errorStyle="information" allowBlank="1" showInputMessage="1" showErrorMessage="1" error="XLBVal:6=533.97_x000d__x000a_" sqref="E25:P25">
      <formula1>0</formula1>
      <formula2>300</formula2>
    </dataValidation>
    <dataValidation type="textLength" errorStyle="information" allowBlank="1" showInputMessage="1" showErrorMessage="1" error="XLBVal:6=6595485.04_x000d__x000a_" sqref="G12">
      <formula1>0</formula1>
      <formula2>300</formula2>
    </dataValidation>
    <dataValidation type="textLength" errorStyle="information" allowBlank="1" showInputMessage="1" showErrorMessage="1" error="XLBVal:6=40347.72_x000d__x000a_" sqref="E86:P86">
      <formula1>0</formula1>
      <formula2>300</formula2>
    </dataValidation>
    <dataValidation type="textLength" errorStyle="information" allowBlank="1" showInputMessage="1" showErrorMessage="1" error="XLBVal:6=877776_x000d__x000a_" sqref="Q114:S114">
      <formula1>0</formula1>
      <formula2>300</formula2>
    </dataValidation>
    <dataValidation type="textLength" errorStyle="information" allowBlank="1" showInputMessage="1" showErrorMessage="1" error="XLBVal:6=6673.21_x000d__x000a_" sqref="F90:P90">
      <formula1>0</formula1>
      <formula2>300</formula2>
    </dataValidation>
    <dataValidation type="textLength" errorStyle="information" allowBlank="1" showInputMessage="1" showErrorMessage="1" error="XLBVal:2=0_x000d__x000a_" sqref="Q35:R48 E70:S70 E72:S72 E81:S81 Q86:S86 Q92:S92 F95:P95 E23:P24 S15:S67 E93:P93 E43:P66 Q109:S112 E40:P41 E15:G17 E74:S79 E26:P28 F12 H14:P17 G114 E20:P21 E94:E96 H109:P114 G109:G112 E68:P68 E109:F114 E106:S106 Q50:R67 Q15:R32 E30:P37">
      <formula1>0</formula1>
      <formula2>300</formula2>
    </dataValidation>
    <dataValidation type="textLength" errorStyle="information" allowBlank="1" showInputMessage="1" showErrorMessage="1" error="XLBVal:6=-1310.21_x000d__x000a_" sqref="E29:P29">
      <formula1>0</formula1>
      <formula2>300</formula2>
    </dataValidation>
    <dataValidation type="textLength" errorStyle="information" allowBlank="1" showInputMessage="1" showErrorMessage="1" error="XLBVal:5=15426.66_x000d__x000a_" sqref="I12">
      <formula1>0</formula1>
      <formula2>300</formula2>
    </dataValidation>
    <dataValidation type="textLength" errorStyle="information" allowBlank="1" showInputMessage="1" showErrorMessage="1" error="XLBVal:6=45391_x000d__x000a_" sqref="Q33:R33">
      <formula1>0</formula1>
      <formula2>300</formula2>
    </dataValidation>
    <dataValidation type="textLength" errorStyle="information" allowBlank="1" showInputMessage="1" showErrorMessage="1" error="XLBVal:6=58_x000d__x000a_" sqref="E73:P73">
      <formula1>0</formula1>
      <formula2>300</formula2>
    </dataValidation>
    <dataValidation type="textLength" errorStyle="information" allowBlank="1" showInputMessage="1" showErrorMessage="1" error="XLBVal:6=497071_x000d__x000a_" sqref="Q34:R34">
      <formula1>0</formula1>
      <formula2>300</formula2>
    </dataValidation>
    <dataValidation type="textLength" errorStyle="information" allowBlank="1" showInputMessage="1" showErrorMessage="1" error="XLBVal:6=27363.67_x000d__x000a_" sqref="E39:P39">
      <formula1>0</formula1>
      <formula2>300</formula2>
    </dataValidation>
    <dataValidation type="textLength" errorStyle="information" allowBlank="1" showInputMessage="1" showErrorMessage="1" error="XLBVal:6=1920_x000d__x000a_" sqref="E42:P42">
      <formula1>0</formula1>
      <formula2>300</formula2>
    </dataValidation>
    <dataValidation type="textLength" errorStyle="information" allowBlank="1" showInputMessage="1" showErrorMessage="1" error="XLBVal:6=6688509.16_x000d__x000a_" sqref="E12:E13 F13:P13 E22:P22">
      <formula1>0</formula1>
      <formula2>300</formula2>
    </dataValidation>
    <dataValidation type="textLength" errorStyle="information" allowBlank="1" showInputMessage="1" showErrorMessage="1" error="XLBVal:6=31710_x000d__x000a_" sqref="Q102:S102">
      <formula1>0</formula1>
      <formula2>300</formula2>
    </dataValidation>
    <dataValidation type="textLength" errorStyle="information" allowBlank="1" showInputMessage="1" showErrorMessage="1" error="XLBVal:6=1640556_x000d__x000a_" sqref="Q91:S91">
      <formula1>0</formula1>
      <formula2>300</formula2>
    </dataValidation>
    <dataValidation type="textLength" errorStyle="information" allowBlank="1" showInputMessage="1" showErrorMessage="1" error="XLBVal:6=497000_x000d__x000a_" sqref="Q49:R49">
      <formula1>0</formula1>
      <formula2>300</formula2>
    </dataValidation>
    <dataValidation type="textLength" errorStyle="information" allowBlank="1" showInputMessage="1" showErrorMessage="1" error="XLBVal:6=39534_x000d__x000a_" sqref="Q101:S101">
      <formula1>0</formula1>
      <formula2>300</formula2>
    </dataValidation>
    <dataValidation type="textLength" errorStyle="information" allowBlank="1" showInputMessage="1" showErrorMessage="1" error="XLBVal:6=3_x000d__x000a_" sqref="Q93:S93">
      <formula1>0</formula1>
      <formula2>300</formula2>
    </dataValidation>
    <dataValidation type="textLength" errorStyle="information" allowBlank="1" showInputMessage="1" showErrorMessage="1" error="XLBVal:6=646.26_x000d__x000a_" sqref="E67:P67">
      <formula1>0</formula1>
      <formula2>300</formula2>
    </dataValidation>
    <dataValidation type="textLength" errorStyle="information" allowBlank="1" showInputMessage="1" showErrorMessage="1" error="XLBVal:6=128852_x000d__x000a_" sqref="Q68:S68">
      <formula1>0</formula1>
      <formula2>300</formula2>
    </dataValidation>
    <dataValidation type="textLength" errorStyle="information" allowBlank="1" showInputMessage="1" showErrorMessage="1" error="XLBVal:6=541.23_x000d__x000a_" sqref="E69:P69">
      <formula1>0</formula1>
      <formula2>300</formula2>
    </dataValidation>
    <dataValidation type="textLength" errorStyle="information" allowBlank="1" showInputMessage="1" showErrorMessage="1" error="XLBVal:6=2195857_x000d__x000a_" sqref="Q69:S69">
      <formula1>0</formula1>
      <formula2>300</formula2>
    </dataValidation>
    <dataValidation type="textLength" errorStyle="information" allowBlank="1" showInputMessage="1" showErrorMessage="1" error="XLBVal:6=1119.5_x000d__x000a_" sqref="E71:P71">
      <formula1>0</formula1>
      <formula2>300</formula2>
    </dataValidation>
    <dataValidation type="textLength" errorStyle="information" allowBlank="1" showInputMessage="1" showErrorMessage="1" error="XLBVal:6=913200_x000d__x000a_" sqref="Q71:S71">
      <formula1>0</formula1>
      <formula2>300</formula2>
    </dataValidation>
    <dataValidation type="textLength" errorStyle="information" allowBlank="1" showInputMessage="1" showErrorMessage="1" error="XLBVal:6=78120_x000d__x000a_" sqref="Q73:S73">
      <formula1>0</formula1>
      <formula2>300</formula2>
    </dataValidation>
    <dataValidation type="textLength" errorStyle="information" allowBlank="1" showInputMessage="1" showErrorMessage="1" error="XLBVal:6=234560_x000d__x000a_" sqref="Q105:S105">
      <formula1>0</formula1>
      <formula2>300</formula2>
    </dataValidation>
    <dataValidation type="textLength" errorStyle="information" allowBlank="1" showInputMessage="1" showErrorMessage="1" error="XLBVal:6=514.58_x000d__x000a_" sqref="E80:P80">
      <formula1>0</formula1>
      <formula2>300</formula2>
    </dataValidation>
    <dataValidation type="textLength" errorStyle="information" allowBlank="1" showInputMessage="1" showErrorMessage="1" error="XLBVal:6=2793648_x000d__x000a_" sqref="Q87:S87">
      <formula1>0</formula1>
      <formula2>300</formula2>
    </dataValidation>
    <dataValidation type="textLength" errorStyle="information" allowBlank="1" showInputMessage="1" showErrorMessage="1" error="XLBVal:6=2544_x000d__x000a_" sqref="Q120:S120">
      <formula1>0</formula1>
      <formula2>300</formula2>
    </dataValidation>
    <dataValidation type="textLength" errorStyle="information" allowBlank="1" showInputMessage="1" showErrorMessage="1" sqref="E83:I85 H108:I108 E118:I119">
      <formula1>0</formula1>
      <formula2>300</formula2>
    </dataValidation>
    <dataValidation type="textLength" errorStyle="information" allowBlank="1" showInputMessage="1" showErrorMessage="1" error="XLBVal:6=447561_x000d__x000a_" sqref="Q90:S90">
      <formula1>0</formula1>
      <formula2>300</formula2>
    </dataValidation>
    <dataValidation type="textLength" errorStyle="information" allowBlank="1" showInputMessage="1" showErrorMessage="1" error="XLBVal:6=650_x000d__x000a_" sqref="F92:P92">
      <formula1>0</formula1>
      <formula2>300</formula2>
    </dataValidation>
    <dataValidation type="textLength" errorStyle="information" allowBlank="1" showInputMessage="1" showErrorMessage="1" error="XLBVal:6=5000_x000d__x000a_" sqref="F94:P94 F96:P96">
      <formula1>0</formula1>
      <formula2>300</formula2>
    </dataValidation>
    <dataValidation type="textLength" errorStyle="information" allowBlank="1" showInputMessage="1" showErrorMessage="1" error="XLBVal:6=639338_x000d__x000a_" sqref="Q94:S96">
      <formula1>0</formula1>
      <formula2>300</formula2>
    </dataValidation>
    <dataValidation type="textLength" errorStyle="information" allowBlank="1" showInputMessage="1" showErrorMessage="1" error="XLBVal:6=632410_x000d__x000a_" sqref="Q100:S100">
      <formula1>0</formula1>
      <formula2>300</formula2>
    </dataValidation>
    <dataValidation type="textLength" errorStyle="information" allowBlank="1" showInputMessage="1" showErrorMessage="1" error="XLBVal:6=39654_x000d__x000a_" sqref="Q103:S103">
      <formula1>0</formula1>
      <formula2>300</formula2>
    </dataValidation>
    <dataValidation type="textLength" errorStyle="information" allowBlank="1" showInputMessage="1" showErrorMessage="1" error="XLBVal:6=354026_x000d__x000a_" sqref="Q104:S104">
      <formula1>0</formula1>
      <formula2>300</formula2>
    </dataValidation>
    <dataValidation type="textLength" errorStyle="information" allowBlank="1" showInputMessage="1" showErrorMessage="1" error="XLBVal:6=3678_x000d__x000a_" sqref="E108:G108">
      <formula1>0</formula1>
      <formula2>300</formula2>
    </dataValidation>
    <dataValidation type="textLength" errorStyle="information" allowBlank="1" showInputMessage="1" showErrorMessage="1" error="XLBVal:6=3099839_x000d__x000a_" sqref="Q115:S115">
      <formula1>0</formula1>
      <formula2>300</formula2>
    </dataValidation>
    <dataValidation type="textLength" errorStyle="information" allowBlank="1" showInputMessage="1" showErrorMessage="1" error="XLBVal:5=-2586288.67_x000d__x000a_" sqref="H12">
      <formula1>0</formula1>
      <formula2>300</formula2>
    </dataValidation>
    <dataValidation type="textLength" errorStyle="information" allowBlank="1" showInputMessage="1" showErrorMessage="1" error="XLBVal:6=46954.93_x000d__x000a_" sqref="E18:P19">
      <formula1>0</formula1>
      <formula2>300</formula2>
    </dataValidation>
    <dataValidation type="textLength" errorStyle="information" allowBlank="1" showInputMessage="1" showErrorMessage="1" error="XLBVal:6=10459.34_x000d__x000a_" sqref="F99:P104">
      <formula1>0</formula1>
      <formula2>300</formula2>
    </dataValidation>
    <dataValidation type="textLength" errorStyle="information" allowBlank="1" showInputMessage="1" showErrorMessage="1" error="XLBVal:6=13973.8_x000d__x000a_" sqref="G113">
      <formula1>0</formula1>
      <formula2>300</formula2>
    </dataValidation>
    <dataValidation type="textLength" errorStyle="information" allowBlank="1" showInputMessage="1" showErrorMessage="1" error="XLBVal:6=80_x000d__x000a_" sqref="E92">
      <formula1>0</formula1>
      <formula2>300</formula2>
    </dataValidation>
    <dataValidation type="textLength" errorStyle="information" allowBlank="1" showInputMessage="1" showErrorMessage="1" error="XLBVal:6=748.16_x000d__x000a_" sqref="E105:P105">
      <formula1>0</formula1>
      <formula2>300</formula2>
    </dataValidation>
    <dataValidation type="textLength" errorStyle="information" allowBlank="1" showInputMessage="1" showErrorMessage="1" error="XLBVal:6=267.84_x000d__x000a_" sqref="E103">
      <formula1>0</formula1>
      <formula2>300</formula2>
    </dataValidation>
    <dataValidation type="textLength" errorStyle="information" allowBlank="1" showInputMessage="1" showErrorMessage="1" error="XLBVal:6=4215_x000d__x000a_" sqref="E115:P115">
      <formula1>0</formula1>
      <formula2>300</formula2>
    </dataValidation>
    <dataValidation type="textLength" errorStyle="information" allowBlank="1" showInputMessage="1" showErrorMessage="1" error="XLBVal:6=7_x000d__x000a_" sqref="E120:P120">
      <formula1>0</formula1>
      <formula2>300</formula2>
    </dataValidation>
    <dataValidation type="textLength" errorStyle="information" allowBlank="1" showInputMessage="1" showErrorMessage="1" error="XLBVal:6=3201_x000d__x000a_" sqref="E104">
      <formula1>0</formula1>
      <formula2>300</formula2>
    </dataValidation>
    <dataValidation type="textLength" errorStyle="information" allowBlank="1" showInputMessage="1" showErrorMessage="1" error="XLBVal:6=136.86_x000d__x000a_" sqref="E102">
      <formula1>0</formula1>
      <formula2>300</formula2>
    </dataValidation>
    <dataValidation type="textLength" errorStyle="information" allowBlank="1" showInputMessage="1" showErrorMessage="1" error="XLBVal:6=171.07_x000d__x000a_" sqref="E101">
      <formula1>0</formula1>
      <formula2>300</formula2>
    </dataValidation>
    <dataValidation type="textLength" errorStyle="information" allowBlank="1" showInputMessage="1" showErrorMessage="1" error="XLBVal:6=2678.4_x000d__x000a_" sqref="E100">
      <formula1>0</formula1>
      <formula2>300</formula2>
    </dataValidation>
    <dataValidation type="textLength" errorStyle="information" allowBlank="1" showInputMessage="1" showErrorMessage="1" error="XLBVal:6=5473.92_x000d__x000a_" sqref="E99">
      <formula1>0</formula1>
      <formula2>300</formula2>
    </dataValidation>
    <dataValidation type="textLength" errorStyle="information" allowBlank="1" showInputMessage="1" showErrorMessage="1" error="XLBVal:6=1613.8_x000d__x000a_" sqref="E90">
      <formula1>0</formula1>
      <formula2>300</formula2>
    </dataValidation>
    <dataValidation type="textLength" errorStyle="information" allowBlank="1" showInputMessage="1" showErrorMessage="1" error="XLBVal:6=3141.67_x000d__x000a_" sqref="E91:P91">
      <formula1>0</formula1>
      <formula2>300</formula2>
    </dataValidation>
  </dataValidations>
  <printOptions horizontalCentered="1"/>
  <pageMargins left="0.118110236220472" right="0.118110236220472" top="0.59055118110236204" bottom="0.39370078740157499" header="0" footer="0"/>
  <pageSetup paperSize="9" scale="41" fitToHeight="0" orientation="landscape" r:id="rId1"/>
  <headerFooter>
    <oddFooter>&amp;L&amp;"微软雅黑,Regular"&amp;F&amp;C&amp;"微软雅黑,Regular"Page &amp;P of &amp;N&amp;R&amp;"微软雅黑,Regular"&amp;D</oddFooter>
  </headerFooter>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FF0000"/>
  </sheetPr>
  <dimension ref="A1:T120"/>
  <sheetViews>
    <sheetView topLeftCell="D1" zoomScale="55" zoomScaleNormal="55" zoomScaleSheetLayoutView="40" workbookViewId="0">
      <pane ySplit="10" topLeftCell="A113" activePane="bottomLeft" state="frozen"/>
      <selection pane="bottomLeft" activeCell="G8" sqref="G8"/>
    </sheetView>
  </sheetViews>
  <sheetFormatPr defaultColWidth="8.875" defaultRowHeight="26.25" customHeight="1" outlineLevelRow="1" outlineLevelCol="1"/>
  <cols>
    <col min="1" max="3" width="15.5" style="5" hidden="1" customWidth="1" outlineLevel="1"/>
    <col min="4" max="4" width="79.5" style="6" customWidth="1" collapsed="1"/>
    <col min="5" max="5" width="18.5" style="7" customWidth="1"/>
    <col min="6" max="6" width="17.5" style="7" customWidth="1"/>
    <col min="7" max="9" width="18.5" style="7" customWidth="1"/>
    <col min="10" max="11" width="18.5" style="184" customWidth="1"/>
    <col min="12" max="12" width="18.5" style="5" customWidth="1"/>
    <col min="13" max="16" width="18.5" style="184" customWidth="1"/>
    <col min="17" max="17" width="21.5" style="184" customWidth="1"/>
    <col min="18" max="18" width="13" style="184" customWidth="1"/>
    <col min="19" max="19" width="22.5" style="190" customWidth="1"/>
    <col min="20" max="20" width="22.5" style="191" customWidth="1"/>
    <col min="21" max="16384" width="8.875" style="184"/>
  </cols>
  <sheetData>
    <row r="1" spans="1:20" s="1" customFormat="1" ht="15" customHeight="1" outlineLevel="1">
      <c r="E1" s="9"/>
      <c r="F1" s="9"/>
      <c r="G1" s="9"/>
      <c r="H1" s="9"/>
      <c r="I1" s="9"/>
      <c r="J1" s="9"/>
      <c r="K1" s="9"/>
      <c r="L1" s="9"/>
      <c r="M1" s="9"/>
      <c r="N1" s="9"/>
      <c r="O1" s="9"/>
      <c r="P1" s="9"/>
      <c r="Q1" s="9"/>
      <c r="S1" s="32"/>
      <c r="T1" s="176"/>
    </row>
    <row r="2" spans="1:20" s="1" customFormat="1" ht="15" customHeight="1" outlineLevel="1">
      <c r="E2" s="9"/>
      <c r="F2" s="9"/>
      <c r="G2" s="9"/>
      <c r="H2" s="9"/>
      <c r="I2" s="9"/>
      <c r="J2" s="9"/>
      <c r="K2" s="9"/>
      <c r="L2" s="9"/>
      <c r="M2" s="9"/>
      <c r="N2" s="9"/>
      <c r="O2" s="9"/>
      <c r="P2" s="9"/>
      <c r="Q2" s="9"/>
      <c r="S2" s="32"/>
      <c r="T2" s="176"/>
    </row>
    <row r="3" spans="1:20" s="1" customFormat="1" ht="15" customHeight="1" outlineLevel="1">
      <c r="E3" s="9"/>
      <c r="F3" s="9"/>
      <c r="G3" s="9"/>
      <c r="H3" s="9"/>
      <c r="I3" s="9"/>
      <c r="J3" s="9"/>
      <c r="K3" s="9"/>
      <c r="L3" s="9"/>
      <c r="M3" s="9"/>
      <c r="N3" s="9"/>
      <c r="O3" s="9"/>
      <c r="P3" s="9"/>
      <c r="Q3" s="9"/>
      <c r="S3" s="32"/>
      <c r="T3" s="176"/>
    </row>
    <row r="4" spans="1:20" s="2" customFormat="1" ht="24.95" customHeight="1">
      <c r="D4" s="10" t="str">
        <f>Summary!D4</f>
        <v>Hotel Budget Report</v>
      </c>
      <c r="E4" s="11"/>
      <c r="F4" s="11"/>
      <c r="G4" s="12"/>
      <c r="H4" s="13"/>
      <c r="I4" s="13"/>
      <c r="S4" s="33"/>
      <c r="T4" s="193"/>
    </row>
    <row r="5" spans="1:20" s="2" customFormat="1" ht="24.95" customHeight="1">
      <c r="D5" s="10" t="str">
        <f>Summary!$D$5</f>
        <v>酒店预算报表</v>
      </c>
      <c r="E5" s="11"/>
      <c r="F5" s="11"/>
      <c r="G5" s="12"/>
      <c r="H5" s="13"/>
      <c r="I5" s="13"/>
      <c r="S5" s="33"/>
      <c r="T5" s="193"/>
    </row>
    <row r="6" spans="1:20" s="2" customFormat="1" ht="24.95" customHeight="1">
      <c r="D6" s="14" t="s">
        <v>359</v>
      </c>
      <c r="E6" s="13"/>
      <c r="F6" s="13"/>
      <c r="G6" s="13"/>
      <c r="H6" s="13"/>
      <c r="I6" s="13"/>
      <c r="S6" s="33"/>
      <c r="T6" s="193"/>
    </row>
    <row r="7" spans="1:20" s="2" customFormat="1" ht="24.95" customHeight="1">
      <c r="D7" s="192" t="str">
        <f>Summary!D7</f>
        <v>2025</v>
      </c>
      <c r="E7" s="13"/>
      <c r="F7" s="13"/>
      <c r="G7" s="13"/>
      <c r="H7" s="13"/>
      <c r="I7" s="13"/>
      <c r="S7" s="33"/>
      <c r="T7" s="193"/>
    </row>
    <row r="8" spans="1:20" ht="24.95" customHeight="1">
      <c r="A8" s="184"/>
      <c r="B8" s="184"/>
      <c r="C8" s="184"/>
      <c r="D8" s="186"/>
      <c r="E8" s="187"/>
      <c r="F8" s="187"/>
      <c r="G8" s="187"/>
      <c r="H8" s="187"/>
      <c r="I8" s="187"/>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116"/>
      <c r="T9" s="117"/>
    </row>
    <row r="10" spans="1:20" s="4" customFormat="1" ht="39.950000000000003" customHeight="1">
      <c r="A10" s="19" t="s">
        <v>19</v>
      </c>
      <c r="B10" s="19" t="s">
        <v>20</v>
      </c>
      <c r="C10" s="19" t="s">
        <v>112</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A11" s="3" t="s">
        <v>103</v>
      </c>
      <c r="B11" s="50" t="s">
        <v>303</v>
      </c>
      <c r="D11" s="21" t="s">
        <v>137</v>
      </c>
      <c r="E11" s="45">
        <f>E115</f>
        <v>0</v>
      </c>
      <c r="F11" s="45">
        <f t="shared" ref="F11:P11" si="0">F115</f>
        <v>0</v>
      </c>
      <c r="G11" s="45">
        <f t="shared" si="0"/>
        <v>0</v>
      </c>
      <c r="H11" s="45">
        <f t="shared" si="0"/>
        <v>0</v>
      </c>
      <c r="I11" s="45">
        <f t="shared" si="0"/>
        <v>0</v>
      </c>
      <c r="J11" s="45">
        <f t="shared" si="0"/>
        <v>0</v>
      </c>
      <c r="K11" s="45">
        <f t="shared" si="0"/>
        <v>0</v>
      </c>
      <c r="L11" s="45">
        <f t="shared" si="0"/>
        <v>0</v>
      </c>
      <c r="M11" s="45">
        <f t="shared" si="0"/>
        <v>0</v>
      </c>
      <c r="N11" s="45">
        <f t="shared" si="0"/>
        <v>0</v>
      </c>
      <c r="O11" s="45">
        <f t="shared" si="0"/>
        <v>0</v>
      </c>
      <c r="P11" s="45">
        <f t="shared" si="0"/>
        <v>0</v>
      </c>
      <c r="Q11" s="179">
        <f>SUM(E11:P11)</f>
        <v>0</v>
      </c>
      <c r="R11" s="39">
        <f>Q11/'Rooms Summary'!$Q$20</f>
        <v>0</v>
      </c>
      <c r="S11" s="35"/>
      <c r="T11" s="40">
        <f>-IF(Q11-S11=0,0,(Q11-S11)/S11)</f>
        <v>0</v>
      </c>
    </row>
    <row r="12" spans="1:20" s="3" customFormat="1" ht="24.95" customHeight="1">
      <c r="D12" s="26"/>
      <c r="E12" s="63"/>
      <c r="F12" s="63"/>
      <c r="G12" s="63"/>
      <c r="H12" s="63"/>
      <c r="I12" s="63"/>
      <c r="L12" s="161"/>
      <c r="S12" s="35"/>
      <c r="T12" s="115"/>
    </row>
    <row r="13" spans="1:20" s="3" customFormat="1" ht="24.95" customHeight="1">
      <c r="D13" s="21" t="s">
        <v>138</v>
      </c>
      <c r="E13" s="63"/>
      <c r="F13" s="63"/>
      <c r="G13" s="63"/>
      <c r="H13" s="63"/>
      <c r="I13" s="63"/>
      <c r="L13" s="161"/>
      <c r="R13" s="34" t="s">
        <v>139</v>
      </c>
      <c r="S13" s="35"/>
      <c r="T13" s="115"/>
    </row>
    <row r="14" spans="1:20" s="3" customFormat="1" ht="24.95" customHeight="1">
      <c r="A14" s="3" t="s">
        <v>140</v>
      </c>
      <c r="B14" s="50" t="s">
        <v>303</v>
      </c>
      <c r="D14" s="26" t="s">
        <v>141</v>
      </c>
      <c r="E14" s="63"/>
      <c r="F14" s="63"/>
      <c r="G14" s="63"/>
      <c r="H14" s="63"/>
      <c r="I14" s="63"/>
      <c r="J14" s="63"/>
      <c r="K14" s="63"/>
      <c r="L14" s="63"/>
      <c r="M14" s="63"/>
      <c r="N14" s="63"/>
      <c r="O14" s="63"/>
      <c r="P14" s="63"/>
      <c r="Q14" s="61">
        <f>SUM(E14:P14)</f>
        <v>0</v>
      </c>
      <c r="R14" s="61">
        <f>Q14/'Rooms Summary'!$Q$111</f>
        <v>0</v>
      </c>
      <c r="S14" s="35"/>
      <c r="T14" s="40">
        <f>-IF(Q14-S14=0,0,(Q14-S14)/S14)</f>
        <v>0</v>
      </c>
    </row>
    <row r="15" spans="1:20" s="3" customFormat="1" ht="24.95" hidden="1" customHeight="1">
      <c r="A15" s="3" t="s">
        <v>142</v>
      </c>
      <c r="B15" s="50" t="s">
        <v>303</v>
      </c>
      <c r="D15" s="26" t="s">
        <v>143</v>
      </c>
      <c r="E15" s="63"/>
      <c r="F15" s="63"/>
      <c r="G15" s="63"/>
      <c r="H15" s="63"/>
      <c r="I15" s="63"/>
      <c r="J15" s="63"/>
      <c r="K15" s="63"/>
      <c r="L15" s="63"/>
      <c r="M15" s="63"/>
      <c r="N15" s="63"/>
      <c r="O15" s="63"/>
      <c r="P15" s="63"/>
      <c r="Q15" s="61">
        <f t="shared" ref="Q15:Q78" si="1">SUM(E15:P15)</f>
        <v>0</v>
      </c>
      <c r="R15" s="61">
        <f>Q15/'Rooms Summary'!$Q$111</f>
        <v>0</v>
      </c>
      <c r="S15" s="35"/>
      <c r="T15" s="40">
        <f t="shared" ref="T15:T78" si="2">-IF(Q15-S15=0,0,(Q15-S15)/S15)</f>
        <v>0</v>
      </c>
    </row>
    <row r="16" spans="1:20" s="3" customFormat="1" ht="24.95" customHeight="1">
      <c r="A16" s="3" t="s">
        <v>144</v>
      </c>
      <c r="B16" s="50" t="s">
        <v>303</v>
      </c>
      <c r="D16" s="26" t="s">
        <v>145</v>
      </c>
      <c r="E16" s="63"/>
      <c r="F16" s="63"/>
      <c r="G16" s="63"/>
      <c r="H16" s="63"/>
      <c r="I16" s="63"/>
      <c r="J16" s="63"/>
      <c r="K16" s="63"/>
      <c r="L16" s="63"/>
      <c r="M16" s="63"/>
      <c r="N16" s="63"/>
      <c r="O16" s="63"/>
      <c r="P16" s="63"/>
      <c r="Q16" s="61">
        <f t="shared" si="1"/>
        <v>0</v>
      </c>
      <c r="R16" s="61">
        <f>Q16/'Rooms Summary'!$Q$111</f>
        <v>0</v>
      </c>
      <c r="S16" s="35"/>
      <c r="T16" s="40">
        <f t="shared" si="2"/>
        <v>0</v>
      </c>
    </row>
    <row r="17" spans="1:20" s="3" customFormat="1" ht="24.95" hidden="1" customHeight="1">
      <c r="A17" s="3" t="s">
        <v>146</v>
      </c>
      <c r="B17" s="50" t="s">
        <v>303</v>
      </c>
      <c r="D17" s="26" t="s">
        <v>147</v>
      </c>
      <c r="E17" s="63"/>
      <c r="F17" s="63"/>
      <c r="G17" s="63"/>
      <c r="H17" s="63"/>
      <c r="I17" s="63"/>
      <c r="J17" s="63"/>
      <c r="K17" s="63"/>
      <c r="L17" s="63"/>
      <c r="M17" s="63"/>
      <c r="N17" s="63"/>
      <c r="O17" s="63"/>
      <c r="P17" s="63"/>
      <c r="Q17" s="61">
        <f t="shared" si="1"/>
        <v>0</v>
      </c>
      <c r="R17" s="61">
        <f>Q17/'Rooms Summary'!$Q$111</f>
        <v>0</v>
      </c>
      <c r="S17" s="35"/>
      <c r="T17" s="115">
        <f t="shared" si="2"/>
        <v>0</v>
      </c>
    </row>
    <row r="18" spans="1:20" s="3" customFormat="1" ht="24.95" hidden="1" customHeight="1">
      <c r="A18" s="3" t="s">
        <v>148</v>
      </c>
      <c r="B18" s="50" t="s">
        <v>303</v>
      </c>
      <c r="D18" s="26" t="s">
        <v>149</v>
      </c>
      <c r="E18" s="63"/>
      <c r="F18" s="63"/>
      <c r="G18" s="63"/>
      <c r="H18" s="63"/>
      <c r="I18" s="63"/>
      <c r="J18" s="63"/>
      <c r="K18" s="63"/>
      <c r="L18" s="63"/>
      <c r="M18" s="63"/>
      <c r="N18" s="63"/>
      <c r="O18" s="63"/>
      <c r="P18" s="63"/>
      <c r="Q18" s="61">
        <f t="shared" si="1"/>
        <v>0</v>
      </c>
      <c r="R18" s="61">
        <f>Q18/'Rooms Summary'!$Q$111</f>
        <v>0</v>
      </c>
      <c r="S18" s="35"/>
      <c r="T18" s="115">
        <f t="shared" si="2"/>
        <v>0</v>
      </c>
    </row>
    <row r="19" spans="1:20" s="3" customFormat="1" ht="24.95" hidden="1" customHeight="1">
      <c r="A19" s="3" t="s">
        <v>150</v>
      </c>
      <c r="B19" s="50" t="s">
        <v>303</v>
      </c>
      <c r="D19" s="26" t="s">
        <v>151</v>
      </c>
      <c r="E19" s="63"/>
      <c r="F19" s="63"/>
      <c r="G19" s="63"/>
      <c r="H19" s="63"/>
      <c r="I19" s="63"/>
      <c r="J19" s="63"/>
      <c r="K19" s="63"/>
      <c r="L19" s="63"/>
      <c r="M19" s="63"/>
      <c r="N19" s="63"/>
      <c r="O19" s="63"/>
      <c r="P19" s="63"/>
      <c r="Q19" s="61">
        <f t="shared" si="1"/>
        <v>0</v>
      </c>
      <c r="R19" s="61">
        <f>Q19/'Rooms Summary'!$Q$111</f>
        <v>0</v>
      </c>
      <c r="S19" s="35"/>
      <c r="T19" s="115">
        <f t="shared" si="2"/>
        <v>0</v>
      </c>
    </row>
    <row r="20" spans="1:20" s="3" customFormat="1" ht="24.95" hidden="1" customHeight="1">
      <c r="A20" s="3" t="s">
        <v>152</v>
      </c>
      <c r="B20" s="50" t="s">
        <v>303</v>
      </c>
      <c r="D20" s="26" t="s">
        <v>153</v>
      </c>
      <c r="E20" s="63"/>
      <c r="F20" s="63"/>
      <c r="G20" s="63"/>
      <c r="H20" s="63"/>
      <c r="I20" s="63"/>
      <c r="J20" s="63"/>
      <c r="K20" s="63"/>
      <c r="L20" s="63"/>
      <c r="M20" s="63"/>
      <c r="N20" s="63"/>
      <c r="O20" s="63"/>
      <c r="P20" s="63"/>
      <c r="Q20" s="61">
        <f t="shared" si="1"/>
        <v>0</v>
      </c>
      <c r="R20" s="61">
        <f>Q20/'Rooms Summary'!$Q$111</f>
        <v>0</v>
      </c>
      <c r="S20" s="35"/>
      <c r="T20" s="115">
        <f t="shared" si="2"/>
        <v>0</v>
      </c>
    </row>
    <row r="21" spans="1:20" s="3" customFormat="1" ht="24.95" hidden="1" customHeight="1">
      <c r="A21" s="3" t="s">
        <v>154</v>
      </c>
      <c r="B21" s="50" t="s">
        <v>303</v>
      </c>
      <c r="D21" s="26" t="s">
        <v>155</v>
      </c>
      <c r="E21" s="63"/>
      <c r="F21" s="63"/>
      <c r="G21" s="63"/>
      <c r="H21" s="63"/>
      <c r="I21" s="63"/>
      <c r="J21" s="63"/>
      <c r="K21" s="63"/>
      <c r="L21" s="63"/>
      <c r="M21" s="63"/>
      <c r="N21" s="63"/>
      <c r="O21" s="63"/>
      <c r="P21" s="63"/>
      <c r="Q21" s="61">
        <f t="shared" si="1"/>
        <v>0</v>
      </c>
      <c r="R21" s="61">
        <f>Q21/'Rooms Summary'!$Q$111</f>
        <v>0</v>
      </c>
      <c r="S21" s="35"/>
      <c r="T21" s="115">
        <f t="shared" si="2"/>
        <v>0</v>
      </c>
    </row>
    <row r="22" spans="1:20" s="3" customFormat="1" ht="24.95" hidden="1" customHeight="1">
      <c r="A22" s="3" t="s">
        <v>156</v>
      </c>
      <c r="B22" s="50" t="s">
        <v>303</v>
      </c>
      <c r="D22" s="26" t="s">
        <v>157</v>
      </c>
      <c r="E22" s="63"/>
      <c r="F22" s="63"/>
      <c r="G22" s="63"/>
      <c r="H22" s="63"/>
      <c r="I22" s="63"/>
      <c r="J22" s="63"/>
      <c r="K22" s="63"/>
      <c r="L22" s="63"/>
      <c r="M22" s="63"/>
      <c r="N22" s="63"/>
      <c r="O22" s="63"/>
      <c r="P22" s="63"/>
      <c r="Q22" s="61">
        <f t="shared" si="1"/>
        <v>0</v>
      </c>
      <c r="R22" s="61">
        <f>Q22/'Rooms Summary'!$Q$111</f>
        <v>0</v>
      </c>
      <c r="S22" s="35"/>
      <c r="T22" s="115">
        <f t="shared" si="2"/>
        <v>0</v>
      </c>
    </row>
    <row r="23" spans="1:20" s="3" customFormat="1" ht="24.95" hidden="1" customHeight="1">
      <c r="A23" s="3" t="s">
        <v>158</v>
      </c>
      <c r="B23" s="50" t="s">
        <v>303</v>
      </c>
      <c r="D23" s="26" t="s">
        <v>159</v>
      </c>
      <c r="E23" s="63"/>
      <c r="F23" s="63"/>
      <c r="G23" s="63"/>
      <c r="H23" s="63"/>
      <c r="I23" s="63"/>
      <c r="J23" s="63"/>
      <c r="K23" s="63"/>
      <c r="L23" s="63"/>
      <c r="M23" s="63"/>
      <c r="N23" s="63"/>
      <c r="O23" s="63"/>
      <c r="P23" s="63"/>
      <c r="Q23" s="61">
        <f t="shared" si="1"/>
        <v>0</v>
      </c>
      <c r="R23" s="61">
        <f>Q23/'Rooms Summary'!$Q$111</f>
        <v>0</v>
      </c>
      <c r="S23" s="35"/>
      <c r="T23" s="115">
        <f t="shared" si="2"/>
        <v>0</v>
      </c>
    </row>
    <row r="24" spans="1:20" s="3" customFormat="1" ht="24.95" hidden="1" customHeight="1">
      <c r="A24" s="3" t="s">
        <v>160</v>
      </c>
      <c r="B24" s="50" t="s">
        <v>303</v>
      </c>
      <c r="D24" s="26" t="s">
        <v>161</v>
      </c>
      <c r="E24" s="63"/>
      <c r="F24" s="63"/>
      <c r="G24" s="63"/>
      <c r="H24" s="63"/>
      <c r="I24" s="63"/>
      <c r="J24" s="63"/>
      <c r="K24" s="63"/>
      <c r="L24" s="63"/>
      <c r="M24" s="63"/>
      <c r="N24" s="63"/>
      <c r="O24" s="63"/>
      <c r="P24" s="63"/>
      <c r="Q24" s="61">
        <f t="shared" si="1"/>
        <v>0</v>
      </c>
      <c r="R24" s="61">
        <f>Q24/'Rooms Summary'!$Q$111</f>
        <v>0</v>
      </c>
      <c r="S24" s="35"/>
      <c r="T24" s="115">
        <f t="shared" si="2"/>
        <v>0</v>
      </c>
    </row>
    <row r="25" spans="1:20" s="3" customFormat="1" ht="24.95" hidden="1" customHeight="1">
      <c r="A25" s="3" t="s">
        <v>162</v>
      </c>
      <c r="B25" s="50" t="s">
        <v>303</v>
      </c>
      <c r="D25" s="26" t="s">
        <v>163</v>
      </c>
      <c r="E25" s="63"/>
      <c r="F25" s="63"/>
      <c r="G25" s="63"/>
      <c r="H25" s="63"/>
      <c r="I25" s="63"/>
      <c r="J25" s="63"/>
      <c r="K25" s="63"/>
      <c r="L25" s="63"/>
      <c r="M25" s="63"/>
      <c r="N25" s="63"/>
      <c r="O25" s="63"/>
      <c r="P25" s="63"/>
      <c r="Q25" s="61">
        <f t="shared" si="1"/>
        <v>0</v>
      </c>
      <c r="R25" s="61">
        <f>Q25/'Rooms Summary'!$Q$111</f>
        <v>0</v>
      </c>
      <c r="S25" s="35"/>
      <c r="T25" s="115">
        <f t="shared" si="2"/>
        <v>0</v>
      </c>
    </row>
    <row r="26" spans="1:20" s="3" customFormat="1" ht="24.95" hidden="1" customHeight="1">
      <c r="A26" s="3" t="s">
        <v>164</v>
      </c>
      <c r="B26" s="50" t="s">
        <v>303</v>
      </c>
      <c r="D26" s="26" t="s">
        <v>165</v>
      </c>
      <c r="E26" s="63"/>
      <c r="F26" s="63"/>
      <c r="G26" s="63"/>
      <c r="H26" s="63"/>
      <c r="I26" s="63"/>
      <c r="J26" s="63"/>
      <c r="K26" s="63"/>
      <c r="L26" s="63"/>
      <c r="M26" s="63"/>
      <c r="N26" s="63"/>
      <c r="O26" s="63"/>
      <c r="P26" s="63"/>
      <c r="Q26" s="61">
        <f t="shared" si="1"/>
        <v>0</v>
      </c>
      <c r="R26" s="61">
        <f>Q26/'Rooms Summary'!$Q$111</f>
        <v>0</v>
      </c>
      <c r="S26" s="35"/>
      <c r="T26" s="115">
        <f t="shared" si="2"/>
        <v>0</v>
      </c>
    </row>
    <row r="27" spans="1:20" s="3" customFormat="1" ht="24.95" hidden="1" customHeight="1">
      <c r="A27" s="3" t="s">
        <v>166</v>
      </c>
      <c r="B27" s="50" t="s">
        <v>303</v>
      </c>
      <c r="D27" s="26" t="s">
        <v>167</v>
      </c>
      <c r="E27" s="63"/>
      <c r="F27" s="63"/>
      <c r="G27" s="63"/>
      <c r="H27" s="63"/>
      <c r="I27" s="63"/>
      <c r="J27" s="63"/>
      <c r="K27" s="63"/>
      <c r="L27" s="63"/>
      <c r="M27" s="63"/>
      <c r="N27" s="63"/>
      <c r="O27" s="63"/>
      <c r="P27" s="63"/>
      <c r="Q27" s="61">
        <f t="shared" si="1"/>
        <v>0</v>
      </c>
      <c r="R27" s="61">
        <f>Q27/'Rooms Summary'!$Q$111</f>
        <v>0</v>
      </c>
      <c r="S27" s="35"/>
      <c r="T27" s="115">
        <f t="shared" si="2"/>
        <v>0</v>
      </c>
    </row>
    <row r="28" spans="1:20" s="3" customFormat="1" ht="24.95" hidden="1" customHeight="1">
      <c r="A28" s="3" t="s">
        <v>168</v>
      </c>
      <c r="B28" s="50" t="s">
        <v>303</v>
      </c>
      <c r="D28" s="26" t="s">
        <v>169</v>
      </c>
      <c r="E28" s="63"/>
      <c r="F28" s="63"/>
      <c r="G28" s="63"/>
      <c r="H28" s="63"/>
      <c r="I28" s="63"/>
      <c r="J28" s="63"/>
      <c r="K28" s="63"/>
      <c r="L28" s="63"/>
      <c r="M28" s="63"/>
      <c r="N28" s="63"/>
      <c r="O28" s="63"/>
      <c r="P28" s="63"/>
      <c r="Q28" s="61">
        <f t="shared" si="1"/>
        <v>0</v>
      </c>
      <c r="R28" s="61">
        <f>Q28/'Rooms Summary'!$Q$111</f>
        <v>0</v>
      </c>
      <c r="S28" s="35"/>
      <c r="T28" s="115">
        <f t="shared" si="2"/>
        <v>0</v>
      </c>
    </row>
    <row r="29" spans="1:20" s="3" customFormat="1" ht="24.95" hidden="1" customHeight="1">
      <c r="A29" s="3" t="s">
        <v>170</v>
      </c>
      <c r="B29" s="50" t="s">
        <v>303</v>
      </c>
      <c r="D29" s="26" t="s">
        <v>171</v>
      </c>
      <c r="E29" s="63"/>
      <c r="F29" s="63"/>
      <c r="G29" s="63"/>
      <c r="H29" s="63"/>
      <c r="I29" s="63"/>
      <c r="J29" s="63"/>
      <c r="K29" s="63"/>
      <c r="L29" s="63"/>
      <c r="M29" s="63"/>
      <c r="N29" s="63"/>
      <c r="O29" s="63"/>
      <c r="P29" s="63"/>
      <c r="Q29" s="61">
        <f t="shared" si="1"/>
        <v>0</v>
      </c>
      <c r="R29" s="61">
        <f>Q29/'Rooms Summary'!$Q$111</f>
        <v>0</v>
      </c>
      <c r="S29" s="35"/>
      <c r="T29" s="115">
        <f t="shared" si="2"/>
        <v>0</v>
      </c>
    </row>
    <row r="30" spans="1:20" s="3" customFormat="1" ht="24.95" hidden="1" customHeight="1">
      <c r="A30" s="3" t="s">
        <v>172</v>
      </c>
      <c r="B30" s="50" t="s">
        <v>303</v>
      </c>
      <c r="D30" s="26" t="s">
        <v>173</v>
      </c>
      <c r="E30" s="63"/>
      <c r="F30" s="63"/>
      <c r="G30" s="63"/>
      <c r="H30" s="63"/>
      <c r="I30" s="63"/>
      <c r="J30" s="63"/>
      <c r="K30" s="63"/>
      <c r="L30" s="63"/>
      <c r="M30" s="63"/>
      <c r="N30" s="63"/>
      <c r="O30" s="63"/>
      <c r="P30" s="63"/>
      <c r="Q30" s="61">
        <f t="shared" si="1"/>
        <v>0</v>
      </c>
      <c r="R30" s="61">
        <f>Q30/'Rooms Summary'!$Q$111</f>
        <v>0</v>
      </c>
      <c r="S30" s="35"/>
      <c r="T30" s="115">
        <f t="shared" si="2"/>
        <v>0</v>
      </c>
    </row>
    <row r="31" spans="1:20" s="3" customFormat="1" ht="24.95" hidden="1" customHeight="1">
      <c r="A31" s="3" t="s">
        <v>174</v>
      </c>
      <c r="B31" s="50" t="s">
        <v>303</v>
      </c>
      <c r="D31" s="26" t="s">
        <v>175</v>
      </c>
      <c r="E31" s="63"/>
      <c r="F31" s="63"/>
      <c r="G31" s="63"/>
      <c r="H31" s="63"/>
      <c r="I31" s="63"/>
      <c r="J31" s="63"/>
      <c r="K31" s="63"/>
      <c r="L31" s="63"/>
      <c r="M31" s="63"/>
      <c r="N31" s="63"/>
      <c r="O31" s="63"/>
      <c r="P31" s="63"/>
      <c r="Q31" s="61">
        <f t="shared" si="1"/>
        <v>0</v>
      </c>
      <c r="R31" s="61">
        <f>Q31/'Rooms Summary'!$Q$111</f>
        <v>0</v>
      </c>
      <c r="S31" s="35"/>
      <c r="T31" s="115">
        <f t="shared" si="2"/>
        <v>0</v>
      </c>
    </row>
    <row r="32" spans="1:20" s="3" customFormat="1" ht="24.95" hidden="1" customHeight="1">
      <c r="A32" s="3" t="s">
        <v>176</v>
      </c>
      <c r="B32" s="50" t="s">
        <v>303</v>
      </c>
      <c r="D32" s="26" t="s">
        <v>177</v>
      </c>
      <c r="E32" s="63"/>
      <c r="F32" s="63"/>
      <c r="G32" s="63"/>
      <c r="H32" s="63"/>
      <c r="I32" s="63"/>
      <c r="J32" s="63"/>
      <c r="K32" s="63"/>
      <c r="L32" s="63"/>
      <c r="M32" s="63"/>
      <c r="N32" s="63"/>
      <c r="O32" s="63"/>
      <c r="P32" s="63"/>
      <c r="Q32" s="61">
        <f t="shared" si="1"/>
        <v>0</v>
      </c>
      <c r="R32" s="61">
        <f>Q32/'Rooms Summary'!$Q$111</f>
        <v>0</v>
      </c>
      <c r="S32" s="35"/>
      <c r="T32" s="115">
        <f t="shared" si="2"/>
        <v>0</v>
      </c>
    </row>
    <row r="33" spans="1:20" s="3" customFormat="1" ht="24.95" hidden="1" customHeight="1">
      <c r="A33" s="3" t="s">
        <v>178</v>
      </c>
      <c r="B33" s="50" t="s">
        <v>303</v>
      </c>
      <c r="D33" s="26" t="s">
        <v>179</v>
      </c>
      <c r="E33" s="63"/>
      <c r="F33" s="63"/>
      <c r="G33" s="63"/>
      <c r="H33" s="63"/>
      <c r="I33" s="63"/>
      <c r="J33" s="63"/>
      <c r="K33" s="63"/>
      <c r="L33" s="63"/>
      <c r="M33" s="63"/>
      <c r="N33" s="63"/>
      <c r="O33" s="63"/>
      <c r="P33" s="63"/>
      <c r="Q33" s="61">
        <f t="shared" si="1"/>
        <v>0</v>
      </c>
      <c r="R33" s="61">
        <f>Q33/'Rooms Summary'!$Q$111</f>
        <v>0</v>
      </c>
      <c r="S33" s="35"/>
      <c r="T33" s="115">
        <f t="shared" si="2"/>
        <v>0</v>
      </c>
    </row>
    <row r="34" spans="1:20" s="3" customFormat="1" ht="24.95" hidden="1" customHeight="1">
      <c r="A34" s="3" t="s">
        <v>180</v>
      </c>
      <c r="B34" s="50" t="s">
        <v>303</v>
      </c>
      <c r="D34" s="26" t="s">
        <v>181</v>
      </c>
      <c r="E34" s="63"/>
      <c r="F34" s="63"/>
      <c r="G34" s="63"/>
      <c r="H34" s="63"/>
      <c r="I34" s="63"/>
      <c r="J34" s="63"/>
      <c r="K34" s="63"/>
      <c r="L34" s="63"/>
      <c r="M34" s="63"/>
      <c r="N34" s="63"/>
      <c r="O34" s="63"/>
      <c r="P34" s="63"/>
      <c r="Q34" s="61">
        <f t="shared" si="1"/>
        <v>0</v>
      </c>
      <c r="R34" s="61">
        <f>Q34/'Rooms Summary'!$Q$111</f>
        <v>0</v>
      </c>
      <c r="S34" s="35"/>
      <c r="T34" s="115">
        <f t="shared" si="2"/>
        <v>0</v>
      </c>
    </row>
    <row r="35" spans="1:20" s="3" customFormat="1" ht="24.95" hidden="1" customHeight="1">
      <c r="A35" s="3" t="s">
        <v>182</v>
      </c>
      <c r="B35" s="50" t="s">
        <v>303</v>
      </c>
      <c r="D35" s="26" t="s">
        <v>183</v>
      </c>
      <c r="E35" s="63"/>
      <c r="F35" s="63"/>
      <c r="G35" s="63"/>
      <c r="H35" s="63"/>
      <c r="I35" s="63"/>
      <c r="J35" s="63"/>
      <c r="K35" s="63"/>
      <c r="L35" s="63"/>
      <c r="M35" s="63"/>
      <c r="N35" s="63"/>
      <c r="O35" s="63"/>
      <c r="P35" s="63"/>
      <c r="Q35" s="61">
        <f t="shared" si="1"/>
        <v>0</v>
      </c>
      <c r="R35" s="61">
        <f>Q35/'Rooms Summary'!$Q$111</f>
        <v>0</v>
      </c>
      <c r="S35" s="35"/>
      <c r="T35" s="115">
        <f t="shared" si="2"/>
        <v>0</v>
      </c>
    </row>
    <row r="36" spans="1:20" s="3" customFormat="1" ht="24.95" hidden="1" customHeight="1">
      <c r="A36" s="3" t="s">
        <v>184</v>
      </c>
      <c r="B36" s="50" t="s">
        <v>303</v>
      </c>
      <c r="D36" s="26" t="s">
        <v>185</v>
      </c>
      <c r="E36" s="63"/>
      <c r="F36" s="63"/>
      <c r="G36" s="63"/>
      <c r="H36" s="63"/>
      <c r="I36" s="63"/>
      <c r="J36" s="63"/>
      <c r="K36" s="63"/>
      <c r="L36" s="63"/>
      <c r="M36" s="63"/>
      <c r="N36" s="63"/>
      <c r="O36" s="63"/>
      <c r="P36" s="63"/>
      <c r="Q36" s="61">
        <f t="shared" si="1"/>
        <v>0</v>
      </c>
      <c r="R36" s="61">
        <f>Q36/'Rooms Summary'!$Q$111</f>
        <v>0</v>
      </c>
      <c r="S36" s="35"/>
      <c r="T36" s="115">
        <f t="shared" si="2"/>
        <v>0</v>
      </c>
    </row>
    <row r="37" spans="1:20" s="3" customFormat="1" ht="24.95" hidden="1" customHeight="1">
      <c r="A37" s="3" t="s">
        <v>186</v>
      </c>
      <c r="B37" s="50" t="s">
        <v>303</v>
      </c>
      <c r="D37" s="26" t="s">
        <v>187</v>
      </c>
      <c r="E37" s="63"/>
      <c r="F37" s="63"/>
      <c r="G37" s="63"/>
      <c r="H37" s="63"/>
      <c r="I37" s="63"/>
      <c r="J37" s="63"/>
      <c r="K37" s="63"/>
      <c r="L37" s="63"/>
      <c r="M37" s="63"/>
      <c r="N37" s="63"/>
      <c r="O37" s="63"/>
      <c r="P37" s="63"/>
      <c r="Q37" s="61">
        <f t="shared" si="1"/>
        <v>0</v>
      </c>
      <c r="R37" s="61">
        <f>Q37/'Rooms Summary'!$Q$111</f>
        <v>0</v>
      </c>
      <c r="S37" s="35"/>
      <c r="T37" s="115">
        <f t="shared" si="2"/>
        <v>0</v>
      </c>
    </row>
    <row r="38" spans="1:20" s="3" customFormat="1" ht="24.95" hidden="1" customHeight="1">
      <c r="A38" s="3" t="s">
        <v>188</v>
      </c>
      <c r="B38" s="50" t="s">
        <v>303</v>
      </c>
      <c r="D38" s="26" t="s">
        <v>189</v>
      </c>
      <c r="E38" s="63"/>
      <c r="F38" s="63"/>
      <c r="G38" s="63"/>
      <c r="H38" s="63"/>
      <c r="I38" s="63"/>
      <c r="J38" s="63"/>
      <c r="K38" s="63"/>
      <c r="L38" s="63"/>
      <c r="M38" s="63"/>
      <c r="N38" s="63"/>
      <c r="O38" s="63"/>
      <c r="P38" s="63"/>
      <c r="Q38" s="61">
        <f t="shared" si="1"/>
        <v>0</v>
      </c>
      <c r="R38" s="61">
        <f>Q38/'Rooms Summary'!$Q$111</f>
        <v>0</v>
      </c>
      <c r="S38" s="35"/>
      <c r="T38" s="115">
        <f t="shared" si="2"/>
        <v>0</v>
      </c>
    </row>
    <row r="39" spans="1:20" s="3" customFormat="1" ht="24.95" hidden="1" customHeight="1">
      <c r="A39" s="3" t="s">
        <v>190</v>
      </c>
      <c r="B39" s="50" t="s">
        <v>303</v>
      </c>
      <c r="D39" s="26" t="s">
        <v>191</v>
      </c>
      <c r="E39" s="63"/>
      <c r="F39" s="63"/>
      <c r="G39" s="63"/>
      <c r="H39" s="63"/>
      <c r="I39" s="63"/>
      <c r="J39" s="63"/>
      <c r="K39" s="63"/>
      <c r="L39" s="63"/>
      <c r="M39" s="63"/>
      <c r="N39" s="63"/>
      <c r="O39" s="63"/>
      <c r="P39" s="63"/>
      <c r="Q39" s="61">
        <f t="shared" si="1"/>
        <v>0</v>
      </c>
      <c r="R39" s="61">
        <f>Q39/'Rooms Summary'!$Q$111</f>
        <v>0</v>
      </c>
      <c r="S39" s="35"/>
      <c r="T39" s="115">
        <f t="shared" si="2"/>
        <v>0</v>
      </c>
    </row>
    <row r="40" spans="1:20" s="3" customFormat="1" ht="24.95" hidden="1" customHeight="1">
      <c r="A40" s="3" t="s">
        <v>192</v>
      </c>
      <c r="B40" s="50" t="s">
        <v>303</v>
      </c>
      <c r="D40" s="26" t="s">
        <v>193</v>
      </c>
      <c r="E40" s="63"/>
      <c r="F40" s="63"/>
      <c r="G40" s="63"/>
      <c r="H40" s="63"/>
      <c r="I40" s="63"/>
      <c r="J40" s="63"/>
      <c r="K40" s="63"/>
      <c r="L40" s="63"/>
      <c r="M40" s="63"/>
      <c r="N40" s="63"/>
      <c r="O40" s="63"/>
      <c r="P40" s="63"/>
      <c r="Q40" s="61">
        <f t="shared" si="1"/>
        <v>0</v>
      </c>
      <c r="R40" s="61">
        <f>Q40/'Rooms Summary'!$Q$111</f>
        <v>0</v>
      </c>
      <c r="S40" s="35"/>
      <c r="T40" s="115">
        <f t="shared" si="2"/>
        <v>0</v>
      </c>
    </row>
    <row r="41" spans="1:20" s="3" customFormat="1" ht="24.95" hidden="1" customHeight="1">
      <c r="A41" s="3" t="s">
        <v>194</v>
      </c>
      <c r="B41" s="50" t="s">
        <v>303</v>
      </c>
      <c r="D41" s="26" t="s">
        <v>195</v>
      </c>
      <c r="E41" s="63"/>
      <c r="F41" s="63"/>
      <c r="G41" s="63"/>
      <c r="H41" s="63"/>
      <c r="I41" s="63"/>
      <c r="J41" s="63"/>
      <c r="K41" s="63"/>
      <c r="L41" s="63"/>
      <c r="M41" s="63"/>
      <c r="N41" s="63"/>
      <c r="O41" s="63"/>
      <c r="P41" s="63"/>
      <c r="Q41" s="61">
        <f t="shared" si="1"/>
        <v>0</v>
      </c>
      <c r="R41" s="61">
        <f>Q41/'Rooms Summary'!$Q$111</f>
        <v>0</v>
      </c>
      <c r="S41" s="35"/>
      <c r="T41" s="115">
        <f t="shared" si="2"/>
        <v>0</v>
      </c>
    </row>
    <row r="42" spans="1:20" s="3" customFormat="1" ht="24.95" hidden="1" customHeight="1">
      <c r="A42" s="3" t="s">
        <v>196</v>
      </c>
      <c r="B42" s="50" t="s">
        <v>303</v>
      </c>
      <c r="D42" s="26" t="s">
        <v>197</v>
      </c>
      <c r="E42" s="63"/>
      <c r="F42" s="63"/>
      <c r="G42" s="63"/>
      <c r="H42" s="63"/>
      <c r="I42" s="63"/>
      <c r="J42" s="63"/>
      <c r="K42" s="63"/>
      <c r="L42" s="63"/>
      <c r="M42" s="63"/>
      <c r="N42" s="63"/>
      <c r="O42" s="63"/>
      <c r="P42" s="63"/>
      <c r="Q42" s="61">
        <f t="shared" si="1"/>
        <v>0</v>
      </c>
      <c r="R42" s="61">
        <f>Q42/'Rooms Summary'!$Q$111</f>
        <v>0</v>
      </c>
      <c r="S42" s="35"/>
      <c r="T42" s="115">
        <f t="shared" si="2"/>
        <v>0</v>
      </c>
    </row>
    <row r="43" spans="1:20" s="3" customFormat="1" ht="24.95" hidden="1" customHeight="1">
      <c r="A43" s="3" t="s">
        <v>198</v>
      </c>
      <c r="B43" s="50" t="s">
        <v>303</v>
      </c>
      <c r="D43" s="26" t="s">
        <v>199</v>
      </c>
      <c r="E43" s="63"/>
      <c r="F43" s="63"/>
      <c r="G43" s="63"/>
      <c r="H43" s="63"/>
      <c r="I43" s="63"/>
      <c r="J43" s="63"/>
      <c r="K43" s="63"/>
      <c r="L43" s="63"/>
      <c r="M43" s="63"/>
      <c r="N43" s="63"/>
      <c r="O43" s="63"/>
      <c r="P43" s="63"/>
      <c r="Q43" s="61">
        <f t="shared" si="1"/>
        <v>0</v>
      </c>
      <c r="R43" s="61">
        <f>Q43/'Rooms Summary'!$Q$111</f>
        <v>0</v>
      </c>
      <c r="S43" s="35"/>
      <c r="T43" s="115">
        <f t="shared" si="2"/>
        <v>0</v>
      </c>
    </row>
    <row r="44" spans="1:20" s="3" customFormat="1" ht="24.95" hidden="1" customHeight="1">
      <c r="A44" s="3" t="s">
        <v>200</v>
      </c>
      <c r="B44" s="50" t="s">
        <v>303</v>
      </c>
      <c r="D44" s="26" t="s">
        <v>201</v>
      </c>
      <c r="E44" s="63"/>
      <c r="F44" s="63"/>
      <c r="G44" s="63"/>
      <c r="H44" s="63"/>
      <c r="I44" s="63"/>
      <c r="J44" s="63"/>
      <c r="K44" s="63"/>
      <c r="L44" s="63"/>
      <c r="M44" s="63"/>
      <c r="N44" s="63"/>
      <c r="O44" s="63"/>
      <c r="P44" s="63"/>
      <c r="Q44" s="61">
        <f t="shared" si="1"/>
        <v>0</v>
      </c>
      <c r="R44" s="61">
        <f>Q44/'Rooms Summary'!$Q$111</f>
        <v>0</v>
      </c>
      <c r="S44" s="35"/>
      <c r="T44" s="115">
        <f t="shared" si="2"/>
        <v>0</v>
      </c>
    </row>
    <row r="45" spans="1:20" s="3" customFormat="1" ht="24.95" hidden="1" customHeight="1">
      <c r="A45" s="3" t="s">
        <v>202</v>
      </c>
      <c r="B45" s="50" t="s">
        <v>303</v>
      </c>
      <c r="D45" s="26" t="s">
        <v>203</v>
      </c>
      <c r="E45" s="63"/>
      <c r="F45" s="63"/>
      <c r="G45" s="63"/>
      <c r="H45" s="63"/>
      <c r="I45" s="63"/>
      <c r="J45" s="63"/>
      <c r="K45" s="63"/>
      <c r="L45" s="63"/>
      <c r="M45" s="63"/>
      <c r="N45" s="63"/>
      <c r="O45" s="63"/>
      <c r="P45" s="63"/>
      <c r="Q45" s="61">
        <f t="shared" si="1"/>
        <v>0</v>
      </c>
      <c r="R45" s="61">
        <f>Q45/'Rooms Summary'!$Q$111</f>
        <v>0</v>
      </c>
      <c r="S45" s="35"/>
      <c r="T45" s="115">
        <f t="shared" si="2"/>
        <v>0</v>
      </c>
    </row>
    <row r="46" spans="1:20" s="3" customFormat="1" ht="24.95" hidden="1" customHeight="1">
      <c r="A46" s="3" t="s">
        <v>204</v>
      </c>
      <c r="B46" s="50" t="s">
        <v>303</v>
      </c>
      <c r="D46" s="26" t="s">
        <v>205</v>
      </c>
      <c r="E46" s="63"/>
      <c r="F46" s="63"/>
      <c r="G46" s="63"/>
      <c r="H46" s="63"/>
      <c r="I46" s="63"/>
      <c r="J46" s="63"/>
      <c r="K46" s="63"/>
      <c r="L46" s="63"/>
      <c r="M46" s="63"/>
      <c r="N46" s="63"/>
      <c r="O46" s="63"/>
      <c r="P46" s="63"/>
      <c r="Q46" s="61">
        <f t="shared" si="1"/>
        <v>0</v>
      </c>
      <c r="R46" s="61">
        <f>Q46/'Rooms Summary'!$Q$111</f>
        <v>0</v>
      </c>
      <c r="S46" s="35"/>
      <c r="T46" s="115">
        <f t="shared" si="2"/>
        <v>0</v>
      </c>
    </row>
    <row r="47" spans="1:20" s="3" customFormat="1" ht="24.95" hidden="1" customHeight="1">
      <c r="A47" s="3" t="s">
        <v>206</v>
      </c>
      <c r="B47" s="50" t="s">
        <v>303</v>
      </c>
      <c r="D47" s="26" t="s">
        <v>207</v>
      </c>
      <c r="E47" s="63"/>
      <c r="F47" s="63"/>
      <c r="G47" s="63"/>
      <c r="H47" s="63"/>
      <c r="I47" s="63"/>
      <c r="J47" s="63"/>
      <c r="K47" s="63"/>
      <c r="L47" s="63"/>
      <c r="M47" s="63"/>
      <c r="N47" s="63"/>
      <c r="O47" s="63"/>
      <c r="P47" s="63"/>
      <c r="Q47" s="61">
        <f t="shared" si="1"/>
        <v>0</v>
      </c>
      <c r="R47" s="61">
        <f>Q47/'Rooms Summary'!$Q$111</f>
        <v>0</v>
      </c>
      <c r="S47" s="35"/>
      <c r="T47" s="115">
        <f t="shared" si="2"/>
        <v>0</v>
      </c>
    </row>
    <row r="48" spans="1:20" s="3" customFormat="1" ht="24.95" hidden="1" customHeight="1">
      <c r="A48" s="3" t="s">
        <v>208</v>
      </c>
      <c r="B48" s="50" t="s">
        <v>303</v>
      </c>
      <c r="D48" s="26" t="s">
        <v>209</v>
      </c>
      <c r="E48" s="63"/>
      <c r="F48" s="63"/>
      <c r="G48" s="63"/>
      <c r="H48" s="63"/>
      <c r="I48" s="63"/>
      <c r="J48" s="63"/>
      <c r="K48" s="63"/>
      <c r="L48" s="63"/>
      <c r="M48" s="63"/>
      <c r="N48" s="63"/>
      <c r="O48" s="63"/>
      <c r="P48" s="63"/>
      <c r="Q48" s="61">
        <f t="shared" si="1"/>
        <v>0</v>
      </c>
      <c r="R48" s="61">
        <f>Q48/'Rooms Summary'!$Q$111</f>
        <v>0</v>
      </c>
      <c r="S48" s="35"/>
      <c r="T48" s="115">
        <f t="shared" si="2"/>
        <v>0</v>
      </c>
    </row>
    <row r="49" spans="1:20" s="3" customFormat="1" ht="24.95" hidden="1" customHeight="1">
      <c r="A49" s="3" t="s">
        <v>210</v>
      </c>
      <c r="B49" s="50" t="s">
        <v>303</v>
      </c>
      <c r="D49" s="26" t="s">
        <v>211</v>
      </c>
      <c r="E49" s="63"/>
      <c r="F49" s="63"/>
      <c r="G49" s="63"/>
      <c r="H49" s="63"/>
      <c r="I49" s="63"/>
      <c r="J49" s="63"/>
      <c r="K49" s="63"/>
      <c r="L49" s="63"/>
      <c r="M49" s="63"/>
      <c r="N49" s="63"/>
      <c r="O49" s="63"/>
      <c r="P49" s="63"/>
      <c r="Q49" s="61">
        <f t="shared" si="1"/>
        <v>0</v>
      </c>
      <c r="R49" s="61">
        <f>Q49/'Rooms Summary'!$Q$111</f>
        <v>0</v>
      </c>
      <c r="S49" s="35"/>
      <c r="T49" s="115">
        <f t="shared" si="2"/>
        <v>0</v>
      </c>
    </row>
    <row r="50" spans="1:20" s="3" customFormat="1" ht="24.95" hidden="1" customHeight="1">
      <c r="A50" s="3" t="s">
        <v>212</v>
      </c>
      <c r="B50" s="50" t="s">
        <v>303</v>
      </c>
      <c r="D50" s="26" t="s">
        <v>213</v>
      </c>
      <c r="E50" s="63"/>
      <c r="F50" s="63"/>
      <c r="G50" s="63"/>
      <c r="H50" s="63"/>
      <c r="I50" s="63"/>
      <c r="J50" s="63"/>
      <c r="K50" s="63"/>
      <c r="L50" s="63"/>
      <c r="M50" s="63"/>
      <c r="N50" s="63"/>
      <c r="O50" s="63"/>
      <c r="P50" s="63"/>
      <c r="Q50" s="61">
        <f t="shared" si="1"/>
        <v>0</v>
      </c>
      <c r="R50" s="61">
        <f>Q50/'Rooms Summary'!$Q$111</f>
        <v>0</v>
      </c>
      <c r="S50" s="35"/>
      <c r="T50" s="115">
        <f t="shared" si="2"/>
        <v>0</v>
      </c>
    </row>
    <row r="51" spans="1:20" s="3" customFormat="1" ht="24.95" hidden="1" customHeight="1">
      <c r="A51" s="3" t="s">
        <v>214</v>
      </c>
      <c r="B51" s="50" t="s">
        <v>303</v>
      </c>
      <c r="D51" s="26" t="s">
        <v>215</v>
      </c>
      <c r="E51" s="63"/>
      <c r="F51" s="63"/>
      <c r="G51" s="63"/>
      <c r="H51" s="63"/>
      <c r="I51" s="63"/>
      <c r="J51" s="63"/>
      <c r="K51" s="63"/>
      <c r="L51" s="63"/>
      <c r="M51" s="63"/>
      <c r="N51" s="63"/>
      <c r="O51" s="63"/>
      <c r="P51" s="63"/>
      <c r="Q51" s="61">
        <f t="shared" si="1"/>
        <v>0</v>
      </c>
      <c r="R51" s="61">
        <f>Q51/'Rooms Summary'!$Q$111</f>
        <v>0</v>
      </c>
      <c r="S51" s="35"/>
      <c r="T51" s="115">
        <f t="shared" si="2"/>
        <v>0</v>
      </c>
    </row>
    <row r="52" spans="1:20" s="3" customFormat="1" ht="24.95" hidden="1" customHeight="1">
      <c r="A52" s="3" t="s">
        <v>216</v>
      </c>
      <c r="B52" s="50" t="s">
        <v>303</v>
      </c>
      <c r="D52" s="26" t="s">
        <v>217</v>
      </c>
      <c r="E52" s="63"/>
      <c r="F52" s="63"/>
      <c r="G52" s="63"/>
      <c r="H52" s="63"/>
      <c r="I52" s="63"/>
      <c r="J52" s="63"/>
      <c r="K52" s="63"/>
      <c r="L52" s="63"/>
      <c r="M52" s="63"/>
      <c r="N52" s="63"/>
      <c r="O52" s="63"/>
      <c r="P52" s="63"/>
      <c r="Q52" s="61">
        <f t="shared" si="1"/>
        <v>0</v>
      </c>
      <c r="R52" s="61">
        <f>Q52/'Rooms Summary'!$Q$111</f>
        <v>0</v>
      </c>
      <c r="S52" s="35"/>
      <c r="T52" s="115">
        <f t="shared" si="2"/>
        <v>0</v>
      </c>
    </row>
    <row r="53" spans="1:20" s="3" customFormat="1" ht="24.95" hidden="1" customHeight="1">
      <c r="A53" s="3" t="s">
        <v>218</v>
      </c>
      <c r="B53" s="50" t="s">
        <v>303</v>
      </c>
      <c r="D53" s="26" t="s">
        <v>219</v>
      </c>
      <c r="E53" s="63"/>
      <c r="F53" s="63"/>
      <c r="G53" s="63"/>
      <c r="H53" s="63"/>
      <c r="I53" s="63"/>
      <c r="J53" s="63"/>
      <c r="K53" s="63"/>
      <c r="L53" s="63"/>
      <c r="M53" s="63"/>
      <c r="N53" s="63"/>
      <c r="O53" s="63"/>
      <c r="P53" s="63"/>
      <c r="Q53" s="61">
        <f t="shared" si="1"/>
        <v>0</v>
      </c>
      <c r="R53" s="61">
        <f>Q53/'Rooms Summary'!$Q$111</f>
        <v>0</v>
      </c>
      <c r="S53" s="35"/>
      <c r="T53" s="115">
        <f t="shared" si="2"/>
        <v>0</v>
      </c>
    </row>
    <row r="54" spans="1:20" s="3" customFormat="1" ht="24.95" hidden="1" customHeight="1">
      <c r="A54" s="3" t="s">
        <v>220</v>
      </c>
      <c r="B54" s="50" t="s">
        <v>303</v>
      </c>
      <c r="D54" s="26" t="s">
        <v>221</v>
      </c>
      <c r="E54" s="63"/>
      <c r="F54" s="63"/>
      <c r="G54" s="63"/>
      <c r="H54" s="63"/>
      <c r="I54" s="63"/>
      <c r="J54" s="63"/>
      <c r="K54" s="63"/>
      <c r="L54" s="63"/>
      <c r="M54" s="63"/>
      <c r="N54" s="63"/>
      <c r="O54" s="63"/>
      <c r="P54" s="63"/>
      <c r="Q54" s="61">
        <f t="shared" si="1"/>
        <v>0</v>
      </c>
      <c r="R54" s="61">
        <f>Q54/'Rooms Summary'!$Q$111</f>
        <v>0</v>
      </c>
      <c r="S54" s="35"/>
      <c r="T54" s="115">
        <f t="shared" si="2"/>
        <v>0</v>
      </c>
    </row>
    <row r="55" spans="1:20" s="3" customFormat="1" ht="24.95" hidden="1" customHeight="1">
      <c r="A55" s="3" t="s">
        <v>222</v>
      </c>
      <c r="B55" s="50" t="s">
        <v>303</v>
      </c>
      <c r="D55" s="26" t="s">
        <v>223</v>
      </c>
      <c r="E55" s="63"/>
      <c r="F55" s="63"/>
      <c r="G55" s="63"/>
      <c r="H55" s="63"/>
      <c r="I55" s="63"/>
      <c r="J55" s="63"/>
      <c r="K55" s="63"/>
      <c r="L55" s="63"/>
      <c r="M55" s="63"/>
      <c r="N55" s="63"/>
      <c r="O55" s="63"/>
      <c r="P55" s="63"/>
      <c r="Q55" s="61">
        <f t="shared" si="1"/>
        <v>0</v>
      </c>
      <c r="R55" s="61">
        <f>Q55/'Rooms Summary'!$Q$111</f>
        <v>0</v>
      </c>
      <c r="S55" s="35"/>
      <c r="T55" s="115">
        <f t="shared" si="2"/>
        <v>0</v>
      </c>
    </row>
    <row r="56" spans="1:20" s="3" customFormat="1" ht="24.95" hidden="1" customHeight="1">
      <c r="A56" s="3" t="s">
        <v>224</v>
      </c>
      <c r="B56" s="50" t="s">
        <v>303</v>
      </c>
      <c r="D56" s="26" t="s">
        <v>225</v>
      </c>
      <c r="E56" s="63"/>
      <c r="F56" s="63"/>
      <c r="G56" s="63"/>
      <c r="H56" s="63"/>
      <c r="I56" s="63"/>
      <c r="J56" s="63"/>
      <c r="K56" s="63"/>
      <c r="L56" s="63"/>
      <c r="M56" s="63"/>
      <c r="N56" s="63"/>
      <c r="O56" s="63"/>
      <c r="P56" s="63"/>
      <c r="Q56" s="61">
        <f t="shared" si="1"/>
        <v>0</v>
      </c>
      <c r="R56" s="61">
        <f>Q56/'Rooms Summary'!$Q$111</f>
        <v>0</v>
      </c>
      <c r="S56" s="35"/>
      <c r="T56" s="115">
        <f t="shared" si="2"/>
        <v>0</v>
      </c>
    </row>
    <row r="57" spans="1:20" s="3" customFormat="1" ht="24.95" hidden="1" customHeight="1">
      <c r="A57" s="3" t="s">
        <v>226</v>
      </c>
      <c r="B57" s="50" t="s">
        <v>303</v>
      </c>
      <c r="D57" s="26" t="s">
        <v>227</v>
      </c>
      <c r="E57" s="63"/>
      <c r="F57" s="63"/>
      <c r="G57" s="63"/>
      <c r="H57" s="63"/>
      <c r="I57" s="63"/>
      <c r="J57" s="63"/>
      <c r="K57" s="63"/>
      <c r="L57" s="63"/>
      <c r="M57" s="63"/>
      <c r="N57" s="63"/>
      <c r="O57" s="63"/>
      <c r="P57" s="63"/>
      <c r="Q57" s="61">
        <f t="shared" si="1"/>
        <v>0</v>
      </c>
      <c r="R57" s="61">
        <f>Q57/'Rooms Summary'!$Q$111</f>
        <v>0</v>
      </c>
      <c r="S57" s="35"/>
      <c r="T57" s="115">
        <f t="shared" si="2"/>
        <v>0</v>
      </c>
    </row>
    <row r="58" spans="1:20" s="3" customFormat="1" ht="24.95" hidden="1" customHeight="1">
      <c r="A58" s="3" t="s">
        <v>228</v>
      </c>
      <c r="B58" s="50" t="s">
        <v>303</v>
      </c>
      <c r="D58" s="26" t="s">
        <v>229</v>
      </c>
      <c r="E58" s="63"/>
      <c r="F58" s="63"/>
      <c r="G58" s="63"/>
      <c r="H58" s="63"/>
      <c r="I58" s="63"/>
      <c r="J58" s="63"/>
      <c r="K58" s="63"/>
      <c r="L58" s="63"/>
      <c r="M58" s="63"/>
      <c r="N58" s="63"/>
      <c r="O58" s="63"/>
      <c r="P58" s="63"/>
      <c r="Q58" s="61">
        <f t="shared" si="1"/>
        <v>0</v>
      </c>
      <c r="R58" s="61">
        <f>Q58/'Rooms Summary'!$Q$111</f>
        <v>0</v>
      </c>
      <c r="S58" s="35"/>
      <c r="T58" s="115">
        <f t="shared" si="2"/>
        <v>0</v>
      </c>
    </row>
    <row r="59" spans="1:20" s="3" customFormat="1" ht="24.95" hidden="1" customHeight="1">
      <c r="A59" s="3" t="s">
        <v>230</v>
      </c>
      <c r="B59" s="50" t="s">
        <v>303</v>
      </c>
      <c r="D59" s="26" t="s">
        <v>231</v>
      </c>
      <c r="E59" s="63"/>
      <c r="F59" s="63"/>
      <c r="G59" s="63"/>
      <c r="H59" s="63"/>
      <c r="I59" s="63"/>
      <c r="J59" s="63"/>
      <c r="K59" s="63"/>
      <c r="L59" s="63"/>
      <c r="M59" s="63"/>
      <c r="N59" s="63"/>
      <c r="O59" s="63"/>
      <c r="P59" s="63"/>
      <c r="Q59" s="61">
        <f t="shared" si="1"/>
        <v>0</v>
      </c>
      <c r="R59" s="61">
        <f>Q59/'Rooms Summary'!$Q$111</f>
        <v>0</v>
      </c>
      <c r="S59" s="35"/>
      <c r="T59" s="115">
        <f t="shared" si="2"/>
        <v>0</v>
      </c>
    </row>
    <row r="60" spans="1:20" s="3" customFormat="1" ht="24.95" hidden="1" customHeight="1">
      <c r="A60" s="3" t="s">
        <v>232</v>
      </c>
      <c r="B60" s="50" t="s">
        <v>303</v>
      </c>
      <c r="D60" s="26" t="s">
        <v>233</v>
      </c>
      <c r="E60" s="63"/>
      <c r="F60" s="63"/>
      <c r="G60" s="63"/>
      <c r="H60" s="63"/>
      <c r="I60" s="63"/>
      <c r="J60" s="63"/>
      <c r="K60" s="63"/>
      <c r="L60" s="63"/>
      <c r="M60" s="63"/>
      <c r="N60" s="63"/>
      <c r="O60" s="63"/>
      <c r="P60" s="63"/>
      <c r="Q60" s="61">
        <f t="shared" si="1"/>
        <v>0</v>
      </c>
      <c r="R60" s="61">
        <f>Q60/'Rooms Summary'!$Q$111</f>
        <v>0</v>
      </c>
      <c r="S60" s="35"/>
      <c r="T60" s="115">
        <f t="shared" si="2"/>
        <v>0</v>
      </c>
    </row>
    <row r="61" spans="1:20" s="3" customFormat="1" ht="24.95" hidden="1" customHeight="1">
      <c r="A61" s="3" t="s">
        <v>234</v>
      </c>
      <c r="B61" s="50" t="s">
        <v>303</v>
      </c>
      <c r="D61" s="26" t="s">
        <v>235</v>
      </c>
      <c r="E61" s="63"/>
      <c r="F61" s="63"/>
      <c r="G61" s="63"/>
      <c r="H61" s="63"/>
      <c r="I61" s="63"/>
      <c r="J61" s="63"/>
      <c r="K61" s="63"/>
      <c r="L61" s="63"/>
      <c r="M61" s="63"/>
      <c r="N61" s="63"/>
      <c r="O61" s="63"/>
      <c r="P61" s="63"/>
      <c r="Q61" s="61">
        <f t="shared" si="1"/>
        <v>0</v>
      </c>
      <c r="R61" s="61">
        <f>Q61/'Rooms Summary'!$Q$111</f>
        <v>0</v>
      </c>
      <c r="S61" s="35"/>
      <c r="T61" s="115">
        <f t="shared" si="2"/>
        <v>0</v>
      </c>
    </row>
    <row r="62" spans="1:20" s="3" customFormat="1" ht="24.95" hidden="1" customHeight="1">
      <c r="A62" s="3" t="s">
        <v>236</v>
      </c>
      <c r="B62" s="50" t="s">
        <v>303</v>
      </c>
      <c r="D62" s="26" t="s">
        <v>237</v>
      </c>
      <c r="E62" s="63"/>
      <c r="F62" s="63"/>
      <c r="G62" s="63"/>
      <c r="H62" s="63"/>
      <c r="I62" s="63"/>
      <c r="J62" s="63"/>
      <c r="K62" s="63"/>
      <c r="L62" s="63"/>
      <c r="M62" s="63"/>
      <c r="N62" s="63"/>
      <c r="O62" s="63"/>
      <c r="P62" s="63"/>
      <c r="Q62" s="61">
        <f t="shared" si="1"/>
        <v>0</v>
      </c>
      <c r="R62" s="61">
        <f>Q62/'Rooms Summary'!$Q$111</f>
        <v>0</v>
      </c>
      <c r="S62" s="35"/>
      <c r="T62" s="115">
        <f t="shared" si="2"/>
        <v>0</v>
      </c>
    </row>
    <row r="63" spans="1:20" s="3" customFormat="1" ht="24.95" hidden="1" customHeight="1">
      <c r="A63" s="3" t="s">
        <v>238</v>
      </c>
      <c r="B63" s="50" t="s">
        <v>303</v>
      </c>
      <c r="D63" s="26" t="s">
        <v>239</v>
      </c>
      <c r="E63" s="63"/>
      <c r="F63" s="63"/>
      <c r="G63" s="63"/>
      <c r="H63" s="63"/>
      <c r="I63" s="63"/>
      <c r="J63" s="63"/>
      <c r="K63" s="63"/>
      <c r="L63" s="63"/>
      <c r="M63" s="63"/>
      <c r="N63" s="63"/>
      <c r="O63" s="63"/>
      <c r="P63" s="63"/>
      <c r="Q63" s="61">
        <f t="shared" si="1"/>
        <v>0</v>
      </c>
      <c r="R63" s="61">
        <f>Q63/'Rooms Summary'!$Q$111</f>
        <v>0</v>
      </c>
      <c r="S63" s="35"/>
      <c r="T63" s="115">
        <f t="shared" si="2"/>
        <v>0</v>
      </c>
    </row>
    <row r="64" spans="1:20" s="3" customFormat="1" ht="24.95" hidden="1" customHeight="1">
      <c r="A64" s="3" t="s">
        <v>240</v>
      </c>
      <c r="B64" s="50" t="s">
        <v>303</v>
      </c>
      <c r="D64" s="26" t="s">
        <v>241</v>
      </c>
      <c r="E64" s="63"/>
      <c r="F64" s="63"/>
      <c r="G64" s="63"/>
      <c r="H64" s="63"/>
      <c r="I64" s="63"/>
      <c r="J64" s="63"/>
      <c r="K64" s="63"/>
      <c r="L64" s="63"/>
      <c r="M64" s="63"/>
      <c r="N64" s="63"/>
      <c r="O64" s="63"/>
      <c r="P64" s="63"/>
      <c r="Q64" s="61">
        <f t="shared" si="1"/>
        <v>0</v>
      </c>
      <c r="R64" s="61">
        <f>Q64/'Rooms Summary'!$Q$111</f>
        <v>0</v>
      </c>
      <c r="S64" s="35"/>
      <c r="T64" s="115">
        <f t="shared" si="2"/>
        <v>0</v>
      </c>
    </row>
    <row r="65" spans="1:20" s="3" customFormat="1" ht="24.95" hidden="1" customHeight="1">
      <c r="A65" s="3" t="s">
        <v>242</v>
      </c>
      <c r="B65" s="50" t="s">
        <v>303</v>
      </c>
      <c r="D65" s="26" t="s">
        <v>243</v>
      </c>
      <c r="E65" s="63"/>
      <c r="F65" s="63"/>
      <c r="G65" s="63"/>
      <c r="H65" s="63"/>
      <c r="I65" s="63"/>
      <c r="J65" s="63"/>
      <c r="K65" s="63"/>
      <c r="L65" s="63"/>
      <c r="M65" s="63"/>
      <c r="N65" s="63"/>
      <c r="O65" s="63"/>
      <c r="P65" s="63"/>
      <c r="Q65" s="61">
        <f t="shared" si="1"/>
        <v>0</v>
      </c>
      <c r="R65" s="61">
        <f>Q65/'Rooms Summary'!$Q$111</f>
        <v>0</v>
      </c>
      <c r="S65" s="35"/>
      <c r="T65" s="115">
        <f t="shared" si="2"/>
        <v>0</v>
      </c>
    </row>
    <row r="66" spans="1:20" s="3" customFormat="1" ht="24.95" hidden="1" customHeight="1">
      <c r="A66" s="3" t="s">
        <v>244</v>
      </c>
      <c r="B66" s="50" t="s">
        <v>303</v>
      </c>
      <c r="D66" s="26" t="s">
        <v>245</v>
      </c>
      <c r="E66" s="63"/>
      <c r="F66" s="63"/>
      <c r="G66" s="63"/>
      <c r="H66" s="63"/>
      <c r="I66" s="63"/>
      <c r="J66" s="63"/>
      <c r="K66" s="63"/>
      <c r="L66" s="63"/>
      <c r="M66" s="63"/>
      <c r="N66" s="63"/>
      <c r="O66" s="63"/>
      <c r="P66" s="63"/>
      <c r="Q66" s="61">
        <f t="shared" si="1"/>
        <v>0</v>
      </c>
      <c r="R66" s="61">
        <f>Q66/'Rooms Summary'!$Q$111</f>
        <v>0</v>
      </c>
      <c r="S66" s="35"/>
      <c r="T66" s="115">
        <f t="shared" si="2"/>
        <v>0</v>
      </c>
    </row>
    <row r="67" spans="1:20" s="3" customFormat="1" ht="24.95" hidden="1" customHeight="1">
      <c r="A67" s="3" t="s">
        <v>246</v>
      </c>
      <c r="B67" s="50" t="s">
        <v>303</v>
      </c>
      <c r="D67" s="26" t="s">
        <v>247</v>
      </c>
      <c r="E67" s="63"/>
      <c r="F67" s="63"/>
      <c r="G67" s="63"/>
      <c r="H67" s="63"/>
      <c r="I67" s="63"/>
      <c r="J67" s="63"/>
      <c r="K67" s="63"/>
      <c r="L67" s="63"/>
      <c r="M67" s="63"/>
      <c r="N67" s="63"/>
      <c r="O67" s="63"/>
      <c r="P67" s="63"/>
      <c r="Q67" s="61">
        <f t="shared" si="1"/>
        <v>0</v>
      </c>
      <c r="R67" s="61">
        <f>Q67/'Rooms Summary'!$Q$111</f>
        <v>0</v>
      </c>
      <c r="S67" s="35"/>
      <c r="T67" s="115">
        <f t="shared" si="2"/>
        <v>0</v>
      </c>
    </row>
    <row r="68" spans="1:20" s="3" customFormat="1" ht="24.95" hidden="1" customHeight="1">
      <c r="A68" s="3" t="s">
        <v>248</v>
      </c>
      <c r="B68" s="50" t="s">
        <v>303</v>
      </c>
      <c r="D68" s="26" t="s">
        <v>249</v>
      </c>
      <c r="E68" s="63"/>
      <c r="F68" s="63"/>
      <c r="G68" s="63"/>
      <c r="H68" s="63"/>
      <c r="I68" s="63"/>
      <c r="J68" s="63"/>
      <c r="K68" s="63"/>
      <c r="L68" s="63"/>
      <c r="M68" s="63"/>
      <c r="N68" s="63"/>
      <c r="O68" s="63"/>
      <c r="P68" s="63"/>
      <c r="Q68" s="61">
        <f t="shared" si="1"/>
        <v>0</v>
      </c>
      <c r="R68" s="61">
        <f>Q68/'Rooms Summary'!$Q$111</f>
        <v>0</v>
      </c>
      <c r="S68" s="35"/>
      <c r="T68" s="115">
        <f t="shared" si="2"/>
        <v>0</v>
      </c>
    </row>
    <row r="69" spans="1:20" s="3" customFormat="1" ht="24.95" hidden="1" customHeight="1">
      <c r="A69" s="3" t="s">
        <v>250</v>
      </c>
      <c r="B69" s="50" t="s">
        <v>303</v>
      </c>
      <c r="D69" s="26" t="s">
        <v>251</v>
      </c>
      <c r="E69" s="63"/>
      <c r="F69" s="63"/>
      <c r="G69" s="63"/>
      <c r="H69" s="63"/>
      <c r="I69" s="63"/>
      <c r="J69" s="63"/>
      <c r="K69" s="63"/>
      <c r="L69" s="63"/>
      <c r="M69" s="63"/>
      <c r="N69" s="63"/>
      <c r="O69" s="63"/>
      <c r="P69" s="63"/>
      <c r="Q69" s="61">
        <f t="shared" si="1"/>
        <v>0</v>
      </c>
      <c r="R69" s="61">
        <f>Q69/'Rooms Summary'!$Q$111</f>
        <v>0</v>
      </c>
      <c r="S69" s="35"/>
      <c r="T69" s="115">
        <f t="shared" si="2"/>
        <v>0</v>
      </c>
    </row>
    <row r="70" spans="1:20" s="3" customFormat="1" ht="24.95" hidden="1" customHeight="1">
      <c r="A70" s="3" t="s">
        <v>252</v>
      </c>
      <c r="B70" s="50" t="s">
        <v>303</v>
      </c>
      <c r="D70" s="26" t="s">
        <v>253</v>
      </c>
      <c r="E70" s="63"/>
      <c r="F70" s="63"/>
      <c r="G70" s="63"/>
      <c r="H70" s="63"/>
      <c r="I70" s="63"/>
      <c r="J70" s="63"/>
      <c r="K70" s="63"/>
      <c r="L70" s="63"/>
      <c r="M70" s="63"/>
      <c r="N70" s="63"/>
      <c r="O70" s="63"/>
      <c r="P70" s="63"/>
      <c r="Q70" s="61">
        <f t="shared" si="1"/>
        <v>0</v>
      </c>
      <c r="R70" s="61">
        <f>Q70/'Rooms Summary'!$Q$111</f>
        <v>0</v>
      </c>
      <c r="S70" s="35"/>
      <c r="T70" s="115">
        <f t="shared" si="2"/>
        <v>0</v>
      </c>
    </row>
    <row r="71" spans="1:20" s="3" customFormat="1" ht="24.95" hidden="1" customHeight="1">
      <c r="A71" s="3" t="s">
        <v>254</v>
      </c>
      <c r="B71" s="50" t="s">
        <v>303</v>
      </c>
      <c r="D71" s="26" t="s">
        <v>255</v>
      </c>
      <c r="E71" s="63"/>
      <c r="F71" s="63"/>
      <c r="G71" s="63"/>
      <c r="H71" s="63"/>
      <c r="I71" s="63"/>
      <c r="J71" s="63"/>
      <c r="K71" s="63"/>
      <c r="L71" s="63"/>
      <c r="M71" s="63"/>
      <c r="N71" s="63"/>
      <c r="O71" s="63"/>
      <c r="P71" s="63"/>
      <c r="Q71" s="61">
        <f t="shared" si="1"/>
        <v>0</v>
      </c>
      <c r="R71" s="61">
        <f>Q71/'Rooms Summary'!$Q$111</f>
        <v>0</v>
      </c>
      <c r="S71" s="35"/>
      <c r="T71" s="115">
        <f t="shared" si="2"/>
        <v>0</v>
      </c>
    </row>
    <row r="72" spans="1:20" s="3" customFormat="1" ht="24.95" hidden="1" customHeight="1">
      <c r="A72" s="3" t="s">
        <v>256</v>
      </c>
      <c r="B72" s="50" t="s">
        <v>303</v>
      </c>
      <c r="D72" s="26" t="s">
        <v>257</v>
      </c>
      <c r="E72" s="63"/>
      <c r="F72" s="63"/>
      <c r="G72" s="63"/>
      <c r="H72" s="63"/>
      <c r="I72" s="63"/>
      <c r="J72" s="63"/>
      <c r="K72" s="63"/>
      <c r="L72" s="63"/>
      <c r="M72" s="63"/>
      <c r="N72" s="63"/>
      <c r="O72" s="63"/>
      <c r="P72" s="63"/>
      <c r="Q72" s="61">
        <f t="shared" si="1"/>
        <v>0</v>
      </c>
      <c r="R72" s="61">
        <f>Q72/'Rooms Summary'!$Q$111</f>
        <v>0</v>
      </c>
      <c r="S72" s="35"/>
      <c r="T72" s="115">
        <f t="shared" si="2"/>
        <v>0</v>
      </c>
    </row>
    <row r="73" spans="1:20" s="3" customFormat="1" ht="24.95" hidden="1" customHeight="1">
      <c r="A73" s="3" t="s">
        <v>258</v>
      </c>
      <c r="B73" s="50" t="s">
        <v>303</v>
      </c>
      <c r="D73" s="26" t="s">
        <v>259</v>
      </c>
      <c r="E73" s="63"/>
      <c r="F73" s="63"/>
      <c r="G73" s="63"/>
      <c r="H73" s="63"/>
      <c r="I73" s="63"/>
      <c r="J73" s="63"/>
      <c r="K73" s="63"/>
      <c r="L73" s="63"/>
      <c r="M73" s="63"/>
      <c r="N73" s="63"/>
      <c r="O73" s="63"/>
      <c r="P73" s="63"/>
      <c r="Q73" s="61">
        <f t="shared" si="1"/>
        <v>0</v>
      </c>
      <c r="R73" s="61">
        <f>Q73/'Rooms Summary'!$Q$111</f>
        <v>0</v>
      </c>
      <c r="S73" s="35"/>
      <c r="T73" s="115">
        <f t="shared" si="2"/>
        <v>0</v>
      </c>
    </row>
    <row r="74" spans="1:20" s="3" customFormat="1" ht="24.95" hidden="1" customHeight="1">
      <c r="A74" s="3" t="s">
        <v>260</v>
      </c>
      <c r="B74" s="50" t="s">
        <v>303</v>
      </c>
      <c r="D74" s="26" t="s">
        <v>261</v>
      </c>
      <c r="E74" s="63"/>
      <c r="F74" s="63"/>
      <c r="G74" s="63"/>
      <c r="H74" s="63"/>
      <c r="I74" s="63"/>
      <c r="J74" s="63"/>
      <c r="K74" s="63"/>
      <c r="L74" s="63"/>
      <c r="M74" s="63"/>
      <c r="N74" s="63"/>
      <c r="O74" s="63"/>
      <c r="P74" s="63"/>
      <c r="Q74" s="61">
        <f t="shared" si="1"/>
        <v>0</v>
      </c>
      <c r="R74" s="61">
        <f>Q74/'Rooms Summary'!$Q$111</f>
        <v>0</v>
      </c>
      <c r="S74" s="35"/>
      <c r="T74" s="115">
        <f t="shared" si="2"/>
        <v>0</v>
      </c>
    </row>
    <row r="75" spans="1:20" s="3" customFormat="1" ht="24.95" hidden="1" customHeight="1">
      <c r="A75" s="3" t="s">
        <v>262</v>
      </c>
      <c r="B75" s="50" t="s">
        <v>303</v>
      </c>
      <c r="D75" s="26" t="s">
        <v>263</v>
      </c>
      <c r="E75" s="63"/>
      <c r="F75" s="63"/>
      <c r="G75" s="63"/>
      <c r="H75" s="63"/>
      <c r="I75" s="63"/>
      <c r="J75" s="63"/>
      <c r="K75" s="63"/>
      <c r="L75" s="63"/>
      <c r="M75" s="63"/>
      <c r="N75" s="63"/>
      <c r="O75" s="63"/>
      <c r="P75" s="63"/>
      <c r="Q75" s="61">
        <f t="shared" si="1"/>
        <v>0</v>
      </c>
      <c r="R75" s="61">
        <f>Q75/'Rooms Summary'!$Q$111</f>
        <v>0</v>
      </c>
      <c r="S75" s="35"/>
      <c r="T75" s="115">
        <f t="shared" si="2"/>
        <v>0</v>
      </c>
    </row>
    <row r="76" spans="1:20" s="3" customFormat="1" ht="24.95" hidden="1" customHeight="1">
      <c r="A76" s="3" t="s">
        <v>264</v>
      </c>
      <c r="B76" s="50" t="s">
        <v>303</v>
      </c>
      <c r="D76" s="26" t="s">
        <v>265</v>
      </c>
      <c r="E76" s="63"/>
      <c r="F76" s="63"/>
      <c r="G76" s="63"/>
      <c r="H76" s="63"/>
      <c r="I76" s="63"/>
      <c r="J76" s="63"/>
      <c r="K76" s="63"/>
      <c r="L76" s="63"/>
      <c r="M76" s="63"/>
      <c r="N76" s="63"/>
      <c r="O76" s="63"/>
      <c r="P76" s="63"/>
      <c r="Q76" s="61">
        <f t="shared" si="1"/>
        <v>0</v>
      </c>
      <c r="R76" s="61">
        <f>Q76/'Rooms Summary'!$Q$111</f>
        <v>0</v>
      </c>
      <c r="S76" s="35"/>
      <c r="T76" s="115">
        <f t="shared" si="2"/>
        <v>0</v>
      </c>
    </row>
    <row r="77" spans="1:20" s="3" customFormat="1" ht="24.95" hidden="1" customHeight="1">
      <c r="A77" s="3" t="s">
        <v>266</v>
      </c>
      <c r="B77" s="50" t="s">
        <v>303</v>
      </c>
      <c r="D77" s="26" t="s">
        <v>267</v>
      </c>
      <c r="E77" s="63"/>
      <c r="F77" s="63"/>
      <c r="G77" s="63"/>
      <c r="H77" s="63"/>
      <c r="I77" s="63"/>
      <c r="J77" s="63"/>
      <c r="K77" s="63"/>
      <c r="L77" s="63"/>
      <c r="M77" s="63"/>
      <c r="N77" s="63"/>
      <c r="O77" s="63"/>
      <c r="P77" s="63"/>
      <c r="Q77" s="61">
        <f t="shared" si="1"/>
        <v>0</v>
      </c>
      <c r="R77" s="61">
        <f>Q77/'Rooms Summary'!$Q$111</f>
        <v>0</v>
      </c>
      <c r="S77" s="35"/>
      <c r="T77" s="115">
        <f t="shared" si="2"/>
        <v>0</v>
      </c>
    </row>
    <row r="78" spans="1:20" s="3" customFormat="1" ht="24.95" hidden="1" customHeight="1">
      <c r="A78" s="3" t="s">
        <v>268</v>
      </c>
      <c r="B78" s="50" t="s">
        <v>303</v>
      </c>
      <c r="D78" s="26" t="s">
        <v>269</v>
      </c>
      <c r="E78" s="63"/>
      <c r="F78" s="63"/>
      <c r="G78" s="63"/>
      <c r="H78" s="63"/>
      <c r="I78" s="63"/>
      <c r="J78" s="63"/>
      <c r="K78" s="63"/>
      <c r="L78" s="63"/>
      <c r="M78" s="63"/>
      <c r="N78" s="63"/>
      <c r="O78" s="63"/>
      <c r="P78" s="63"/>
      <c r="Q78" s="61">
        <f t="shared" si="1"/>
        <v>0</v>
      </c>
      <c r="R78" s="61">
        <f>Q78/'Rooms Summary'!$Q$111</f>
        <v>0</v>
      </c>
      <c r="S78" s="35"/>
      <c r="T78" s="115">
        <f t="shared" si="2"/>
        <v>0</v>
      </c>
    </row>
    <row r="79" spans="1:20" s="3" customFormat="1" ht="24.95" hidden="1" customHeight="1">
      <c r="A79" s="3" t="s">
        <v>270</v>
      </c>
      <c r="B79" s="50" t="s">
        <v>303</v>
      </c>
      <c r="D79" s="26" t="s">
        <v>271</v>
      </c>
      <c r="E79" s="63"/>
      <c r="F79" s="63"/>
      <c r="G79" s="63"/>
      <c r="H79" s="63"/>
      <c r="I79" s="63"/>
      <c r="J79" s="63"/>
      <c r="K79" s="63"/>
      <c r="L79" s="63"/>
      <c r="M79" s="63"/>
      <c r="N79" s="63"/>
      <c r="O79" s="63"/>
      <c r="P79" s="63"/>
      <c r="Q79" s="61">
        <f>SUM(E79:P79)</f>
        <v>0</v>
      </c>
      <c r="R79" s="61">
        <f>Q79/'Rooms Summary'!$Q$111</f>
        <v>0</v>
      </c>
      <c r="S79" s="35"/>
      <c r="T79" s="115">
        <f t="shared" ref="T79:T82" si="3">-IF(Q79-S79=0,0,(Q79-S79)/S79)</f>
        <v>0</v>
      </c>
    </row>
    <row r="80" spans="1:20" s="3" customFormat="1" ht="24.95" customHeight="1">
      <c r="A80" s="3" t="s">
        <v>272</v>
      </c>
      <c r="B80" s="50" t="s">
        <v>303</v>
      </c>
      <c r="D80" s="26" t="s">
        <v>273</v>
      </c>
      <c r="E80" s="63"/>
      <c r="F80" s="63"/>
      <c r="G80" s="63"/>
      <c r="H80" s="63"/>
      <c r="I80" s="63"/>
      <c r="J80" s="63"/>
      <c r="K80" s="63"/>
      <c r="L80" s="63"/>
      <c r="M80" s="63"/>
      <c r="N80" s="63"/>
      <c r="O80" s="63"/>
      <c r="P80" s="63"/>
      <c r="Q80" s="61">
        <f>SUM(E80:P80)</f>
        <v>0</v>
      </c>
      <c r="R80" s="61">
        <f>Q80/'Rooms Summary'!$Q$111</f>
        <v>0</v>
      </c>
      <c r="S80" s="35"/>
      <c r="T80" s="115">
        <f t="shared" si="3"/>
        <v>0</v>
      </c>
    </row>
    <row r="81" spans="1:20" s="3" customFormat="1" ht="24.95" customHeight="1">
      <c r="D81" s="19" t="s">
        <v>274</v>
      </c>
      <c r="E81" s="160">
        <f>SUM(E14:E80)</f>
        <v>0</v>
      </c>
      <c r="F81" s="160">
        <f t="shared" ref="F81:Q81" si="4">SUM(F14:F80)</f>
        <v>0</v>
      </c>
      <c r="G81" s="160">
        <f t="shared" si="4"/>
        <v>0</v>
      </c>
      <c r="H81" s="160">
        <f t="shared" si="4"/>
        <v>0</v>
      </c>
      <c r="I81" s="160">
        <f t="shared" si="4"/>
        <v>0</v>
      </c>
      <c r="J81" s="160">
        <f t="shared" si="4"/>
        <v>0</v>
      </c>
      <c r="K81" s="160">
        <f t="shared" si="4"/>
        <v>0</v>
      </c>
      <c r="L81" s="160">
        <f t="shared" si="4"/>
        <v>0</v>
      </c>
      <c r="M81" s="160">
        <f t="shared" si="4"/>
        <v>0</v>
      </c>
      <c r="N81" s="160">
        <f t="shared" si="4"/>
        <v>0</v>
      </c>
      <c r="O81" s="160">
        <f t="shared" si="4"/>
        <v>0</v>
      </c>
      <c r="P81" s="160">
        <f t="shared" si="4"/>
        <v>0</v>
      </c>
      <c r="Q81" s="160">
        <f t="shared" si="4"/>
        <v>0</v>
      </c>
      <c r="R81" s="61">
        <f>Q81/'Rooms Summary'!$Q$111</f>
        <v>0</v>
      </c>
      <c r="S81" s="35"/>
      <c r="T81" s="40">
        <f t="shared" si="3"/>
        <v>0</v>
      </c>
    </row>
    <row r="82" spans="1:20" s="3" customFormat="1" ht="24.95" customHeight="1">
      <c r="D82" s="19" t="s">
        <v>355</v>
      </c>
      <c r="E82" s="160">
        <f>E81+E11</f>
        <v>0</v>
      </c>
      <c r="F82" s="160">
        <f t="shared" ref="F82:Q82" si="5">F81+F11</f>
        <v>0</v>
      </c>
      <c r="G82" s="160">
        <f t="shared" si="5"/>
        <v>0</v>
      </c>
      <c r="H82" s="160">
        <f t="shared" si="5"/>
        <v>0</v>
      </c>
      <c r="I82" s="160">
        <f t="shared" si="5"/>
        <v>0</v>
      </c>
      <c r="J82" s="160">
        <f t="shared" si="5"/>
        <v>0</v>
      </c>
      <c r="K82" s="160">
        <f t="shared" si="5"/>
        <v>0</v>
      </c>
      <c r="L82" s="160">
        <f t="shared" si="5"/>
        <v>0</v>
      </c>
      <c r="M82" s="160">
        <f t="shared" si="5"/>
        <v>0</v>
      </c>
      <c r="N82" s="160">
        <f t="shared" si="5"/>
        <v>0</v>
      </c>
      <c r="O82" s="160">
        <f t="shared" si="5"/>
        <v>0</v>
      </c>
      <c r="P82" s="160">
        <f t="shared" si="5"/>
        <v>0</v>
      </c>
      <c r="Q82" s="160">
        <f t="shared" si="5"/>
        <v>0</v>
      </c>
      <c r="R82" s="61">
        <f>Q82/'Rooms Summary'!$Q$111</f>
        <v>0</v>
      </c>
      <c r="S82" s="35"/>
      <c r="T82" s="40">
        <f t="shared" si="3"/>
        <v>0</v>
      </c>
    </row>
    <row r="83" spans="1:20" s="3" customFormat="1" ht="24.95" customHeight="1">
      <c r="L83" s="161"/>
      <c r="S83" s="35"/>
      <c r="T83" s="115"/>
    </row>
    <row r="84" spans="1:20" s="3" customFormat="1" ht="24.95" customHeight="1">
      <c r="D84" s="19" t="s">
        <v>293</v>
      </c>
      <c r="L84" s="161"/>
      <c r="S84" s="35"/>
      <c r="T84" s="115"/>
    </row>
    <row r="85" spans="1:20" s="3" customFormat="1" ht="24.95" customHeight="1">
      <c r="D85" s="19" t="s">
        <v>294</v>
      </c>
      <c r="L85" s="161"/>
      <c r="S85" s="35"/>
      <c r="T85" s="115"/>
    </row>
    <row r="86" spans="1:20" s="3" customFormat="1" ht="24.95" customHeight="1">
      <c r="A86" s="3" t="s">
        <v>295</v>
      </c>
      <c r="B86" s="75" t="s">
        <v>303</v>
      </c>
      <c r="D86" s="3" t="s">
        <v>297</v>
      </c>
      <c r="E86" s="61"/>
      <c r="F86" s="61"/>
      <c r="G86" s="61"/>
      <c r="H86" s="61"/>
      <c r="I86" s="61"/>
      <c r="J86" s="61"/>
      <c r="K86" s="61"/>
      <c r="L86" s="61"/>
      <c r="M86" s="61"/>
      <c r="N86" s="61"/>
      <c r="O86" s="61"/>
      <c r="P86" s="61"/>
      <c r="Q86" s="61">
        <f>SUM(E86:P86)</f>
        <v>0</v>
      </c>
      <c r="R86" s="61">
        <f>Q86/'Rooms Summary'!$Q$111</f>
        <v>0</v>
      </c>
      <c r="S86" s="35"/>
      <c r="T86" s="40">
        <f>-IF(Q86-S86=0,0,(Q86-S86)/S86)</f>
        <v>0</v>
      </c>
    </row>
    <row r="87" spans="1:20" s="3" customFormat="1" ht="24.95" customHeight="1">
      <c r="A87" s="50" t="s">
        <v>298</v>
      </c>
      <c r="B87" s="75" t="s">
        <v>303</v>
      </c>
      <c r="D87" s="3" t="s">
        <v>360</v>
      </c>
      <c r="E87" s="61"/>
      <c r="F87" s="61"/>
      <c r="G87" s="61"/>
      <c r="H87" s="61"/>
      <c r="I87" s="61"/>
      <c r="J87" s="61"/>
      <c r="K87" s="61"/>
      <c r="L87" s="61"/>
      <c r="M87" s="61"/>
      <c r="N87" s="61"/>
      <c r="O87" s="61"/>
      <c r="P87" s="61"/>
      <c r="Q87" s="61">
        <f>SUM(E87:P87)</f>
        <v>0</v>
      </c>
      <c r="R87" s="61">
        <f>Q87/'Rooms Summary'!$Q$111</f>
        <v>0</v>
      </c>
      <c r="S87" s="35"/>
      <c r="T87" s="40">
        <f t="shared" ref="T87:T105" si="6">-IF(Q87-S87=0,0,(Q87-S87)/S87)</f>
        <v>0</v>
      </c>
    </row>
    <row r="88" spans="1:20" s="3" customFormat="1" ht="24.95" customHeight="1">
      <c r="D88" s="19" t="s">
        <v>305</v>
      </c>
      <c r="E88" s="160">
        <f t="shared" ref="E88:Q88" si="7">SUM(E86:E87)</f>
        <v>0</v>
      </c>
      <c r="F88" s="160">
        <f t="shared" si="7"/>
        <v>0</v>
      </c>
      <c r="G88" s="160">
        <f t="shared" si="7"/>
        <v>0</v>
      </c>
      <c r="H88" s="160">
        <f t="shared" si="7"/>
        <v>0</v>
      </c>
      <c r="I88" s="160">
        <f t="shared" si="7"/>
        <v>0</v>
      </c>
      <c r="J88" s="160">
        <f t="shared" si="7"/>
        <v>0</v>
      </c>
      <c r="K88" s="160">
        <f t="shared" si="7"/>
        <v>0</v>
      </c>
      <c r="L88" s="160">
        <f t="shared" si="7"/>
        <v>0</v>
      </c>
      <c r="M88" s="160">
        <f t="shared" si="7"/>
        <v>0</v>
      </c>
      <c r="N88" s="160">
        <f t="shared" si="7"/>
        <v>0</v>
      </c>
      <c r="O88" s="160">
        <f t="shared" si="7"/>
        <v>0</v>
      </c>
      <c r="P88" s="160">
        <f t="shared" si="7"/>
        <v>0</v>
      </c>
      <c r="Q88" s="160">
        <f t="shared" si="7"/>
        <v>0</v>
      </c>
      <c r="R88" s="61">
        <f>Q88/'Rooms Summary'!$Q$111</f>
        <v>0</v>
      </c>
      <c r="S88" s="35"/>
      <c r="T88" s="40">
        <f t="shared" si="6"/>
        <v>0</v>
      </c>
    </row>
    <row r="89" spans="1:20" s="3" customFormat="1" ht="24.95" customHeight="1">
      <c r="L89" s="161"/>
      <c r="S89" s="35"/>
      <c r="T89" s="115"/>
    </row>
    <row r="90" spans="1:20" s="3" customFormat="1" ht="24.95" customHeight="1">
      <c r="A90" s="3" t="s">
        <v>306</v>
      </c>
      <c r="B90" s="50" t="s">
        <v>303</v>
      </c>
      <c r="D90" s="26" t="s">
        <v>307</v>
      </c>
      <c r="E90" s="61"/>
      <c r="F90" s="61"/>
      <c r="G90" s="61"/>
      <c r="H90" s="61"/>
      <c r="I90" s="61"/>
      <c r="J90" s="61"/>
      <c r="K90" s="61"/>
      <c r="L90" s="61"/>
      <c r="M90" s="61"/>
      <c r="N90" s="61"/>
      <c r="O90" s="61"/>
      <c r="P90" s="61"/>
      <c r="Q90" s="61">
        <f>SUM(E90:P90)</f>
        <v>0</v>
      </c>
      <c r="R90" s="61">
        <f>Q90/'Rooms Summary'!$Q$111</f>
        <v>0</v>
      </c>
      <c r="S90" s="35"/>
      <c r="T90" s="40">
        <f t="shared" si="6"/>
        <v>0</v>
      </c>
    </row>
    <row r="91" spans="1:20" s="3" customFormat="1" ht="24.95" customHeight="1">
      <c r="A91" s="3" t="s">
        <v>308</v>
      </c>
      <c r="B91" s="50" t="s">
        <v>303</v>
      </c>
      <c r="D91" s="26" t="s">
        <v>309</v>
      </c>
      <c r="E91" s="61"/>
      <c r="F91" s="61"/>
      <c r="G91" s="61"/>
      <c r="H91" s="61"/>
      <c r="I91" s="61"/>
      <c r="J91" s="61"/>
      <c r="K91" s="61"/>
      <c r="L91" s="61"/>
      <c r="M91" s="61"/>
      <c r="N91" s="61"/>
      <c r="O91" s="61"/>
      <c r="P91" s="61"/>
      <c r="Q91" s="61">
        <f>SUM(E91:P91)</f>
        <v>0</v>
      </c>
      <c r="R91" s="61">
        <f>Q91/'Rooms Summary'!$Q$111</f>
        <v>0</v>
      </c>
      <c r="S91" s="35"/>
      <c r="T91" s="40">
        <f t="shared" si="6"/>
        <v>0</v>
      </c>
    </row>
    <row r="92" spans="1:20" s="3" customFormat="1" ht="24.95" customHeight="1">
      <c r="A92" s="3" t="s">
        <v>310</v>
      </c>
      <c r="B92" s="50" t="s">
        <v>303</v>
      </c>
      <c r="D92" s="26" t="s">
        <v>311</v>
      </c>
      <c r="E92" s="61"/>
      <c r="F92" s="61"/>
      <c r="G92" s="61"/>
      <c r="H92" s="61"/>
      <c r="I92" s="61"/>
      <c r="J92" s="61"/>
      <c r="K92" s="61"/>
      <c r="L92" s="61"/>
      <c r="M92" s="61"/>
      <c r="N92" s="61"/>
      <c r="O92" s="61"/>
      <c r="P92" s="61"/>
      <c r="Q92" s="61">
        <f>SUM(E92:P92)</f>
        <v>0</v>
      </c>
      <c r="R92" s="61">
        <f>Q92/'Rooms Summary'!$Q$111</f>
        <v>0</v>
      </c>
      <c r="S92" s="35"/>
      <c r="T92" s="40">
        <f t="shared" si="6"/>
        <v>0</v>
      </c>
    </row>
    <row r="93" spans="1:20" s="3" customFormat="1" ht="24.95" customHeight="1">
      <c r="A93" s="3" t="s">
        <v>312</v>
      </c>
      <c r="B93" s="50" t="s">
        <v>303</v>
      </c>
      <c r="D93" s="26" t="s">
        <v>313</v>
      </c>
      <c r="E93" s="61"/>
      <c r="F93" s="61"/>
      <c r="G93" s="61"/>
      <c r="H93" s="61"/>
      <c r="I93" s="61"/>
      <c r="J93" s="61"/>
      <c r="K93" s="61"/>
      <c r="L93" s="61"/>
      <c r="M93" s="61"/>
      <c r="N93" s="61"/>
      <c r="O93" s="61"/>
      <c r="P93" s="61"/>
      <c r="Q93" s="61">
        <f>SUM(E93:P93)</f>
        <v>0</v>
      </c>
      <c r="R93" s="61">
        <f>Q93/'Rooms Summary'!$Q$111</f>
        <v>0</v>
      </c>
      <c r="S93" s="35"/>
      <c r="T93" s="40">
        <f t="shared" si="6"/>
        <v>0</v>
      </c>
    </row>
    <row r="94" spans="1:20" s="3" customFormat="1" ht="24.95" customHeight="1">
      <c r="A94" s="3" t="s">
        <v>314</v>
      </c>
      <c r="B94" s="50" t="s">
        <v>303</v>
      </c>
      <c r="D94" s="26" t="s">
        <v>315</v>
      </c>
      <c r="E94" s="61"/>
      <c r="F94" s="61"/>
      <c r="G94" s="61"/>
      <c r="H94" s="61"/>
      <c r="I94" s="61"/>
      <c r="J94" s="61"/>
      <c r="K94" s="61"/>
      <c r="L94" s="61"/>
      <c r="M94" s="61"/>
      <c r="N94" s="61"/>
      <c r="O94" s="61"/>
      <c r="P94" s="61"/>
      <c r="Q94" s="61">
        <f>SUM(E94:P94)</f>
        <v>0</v>
      </c>
      <c r="R94" s="61">
        <f>Q94/'Rooms Summary'!$Q$111</f>
        <v>0</v>
      </c>
      <c r="S94" s="35"/>
      <c r="T94" s="40">
        <f t="shared" si="6"/>
        <v>0</v>
      </c>
    </row>
    <row r="95" spans="1:20" s="3" customFormat="1" ht="24.95" customHeight="1">
      <c r="D95" s="19" t="s">
        <v>316</v>
      </c>
      <c r="E95" s="160">
        <f>SUM(E90:E94)</f>
        <v>0</v>
      </c>
      <c r="F95" s="160">
        <f t="shared" ref="F95:Q95" si="8">SUM(F90:F94)</f>
        <v>0</v>
      </c>
      <c r="G95" s="160">
        <f t="shared" si="8"/>
        <v>0</v>
      </c>
      <c r="H95" s="160">
        <f t="shared" si="8"/>
        <v>0</v>
      </c>
      <c r="I95" s="160">
        <f t="shared" si="8"/>
        <v>0</v>
      </c>
      <c r="J95" s="160">
        <f t="shared" si="8"/>
        <v>0</v>
      </c>
      <c r="K95" s="160">
        <f t="shared" si="8"/>
        <v>0</v>
      </c>
      <c r="L95" s="160">
        <f t="shared" si="8"/>
        <v>0</v>
      </c>
      <c r="M95" s="160">
        <f t="shared" si="8"/>
        <v>0</v>
      </c>
      <c r="N95" s="160">
        <f t="shared" si="8"/>
        <v>0</v>
      </c>
      <c r="O95" s="160">
        <f t="shared" si="8"/>
        <v>0</v>
      </c>
      <c r="P95" s="160">
        <f t="shared" si="8"/>
        <v>0</v>
      </c>
      <c r="Q95" s="160">
        <f t="shared" si="8"/>
        <v>0</v>
      </c>
      <c r="R95" s="61">
        <f>Q95/'Rooms Summary'!$Q$111</f>
        <v>0</v>
      </c>
      <c r="S95" s="35"/>
      <c r="T95" s="40">
        <f t="shared" si="6"/>
        <v>0</v>
      </c>
    </row>
    <row r="96" spans="1:20" s="3" customFormat="1" ht="24.95" customHeight="1">
      <c r="L96" s="161"/>
      <c r="S96" s="35"/>
      <c r="T96" s="115"/>
    </row>
    <row r="97" spans="1:20" s="3" customFormat="1" ht="24.95" customHeight="1">
      <c r="A97" s="3" t="s">
        <v>317</v>
      </c>
      <c r="B97" s="50" t="s">
        <v>303</v>
      </c>
      <c r="D97" s="26" t="s">
        <v>318</v>
      </c>
      <c r="E97" s="61"/>
      <c r="F97" s="61"/>
      <c r="G97" s="61"/>
      <c r="H97" s="61"/>
      <c r="I97" s="61"/>
      <c r="J97" s="61"/>
      <c r="K97" s="61"/>
      <c r="L97" s="61"/>
      <c r="M97" s="61"/>
      <c r="N97" s="61"/>
      <c r="O97" s="61"/>
      <c r="P97" s="61"/>
      <c r="Q97" s="61">
        <f t="shared" ref="Q97:Q104" si="9">SUM(E97:P97)</f>
        <v>0</v>
      </c>
      <c r="R97" s="61">
        <f>Q97/'Rooms Summary'!$Q$111</f>
        <v>0</v>
      </c>
      <c r="S97" s="35"/>
      <c r="T97" s="40">
        <f t="shared" si="6"/>
        <v>0</v>
      </c>
    </row>
    <row r="98" spans="1:20" s="3" customFormat="1" ht="24.95" customHeight="1">
      <c r="A98" s="3" t="s">
        <v>319</v>
      </c>
      <c r="B98" s="50" t="s">
        <v>303</v>
      </c>
      <c r="D98" s="26" t="s">
        <v>320</v>
      </c>
      <c r="E98" s="61"/>
      <c r="F98" s="61"/>
      <c r="G98" s="61"/>
      <c r="H98" s="61"/>
      <c r="I98" s="61"/>
      <c r="J98" s="61"/>
      <c r="K98" s="61"/>
      <c r="L98" s="61"/>
      <c r="M98" s="61"/>
      <c r="N98" s="61"/>
      <c r="O98" s="61"/>
      <c r="P98" s="61"/>
      <c r="Q98" s="61">
        <f t="shared" si="9"/>
        <v>0</v>
      </c>
      <c r="R98" s="61">
        <f>Q98/'Rooms Summary'!$Q$111</f>
        <v>0</v>
      </c>
      <c r="S98" s="35"/>
      <c r="T98" s="40">
        <f t="shared" si="6"/>
        <v>0</v>
      </c>
    </row>
    <row r="99" spans="1:20" s="3" customFormat="1" ht="24.95" customHeight="1">
      <c r="A99" s="3" t="s">
        <v>321</v>
      </c>
      <c r="B99" s="50" t="s">
        <v>303</v>
      </c>
      <c r="D99" s="26" t="s">
        <v>322</v>
      </c>
      <c r="E99" s="61"/>
      <c r="F99" s="61"/>
      <c r="G99" s="61"/>
      <c r="H99" s="61"/>
      <c r="I99" s="61"/>
      <c r="J99" s="61"/>
      <c r="K99" s="61"/>
      <c r="L99" s="61"/>
      <c r="M99" s="61"/>
      <c r="N99" s="61"/>
      <c r="O99" s="61"/>
      <c r="P99" s="61"/>
      <c r="Q99" s="61">
        <f t="shared" si="9"/>
        <v>0</v>
      </c>
      <c r="R99" s="61">
        <f>Q99/'Rooms Summary'!$Q$111</f>
        <v>0</v>
      </c>
      <c r="S99" s="35"/>
      <c r="T99" s="40">
        <f t="shared" si="6"/>
        <v>0</v>
      </c>
    </row>
    <row r="100" spans="1:20" s="3" customFormat="1" ht="24.95" customHeight="1">
      <c r="A100" s="3" t="s">
        <v>323</v>
      </c>
      <c r="B100" s="50" t="s">
        <v>303</v>
      </c>
      <c r="D100" s="26" t="s">
        <v>324</v>
      </c>
      <c r="E100" s="61"/>
      <c r="F100" s="61"/>
      <c r="G100" s="61"/>
      <c r="H100" s="61"/>
      <c r="I100" s="61"/>
      <c r="J100" s="61"/>
      <c r="K100" s="61"/>
      <c r="L100" s="61"/>
      <c r="M100" s="61"/>
      <c r="N100" s="61"/>
      <c r="O100" s="61"/>
      <c r="P100" s="61"/>
      <c r="Q100" s="61">
        <f t="shared" si="9"/>
        <v>0</v>
      </c>
      <c r="R100" s="61">
        <f>Q100/'Rooms Summary'!$Q$111</f>
        <v>0</v>
      </c>
      <c r="S100" s="35"/>
      <c r="T100" s="40">
        <f t="shared" si="6"/>
        <v>0</v>
      </c>
    </row>
    <row r="101" spans="1:20" s="3" customFormat="1" ht="24.95" customHeight="1">
      <c r="A101" s="3" t="s">
        <v>325</v>
      </c>
      <c r="B101" s="50" t="s">
        <v>303</v>
      </c>
      <c r="D101" s="26" t="s">
        <v>326</v>
      </c>
      <c r="E101" s="61"/>
      <c r="F101" s="61"/>
      <c r="G101" s="61"/>
      <c r="H101" s="61"/>
      <c r="I101" s="61"/>
      <c r="J101" s="61"/>
      <c r="K101" s="61"/>
      <c r="L101" s="61"/>
      <c r="M101" s="61"/>
      <c r="N101" s="61"/>
      <c r="O101" s="61"/>
      <c r="P101" s="61"/>
      <c r="Q101" s="61">
        <f t="shared" si="9"/>
        <v>0</v>
      </c>
      <c r="R101" s="61">
        <f>Q101/'Rooms Summary'!$Q$111</f>
        <v>0</v>
      </c>
      <c r="S101" s="35"/>
      <c r="T101" s="40">
        <f t="shared" si="6"/>
        <v>0</v>
      </c>
    </row>
    <row r="102" spans="1:20" s="3" customFormat="1" ht="24.95" customHeight="1">
      <c r="A102" s="3" t="s">
        <v>327</v>
      </c>
      <c r="B102" s="50" t="s">
        <v>303</v>
      </c>
      <c r="D102" s="26" t="s">
        <v>328</v>
      </c>
      <c r="E102" s="61"/>
      <c r="F102" s="61"/>
      <c r="G102" s="61"/>
      <c r="H102" s="61"/>
      <c r="I102" s="61"/>
      <c r="J102" s="61"/>
      <c r="K102" s="61"/>
      <c r="L102" s="61"/>
      <c r="M102" s="61"/>
      <c r="N102" s="61"/>
      <c r="O102" s="61"/>
      <c r="P102" s="61"/>
      <c r="Q102" s="61">
        <f t="shared" si="9"/>
        <v>0</v>
      </c>
      <c r="R102" s="61">
        <f>Q102/'Rooms Summary'!$Q$111</f>
        <v>0</v>
      </c>
      <c r="S102" s="35"/>
      <c r="T102" s="40">
        <f t="shared" si="6"/>
        <v>0</v>
      </c>
    </row>
    <row r="103" spans="1:20" s="3" customFormat="1" ht="24.95" customHeight="1">
      <c r="A103" s="3" t="s">
        <v>329</v>
      </c>
      <c r="B103" s="50" t="s">
        <v>303</v>
      </c>
      <c r="D103" s="26" t="s">
        <v>330</v>
      </c>
      <c r="E103" s="61"/>
      <c r="F103" s="63"/>
      <c r="G103" s="63"/>
      <c r="H103" s="63"/>
      <c r="I103" s="63"/>
      <c r="J103" s="61"/>
      <c r="K103" s="61"/>
      <c r="L103" s="61"/>
      <c r="M103" s="61"/>
      <c r="N103" s="61"/>
      <c r="O103" s="61"/>
      <c r="P103" s="61"/>
      <c r="Q103" s="61">
        <f t="shared" si="9"/>
        <v>0</v>
      </c>
      <c r="R103" s="61">
        <f>Q103/'Rooms Summary'!$Q$111</f>
        <v>0</v>
      </c>
      <c r="S103" s="35"/>
      <c r="T103" s="115"/>
    </row>
    <row r="104" spans="1:20" s="3" customFormat="1" ht="24.95" customHeight="1">
      <c r="A104" s="3" t="s">
        <v>331</v>
      </c>
      <c r="B104" s="50" t="s">
        <v>303</v>
      </c>
      <c r="D104" s="26" t="s">
        <v>332</v>
      </c>
      <c r="E104" s="61"/>
      <c r="F104" s="63"/>
      <c r="G104" s="63"/>
      <c r="H104" s="63"/>
      <c r="I104" s="63"/>
      <c r="J104" s="61"/>
      <c r="K104" s="61"/>
      <c r="L104" s="61"/>
      <c r="M104" s="61"/>
      <c r="N104" s="61"/>
      <c r="O104" s="61"/>
      <c r="P104" s="61"/>
      <c r="Q104" s="61">
        <f t="shared" si="9"/>
        <v>0</v>
      </c>
      <c r="R104" s="61">
        <f>Q104/'Rooms Summary'!$Q$111</f>
        <v>0</v>
      </c>
      <c r="S104" s="35"/>
      <c r="T104" s="115"/>
    </row>
    <row r="105" spans="1:20" s="3" customFormat="1" ht="24.95" customHeight="1">
      <c r="D105" s="19" t="s">
        <v>333</v>
      </c>
      <c r="E105" s="160">
        <f>SUM(E97:E104)</f>
        <v>0</v>
      </c>
      <c r="F105" s="160">
        <f t="shared" ref="F105:Q105" si="10">SUM(F97:F104)</f>
        <v>0</v>
      </c>
      <c r="G105" s="160">
        <f t="shared" si="10"/>
        <v>0</v>
      </c>
      <c r="H105" s="160">
        <f t="shared" si="10"/>
        <v>0</v>
      </c>
      <c r="I105" s="160">
        <f t="shared" si="10"/>
        <v>0</v>
      </c>
      <c r="J105" s="160">
        <f t="shared" si="10"/>
        <v>0</v>
      </c>
      <c r="K105" s="160">
        <f t="shared" si="10"/>
        <v>0</v>
      </c>
      <c r="L105" s="160">
        <f t="shared" si="10"/>
        <v>0</v>
      </c>
      <c r="M105" s="160">
        <f t="shared" si="10"/>
        <v>0</v>
      </c>
      <c r="N105" s="160">
        <f t="shared" si="10"/>
        <v>0</v>
      </c>
      <c r="O105" s="160">
        <f t="shared" si="10"/>
        <v>0</v>
      </c>
      <c r="P105" s="160">
        <f t="shared" si="10"/>
        <v>0</v>
      </c>
      <c r="Q105" s="160">
        <f t="shared" si="10"/>
        <v>0</v>
      </c>
      <c r="R105" s="61">
        <f>Q105/'Rooms Summary'!$Q$111</f>
        <v>0</v>
      </c>
      <c r="S105" s="35"/>
      <c r="T105" s="40">
        <f t="shared" si="6"/>
        <v>0</v>
      </c>
    </row>
    <row r="106" spans="1:20" s="3" customFormat="1" ht="24.95" customHeight="1">
      <c r="L106" s="161"/>
      <c r="S106" s="35"/>
      <c r="T106" s="115"/>
    </row>
    <row r="107" spans="1:20" s="3" customFormat="1" ht="24.95" customHeight="1">
      <c r="A107" s="3" t="s">
        <v>334</v>
      </c>
      <c r="B107" s="50" t="s">
        <v>303</v>
      </c>
      <c r="D107" s="26" t="s">
        <v>335</v>
      </c>
      <c r="E107" s="61"/>
      <c r="F107" s="63"/>
      <c r="G107" s="63"/>
      <c r="H107" s="63"/>
      <c r="I107" s="63"/>
      <c r="J107" s="61"/>
      <c r="K107" s="61"/>
      <c r="L107" s="61"/>
      <c r="M107" s="61"/>
      <c r="N107" s="61"/>
      <c r="O107" s="61"/>
      <c r="P107" s="61"/>
      <c r="Q107" s="61">
        <f t="shared" ref="Q107:Q113" si="11">SUM(E107:P107)</f>
        <v>0</v>
      </c>
      <c r="R107" s="61">
        <f>Q107/'Rooms Summary'!$Q$111</f>
        <v>0</v>
      </c>
      <c r="S107" s="35"/>
      <c r="T107" s="115"/>
    </row>
    <row r="108" spans="1:20" s="3" customFormat="1" ht="24.95" customHeight="1">
      <c r="A108" s="3" t="s">
        <v>336</v>
      </c>
      <c r="B108" s="50" t="s">
        <v>303</v>
      </c>
      <c r="D108" s="3" t="s">
        <v>337</v>
      </c>
      <c r="E108" s="61"/>
      <c r="F108" s="63"/>
      <c r="G108" s="63"/>
      <c r="H108" s="63"/>
      <c r="I108" s="63"/>
      <c r="J108" s="61"/>
      <c r="K108" s="61"/>
      <c r="L108" s="61"/>
      <c r="M108" s="61"/>
      <c r="N108" s="61"/>
      <c r="O108" s="61"/>
      <c r="P108" s="61"/>
      <c r="Q108" s="61">
        <f t="shared" si="11"/>
        <v>0</v>
      </c>
      <c r="R108" s="61">
        <f>Q108/'Rooms Summary'!$Q$111</f>
        <v>0</v>
      </c>
      <c r="S108" s="35"/>
      <c r="T108" s="115"/>
    </row>
    <row r="109" spans="1:20" s="3" customFormat="1" ht="24.95" customHeight="1">
      <c r="A109" s="3" t="s">
        <v>338</v>
      </c>
      <c r="B109" s="50" t="s">
        <v>303</v>
      </c>
      <c r="D109" s="26" t="s">
        <v>339</v>
      </c>
      <c r="E109" s="61"/>
      <c r="F109" s="63"/>
      <c r="G109" s="63"/>
      <c r="H109" s="63"/>
      <c r="I109" s="63"/>
      <c r="J109" s="61"/>
      <c r="K109" s="61"/>
      <c r="L109" s="61"/>
      <c r="M109" s="61"/>
      <c r="N109" s="61"/>
      <c r="O109" s="61"/>
      <c r="P109" s="61"/>
      <c r="Q109" s="61">
        <f t="shared" si="11"/>
        <v>0</v>
      </c>
      <c r="R109" s="61">
        <f>Q109/'Rooms Summary'!$Q$111</f>
        <v>0</v>
      </c>
      <c r="S109" s="35"/>
      <c r="T109" s="115"/>
    </row>
    <row r="110" spans="1:20" s="3" customFormat="1" ht="24.95" customHeight="1">
      <c r="A110" s="3" t="s">
        <v>340</v>
      </c>
      <c r="B110" s="50" t="s">
        <v>303</v>
      </c>
      <c r="D110" s="26" t="s">
        <v>341</v>
      </c>
      <c r="E110" s="61"/>
      <c r="F110" s="63"/>
      <c r="G110" s="63"/>
      <c r="H110" s="63"/>
      <c r="I110" s="63"/>
      <c r="J110" s="61"/>
      <c r="K110" s="61"/>
      <c r="L110" s="61"/>
      <c r="M110" s="61"/>
      <c r="N110" s="61"/>
      <c r="O110" s="61"/>
      <c r="P110" s="61"/>
      <c r="Q110" s="61">
        <f t="shared" si="11"/>
        <v>0</v>
      </c>
      <c r="R110" s="61">
        <f>Q110/'Rooms Summary'!$Q$111</f>
        <v>0</v>
      </c>
      <c r="S110" s="35"/>
      <c r="T110" s="115"/>
    </row>
    <row r="111" spans="1:20" s="3" customFormat="1" ht="24.95" customHeight="1">
      <c r="A111" s="3" t="s">
        <v>342</v>
      </c>
      <c r="B111" s="50" t="s">
        <v>303</v>
      </c>
      <c r="D111" s="26" t="s">
        <v>343</v>
      </c>
      <c r="E111" s="61"/>
      <c r="F111" s="61"/>
      <c r="G111" s="61"/>
      <c r="H111" s="61"/>
      <c r="I111" s="61"/>
      <c r="J111" s="61"/>
      <c r="K111" s="61"/>
      <c r="L111" s="61"/>
      <c r="M111" s="61"/>
      <c r="N111" s="61"/>
      <c r="O111" s="61"/>
      <c r="P111" s="61"/>
      <c r="Q111" s="61">
        <f t="shared" si="11"/>
        <v>0</v>
      </c>
      <c r="R111" s="61">
        <f>Q111/'Rooms Summary'!$Q$111</f>
        <v>0</v>
      </c>
      <c r="S111" s="35"/>
      <c r="T111" s="115" t="e">
        <f>-(Q111-S111)/S111</f>
        <v>#DIV/0!</v>
      </c>
    </row>
    <row r="112" spans="1:20" s="3" customFormat="1" ht="24.95" customHeight="1">
      <c r="A112" s="3" t="s">
        <v>344</v>
      </c>
      <c r="B112" s="50" t="s">
        <v>303</v>
      </c>
      <c r="D112" s="26" t="s">
        <v>345</v>
      </c>
      <c r="E112" s="61"/>
      <c r="F112" s="61"/>
      <c r="G112" s="61"/>
      <c r="H112" s="61"/>
      <c r="I112" s="61"/>
      <c r="J112" s="61"/>
      <c r="K112" s="61"/>
      <c r="L112" s="61"/>
      <c r="M112" s="61"/>
      <c r="N112" s="61"/>
      <c r="O112" s="61"/>
      <c r="P112" s="61"/>
      <c r="Q112" s="61">
        <f t="shared" si="11"/>
        <v>0</v>
      </c>
      <c r="R112" s="61">
        <f>Q112/'Rooms Summary'!$Q$111</f>
        <v>0</v>
      </c>
      <c r="S112" s="35"/>
      <c r="T112" s="115"/>
    </row>
    <row r="113" spans="1:20" s="3" customFormat="1" ht="24.95" customHeight="1">
      <c r="A113" s="3" t="s">
        <v>346</v>
      </c>
      <c r="B113" s="50" t="s">
        <v>303</v>
      </c>
      <c r="D113" s="26" t="s">
        <v>347</v>
      </c>
      <c r="E113" s="61"/>
      <c r="F113" s="61"/>
      <c r="G113" s="61"/>
      <c r="H113" s="61"/>
      <c r="I113" s="61"/>
      <c r="J113" s="61"/>
      <c r="K113" s="61"/>
      <c r="L113" s="61"/>
      <c r="M113" s="61"/>
      <c r="N113" s="61"/>
      <c r="O113" s="61"/>
      <c r="P113" s="61"/>
      <c r="Q113" s="61">
        <f t="shared" si="11"/>
        <v>0</v>
      </c>
      <c r="R113" s="61">
        <f>Q113/'Rooms Summary'!$Q$111</f>
        <v>0</v>
      </c>
      <c r="S113" s="35"/>
      <c r="T113" s="115"/>
    </row>
    <row r="114" spans="1:20" s="3" customFormat="1" ht="24.95" customHeight="1">
      <c r="B114" s="50"/>
      <c r="D114" s="19" t="s">
        <v>348</v>
      </c>
      <c r="E114" s="160">
        <f>SUM(E107:E113)</f>
        <v>0</v>
      </c>
      <c r="F114" s="160">
        <f t="shared" ref="F114:Q114" si="12">SUM(F107:F113)</f>
        <v>0</v>
      </c>
      <c r="G114" s="160">
        <f t="shared" si="12"/>
        <v>0</v>
      </c>
      <c r="H114" s="160">
        <f t="shared" si="12"/>
        <v>0</v>
      </c>
      <c r="I114" s="160">
        <f t="shared" si="12"/>
        <v>0</v>
      </c>
      <c r="J114" s="160">
        <f t="shared" si="12"/>
        <v>0</v>
      </c>
      <c r="K114" s="160">
        <f t="shared" si="12"/>
        <v>0</v>
      </c>
      <c r="L114" s="160">
        <f t="shared" si="12"/>
        <v>0</v>
      </c>
      <c r="M114" s="160">
        <f t="shared" si="12"/>
        <v>0</v>
      </c>
      <c r="N114" s="160">
        <f t="shared" si="12"/>
        <v>0</v>
      </c>
      <c r="O114" s="160">
        <f t="shared" si="12"/>
        <v>0</v>
      </c>
      <c r="P114" s="160">
        <f t="shared" si="12"/>
        <v>0</v>
      </c>
      <c r="Q114" s="160">
        <f t="shared" si="12"/>
        <v>0</v>
      </c>
      <c r="R114" s="61">
        <f>Q114/'Rooms Summary'!$Q$111</f>
        <v>0</v>
      </c>
      <c r="S114" s="35"/>
      <c r="T114" s="115" t="e">
        <f>-(Q114-S114)/S114</f>
        <v>#DIV/0!</v>
      </c>
    </row>
    <row r="115" spans="1:20" s="3" customFormat="1" ht="24.95" customHeight="1">
      <c r="D115" s="19" t="s">
        <v>349</v>
      </c>
      <c r="E115" s="160">
        <f>E88+E95+E105+E114</f>
        <v>0</v>
      </c>
      <c r="F115" s="160">
        <f t="shared" ref="F115:Q115" si="13">F88+F95+F105+F114</f>
        <v>0</v>
      </c>
      <c r="G115" s="160">
        <f t="shared" si="13"/>
        <v>0</v>
      </c>
      <c r="H115" s="160">
        <f t="shared" si="13"/>
        <v>0</v>
      </c>
      <c r="I115" s="160">
        <f t="shared" si="13"/>
        <v>0</v>
      </c>
      <c r="J115" s="160">
        <f t="shared" si="13"/>
        <v>0</v>
      </c>
      <c r="K115" s="160">
        <f t="shared" si="13"/>
        <v>0</v>
      </c>
      <c r="L115" s="160">
        <f t="shared" si="13"/>
        <v>0</v>
      </c>
      <c r="M115" s="160">
        <f t="shared" si="13"/>
        <v>0</v>
      </c>
      <c r="N115" s="160">
        <f t="shared" si="13"/>
        <v>0</v>
      </c>
      <c r="O115" s="160">
        <f t="shared" si="13"/>
        <v>0</v>
      </c>
      <c r="P115" s="160">
        <f t="shared" si="13"/>
        <v>0</v>
      </c>
      <c r="Q115" s="160">
        <f t="shared" si="13"/>
        <v>0</v>
      </c>
      <c r="R115" s="61">
        <f>Q115/'Rooms Summary'!$Q$111</f>
        <v>0</v>
      </c>
      <c r="S115" s="35"/>
      <c r="T115" s="115" t="e">
        <f>-(Q115-S115)/S115</f>
        <v>#DIV/0!</v>
      </c>
    </row>
    <row r="116" spans="1:20" s="42" customFormat="1" ht="24.95" customHeight="1">
      <c r="A116" s="42" t="s">
        <v>350</v>
      </c>
      <c r="D116" s="42" t="s">
        <v>351</v>
      </c>
      <c r="L116" s="161"/>
      <c r="S116" s="35"/>
      <c r="T116" s="115"/>
    </row>
    <row r="117" spans="1:20" s="42" customFormat="1" ht="24.95" customHeight="1">
      <c r="L117" s="161"/>
      <c r="S117" s="35"/>
      <c r="T117" s="115"/>
    </row>
    <row r="118" spans="1:20" s="3" customFormat="1" ht="24.95" customHeight="1">
      <c r="A118" s="189" t="s">
        <v>105</v>
      </c>
      <c r="B118" s="75" t="s">
        <v>303</v>
      </c>
      <c r="D118" s="19" t="s">
        <v>352</v>
      </c>
      <c r="E118" s="68">
        <f>Summary!E$91</f>
        <v>0</v>
      </c>
      <c r="F118" s="68">
        <f>Summary!F$91</f>
        <v>0</v>
      </c>
      <c r="G118" s="68">
        <f>Summary!G$91</f>
        <v>0</v>
      </c>
      <c r="H118" s="68">
        <f>Summary!H$91</f>
        <v>0</v>
      </c>
      <c r="I118" s="68">
        <f>Summary!I$91</f>
        <v>0</v>
      </c>
      <c r="J118" s="68">
        <f>Summary!J$91</f>
        <v>0</v>
      </c>
      <c r="K118" s="68">
        <f>Summary!K$91</f>
        <v>0</v>
      </c>
      <c r="L118" s="68">
        <f>Summary!L$91</f>
        <v>0</v>
      </c>
      <c r="M118" s="68">
        <f>Summary!M$91</f>
        <v>0</v>
      </c>
      <c r="N118" s="68">
        <f>Summary!N$91</f>
        <v>0</v>
      </c>
      <c r="O118" s="68">
        <f>Summary!O$91</f>
        <v>0</v>
      </c>
      <c r="P118" s="68">
        <f>Summary!P$91</f>
        <v>0</v>
      </c>
      <c r="Q118" s="141">
        <f>SUM(E118:P118)/12</f>
        <v>0</v>
      </c>
      <c r="S118" s="35"/>
      <c r="T118" s="115" t="e">
        <f>-IF(Q118-S118,0,(Q118-S118)/S118)</f>
        <v>#DIV/0!</v>
      </c>
    </row>
    <row r="120" spans="1:20" ht="26.25" customHeight="1">
      <c r="D120" s="59"/>
    </row>
  </sheetData>
  <phoneticPr fontId="57" type="noConversion"/>
  <dataValidations count="51">
    <dataValidation type="textLength" errorStyle="information" allowBlank="1" showInputMessage="1" showErrorMessage="1" error="XLBVal:6=2544_x000d__x000a_" sqref="Q118">
      <formula1>0</formula1>
      <formula2>300</formula2>
    </dataValidation>
    <dataValidation type="textLength" errorStyle="information" allowBlank="1" showInputMessage="1" showErrorMessage="1" sqref="H89:I89 H96:I96 H106:I106 E116:I117 E83:I85">
      <formula1>0</formula1>
      <formula2>300</formula2>
    </dataValidation>
    <dataValidation type="textLength" errorStyle="information" allowBlank="1" showInputMessage="1" showErrorMessage="1" error="XLBVal:6=3293096_x000d__x000a_" sqref="Q21">
      <formula1>0</formula1>
      <formula2>300</formula2>
    </dataValidation>
    <dataValidation type="textLength" errorStyle="information" allowBlank="1" showInputMessage="1" showErrorMessage="1" error="XLBVal:6=258096_x000d__x000a_" sqref="Q111">
      <formula1>0</formula1>
      <formula2>300</formula2>
    </dataValidation>
    <dataValidation type="textLength" errorStyle="information" allowBlank="1" showInputMessage="1" showErrorMessage="1" error="XLBVal:6=1439748_x000d__x000a_" sqref="Q97">
      <formula1>0</formula1>
      <formula2>300</formula2>
    </dataValidation>
    <dataValidation type="textLength" errorStyle="information" allowBlank="1" showInputMessage="1" showErrorMessage="1" error="XLBVal:6=265776_x000d__x000a_" sqref="Q80">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9198.23_x000d__x000a_" sqref="E11:P11">
      <formula1>0</formula1>
      <formula2>300</formula2>
    </dataValidation>
    <dataValidation type="textLength" errorStyle="information" allowBlank="1" showInputMessage="1" showErrorMessage="1" error="XLBVal:6=18155331_x000d__x000a_" sqref="Q11">
      <formula1>0</formula1>
      <formula2>300</formula2>
    </dataValidation>
    <dataValidation type="textLength" errorStyle="information" allowBlank="1" showInputMessage="1" showErrorMessage="1" error="XLBVal:6=10508400_x000d__x000a_" sqref="Q14 Q16">
      <formula1>0</formula1>
      <formula2>300</formula2>
    </dataValidation>
    <dataValidation type="textLength" errorStyle="information" allowBlank="1" showInputMessage="1" showErrorMessage="1" error="XLBVal:6=89906.52_x000d__x000a_" sqref="E14:P14">
      <formula1>0</formula1>
      <formula2>300</formula2>
    </dataValidation>
    <dataValidation type="textLength" errorStyle="information" allowBlank="1" showInputMessage="1" showErrorMessage="1" error="XLBVal:6=877776_x000d__x000a_" sqref="Q112">
      <formula1>0</formula1>
      <formula2>300</formula2>
    </dataValidation>
    <dataValidation type="textLength" errorStyle="information" allowBlank="1" showInputMessage="1" showErrorMessage="1" error="XLBVal:2=0_x000d__x000a_" sqref="E15:Q15 Q23 E70:Q70 Q72 E81:Q81 E86:Q86 Q92 Q104 F12:F13 Q17:Q20 Q26:Q27 Q31:Q32 Q35:Q36 Q38:Q41 Q43:Q48 Q50:Q67 Q74:Q79 Q107:Q110 E103:P104 E92:P94 E107:P113 E17:P69 E71:P79">
      <formula1>0</formula1>
      <formula2>300</formula2>
    </dataValidation>
    <dataValidation type="textLength" errorStyle="information" allowBlank="1" showInputMessage="1" showErrorMessage="1" error="XLBVal:6=7652_x000d__x000a_" sqref="E16:P16">
      <formula1>0</formula1>
      <formula2>300</formula2>
    </dataValidation>
    <dataValidation type="textLength" errorStyle="information" allowBlank="1" showInputMessage="1" showErrorMessage="1" error="XLBVal:6=6595485.04_x000d__x000a_" sqref="G12:G13">
      <formula1>0</formula1>
      <formula2>300</formula2>
    </dataValidation>
    <dataValidation type="textLength" errorStyle="information" allowBlank="1" showInputMessage="1" showErrorMessage="1" error="XLBVal:6=224000_x000d__x000a_" sqref="Q22">
      <formula1>0</formula1>
      <formula2>300</formula2>
    </dataValidation>
    <dataValidation type="textLength" errorStyle="information" allowBlank="1" showInputMessage="1" showErrorMessage="1" error="XLBVal:6=1424.46_x000d__x000a_" sqref="E91:P91">
      <formula1>0</formula1>
      <formula2>300</formula2>
    </dataValidation>
    <dataValidation type="textLength" errorStyle="information" allowBlank="1" showInputMessage="1" showErrorMessage="1" error="XLBVal:6=0_x000d__x000a_" sqref="Q24 E82:Q82">
      <formula1>0</formula1>
      <formula2>300</formula2>
    </dataValidation>
    <dataValidation type="textLength" errorStyle="information" allowBlank="1" showInputMessage="1" showErrorMessage="1" error="XLBVal:6=38000_x000d__x000a_" sqref="Q25">
      <formula1>0</formula1>
      <formula2>300</formula2>
    </dataValidation>
    <dataValidation type="textLength" errorStyle="information" allowBlank="1" showInputMessage="1" showErrorMessage="1" error="XLBVal:6=30984_x000d__x000a_" sqref="Q28">
      <formula1>0</formula1>
      <formula2>300</formula2>
    </dataValidation>
    <dataValidation type="textLength" errorStyle="information" allowBlank="1" showInputMessage="1" showErrorMessage="1" error="XLBVal:6=6864605_x000d__x000a_" sqref="Q29">
      <formula1>0</formula1>
      <formula2>300</formula2>
    </dataValidation>
    <dataValidation type="textLength" errorStyle="information" allowBlank="1" showInputMessage="1" showErrorMessage="1" error="XLBVal:5=15426.66_x000d__x000a_" sqref="I12:I13">
      <formula1>0</formula1>
      <formula2>300</formula2>
    </dataValidation>
    <dataValidation type="textLength" errorStyle="information" allowBlank="1" showInputMessage="1" showErrorMessage="1" error="XLBVal:6=812280_x000d__x000a_" sqref="Q30">
      <formula1>0</formula1>
      <formula2>300</formula2>
    </dataValidation>
    <dataValidation type="textLength" errorStyle="information" allowBlank="1" showInputMessage="1" showErrorMessage="1" error="XLBVal:6=45391_x000d__x000a_" sqref="Q33">
      <formula1>0</formula1>
      <formula2>300</formula2>
    </dataValidation>
    <dataValidation type="textLength" errorStyle="information" allowBlank="1" showInputMessage="1" showErrorMessage="1" error="XLBVal:6=497071_x000d__x000a_" sqref="Q34">
      <formula1>0</formula1>
      <formula2>300</formula2>
    </dataValidation>
    <dataValidation type="textLength" errorStyle="information" allowBlank="1" showInputMessage="1" showErrorMessage="1" error="XLBVal:6=604513_x000d__x000a_" sqref="Q37">
      <formula1>0</formula1>
      <formula2>300</formula2>
    </dataValidation>
    <dataValidation type="textLength" errorStyle="information" allowBlank="1" showInputMessage="1" showErrorMessage="1" error="XLBVal:6=6688509.16_x000d__x000a_" sqref="E12:E13">
      <formula1>0</formula1>
      <formula2>300</formula2>
    </dataValidation>
    <dataValidation type="textLength" errorStyle="information" allowBlank="1" showInputMessage="1" showErrorMessage="1" error="XLBVal:6=133777_x000d__x000a_" sqref="Q42">
      <formula1>0</formula1>
      <formula2>300</formula2>
    </dataValidation>
    <dataValidation type="textLength" errorStyle="information" allowBlank="1" showInputMessage="1" showErrorMessage="1" error="XLBVal:6=31710_x000d__x000a_" sqref="Q100">
      <formula1>0</formula1>
      <formula2>300</formula2>
    </dataValidation>
    <dataValidation type="textLength" errorStyle="information" allowBlank="1" showInputMessage="1" showErrorMessage="1" error="XLBVal:6=1640556_x000d__x000a_" sqref="Q91">
      <formula1>0</formula1>
      <formula2>300</formula2>
    </dataValidation>
    <dataValidation type="textLength" errorStyle="information" allowBlank="1" showInputMessage="1" showErrorMessage="1" error="XLBVal:6=497000_x000d__x000a_" sqref="Q49">
      <formula1>0</formula1>
      <formula2>300</formula2>
    </dataValidation>
    <dataValidation type="textLength" errorStyle="information" allowBlank="1" showInputMessage="1" showErrorMessage="1" error="XLBVal:6=128852_x000d__x000a_" sqref="Q68">
      <formula1>0</formula1>
      <formula2>300</formula2>
    </dataValidation>
    <dataValidation type="textLength" errorStyle="information" allowBlank="1" showInputMessage="1" showErrorMessage="1" error="XLBVal:6=2195857_x000d__x000a_" sqref="Q69">
      <formula1>0</formula1>
      <formula2>300</formula2>
    </dataValidation>
    <dataValidation type="textLength" errorStyle="information" allowBlank="1" showInputMessage="1" showErrorMessage="1" error="XLBVal:6=913200_x000d__x000a_" sqref="Q71">
      <formula1>0</formula1>
      <formula2>300</formula2>
    </dataValidation>
    <dataValidation type="textLength" errorStyle="information" allowBlank="1" showInputMessage="1" showErrorMessage="1" error="XLBVal:6=78120_x000d__x000a_" sqref="Q73">
      <formula1>0</formula1>
      <formula2>300</formula2>
    </dataValidation>
    <dataValidation type="textLength" errorStyle="information" allowBlank="1" showInputMessage="1" showErrorMessage="1" error="XLBVal:6=28_x000d__x000a_" sqref="E80:P80">
      <formula1>0</formula1>
      <formula2>300</formula2>
    </dataValidation>
    <dataValidation type="textLength" errorStyle="information" allowBlank="1" showInputMessage="1" showErrorMessage="1" error="XLBVal:6=234560_x000d__x000a_" sqref="Q103">
      <formula1>0</formula1>
      <formula2>300</formula2>
    </dataValidation>
    <dataValidation type="textLength" errorStyle="information" allowBlank="1" showInputMessage="1" showErrorMessage="1" error="XLBVal:6=21309_x000d__x000a_" sqref="E87:P87">
      <formula1>0</formula1>
      <formula2>300</formula2>
    </dataValidation>
    <dataValidation type="textLength" errorStyle="information" allowBlank="1" showInputMessage="1" showErrorMessage="1" error="XLBVal:6=2793648_x000d__x000a_" sqref="Q87">
      <formula1>0</formula1>
      <formula2>300</formula2>
    </dataValidation>
    <dataValidation type="textLength" errorStyle="information" allowBlank="1" showInputMessage="1" showErrorMessage="1" error="XLBVal:6=500.49_x000d__x000a_" sqref="E90:P90">
      <formula1>0</formula1>
      <formula2>300</formula2>
    </dataValidation>
    <dataValidation type="textLength" errorStyle="information" allowBlank="1" showInputMessage="1" showErrorMessage="1" error="XLBVal:6=447561_x000d__x000a_" sqref="Q90">
      <formula1>0</formula1>
      <formula2>300</formula2>
    </dataValidation>
    <dataValidation type="textLength" errorStyle="information" allowBlank="1" showInputMessage="1" showErrorMessage="1" error="XLBVal:6=39534_x000d__x000a_" sqref="Q99">
      <formula1>0</formula1>
      <formula2>300</formula2>
    </dataValidation>
    <dataValidation type="textLength" errorStyle="information" allowBlank="1" showInputMessage="1" showErrorMessage="1" error="XLBVal:6=3_x000d__x000a_" sqref="Q93 E118:P118">
      <formula1>0</formula1>
      <formula2>300</formula2>
    </dataValidation>
    <dataValidation type="textLength" errorStyle="information" allowBlank="1" showInputMessage="1" showErrorMessage="1" error="XLBVal:6=639338_x000d__x000a_" sqref="Q94">
      <formula1>0</formula1>
      <formula2>300</formula2>
    </dataValidation>
    <dataValidation type="textLength" errorStyle="information" allowBlank="1" showInputMessage="1" showErrorMessage="1" error="XLBVal:6=632410_x000d__x000a_" sqref="Q98">
      <formula1>0</formula1>
      <formula2>300</formula2>
    </dataValidation>
    <dataValidation type="textLength" errorStyle="information" allowBlank="1" showInputMessage="1" showErrorMessage="1" error="XLBVal:6=39654_x000d__x000a_" sqref="Q101">
      <formula1>0</formula1>
      <formula2>300</formula2>
    </dataValidation>
    <dataValidation type="textLength" errorStyle="information" allowBlank="1" showInputMessage="1" showErrorMessage="1" error="XLBVal:6=354026_x000d__x000a_" sqref="Q102">
      <formula1>0</formula1>
      <formula2>300</formula2>
    </dataValidation>
    <dataValidation type="textLength" errorStyle="information" allowBlank="1" showInputMessage="1" showErrorMessage="1" error="XLBVal:6=3678_x000d__x000a_" sqref="E106:G106">
      <formula1>0</formula1>
      <formula2>300</formula2>
    </dataValidation>
    <dataValidation type="textLength" errorStyle="information" allowBlank="1" showInputMessage="1" showErrorMessage="1" error="XLBVal:6=3099839_x000d__x000a_" sqref="Q113">
      <formula1>0</formula1>
      <formula2>300</formula2>
    </dataValidation>
    <dataValidation type="textLength" errorStyle="information" allowBlank="1" showInputMessage="1" showErrorMessage="1" error="XLBVal:5=-2586288.67_x000d__x000a_" sqref="H12:H13">
      <formula1>0</formula1>
      <formula2>300</formula2>
    </dataValidation>
    <dataValidation type="textLength" errorStyle="information" allowBlank="1" showInputMessage="1" showErrorMessage="1" error="XLBVal:6=1096.4_x000d__x000a_" sqref="E97:P102">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rowBreaks count="1" manualBreakCount="1">
    <brk id="82" max="1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FFFF00"/>
  </sheetPr>
  <dimension ref="A1:Q120"/>
  <sheetViews>
    <sheetView zoomScale="60" zoomScaleNormal="60" zoomScaleSheetLayoutView="40" workbookViewId="0">
      <pane xSplit="4" topLeftCell="E1" activePane="topRight" state="frozen"/>
      <selection pane="topRight" activeCell="A13" sqref="A13:XFD119"/>
    </sheetView>
  </sheetViews>
  <sheetFormatPr defaultColWidth="8.875" defaultRowHeight="26.25" customHeight="1" outlineLevelRow="1" outlineLevelCol="1"/>
  <cols>
    <col min="1" max="3" width="15.5" style="5" hidden="1" customWidth="1" outlineLevel="1"/>
    <col min="4" max="4" width="69.5" style="6" customWidth="1" collapsed="1"/>
    <col min="5" max="9" width="26.5" style="7" customWidth="1"/>
    <col min="10" max="11" width="26.5" style="184" customWidth="1"/>
    <col min="12" max="12" width="26.5" style="5" customWidth="1"/>
    <col min="13" max="17" width="26.5" style="184" customWidth="1"/>
    <col min="18" max="16384" width="8.875" style="184"/>
  </cols>
  <sheetData>
    <row r="1" spans="1:17" s="1" customFormat="1" ht="15" customHeight="1" outlineLevel="1">
      <c r="E1" s="9" t="s">
        <v>14</v>
      </c>
      <c r="F1" s="9" t="s">
        <v>361</v>
      </c>
      <c r="G1" s="9" t="s">
        <v>362</v>
      </c>
      <c r="H1" s="9" t="s">
        <v>363</v>
      </c>
      <c r="I1" s="9" t="s">
        <v>364</v>
      </c>
      <c r="J1" s="9" t="s">
        <v>365</v>
      </c>
      <c r="K1" s="9" t="s">
        <v>366</v>
      </c>
      <c r="L1" s="9" t="s">
        <v>367</v>
      </c>
      <c r="M1" s="9" t="s">
        <v>368</v>
      </c>
      <c r="N1" s="9" t="s">
        <v>369</v>
      </c>
      <c r="O1" s="9" t="s">
        <v>370</v>
      </c>
      <c r="P1" s="9" t="s">
        <v>15</v>
      </c>
      <c r="Q1" s="9" t="s">
        <v>14</v>
      </c>
    </row>
    <row r="2" spans="1:17" s="1" customFormat="1" ht="15" customHeight="1" outlineLevel="1">
      <c r="E2" s="9" t="s">
        <v>14</v>
      </c>
      <c r="F2" s="9" t="s">
        <v>361</v>
      </c>
      <c r="G2" s="9" t="s">
        <v>362</v>
      </c>
      <c r="H2" s="9" t="s">
        <v>363</v>
      </c>
      <c r="I2" s="9" t="s">
        <v>364</v>
      </c>
      <c r="J2" s="9" t="s">
        <v>365</v>
      </c>
      <c r="K2" s="9" t="s">
        <v>366</v>
      </c>
      <c r="L2" s="9" t="s">
        <v>367</v>
      </c>
      <c r="M2" s="9" t="s">
        <v>368</v>
      </c>
      <c r="N2" s="9" t="s">
        <v>369</v>
      </c>
      <c r="O2" s="9" t="s">
        <v>370</v>
      </c>
      <c r="P2" s="9" t="s">
        <v>15</v>
      </c>
      <c r="Q2" s="9" t="s">
        <v>15</v>
      </c>
    </row>
    <row r="3" spans="1:17" s="1" customFormat="1" ht="15" customHeight="1" outlineLevel="1">
      <c r="E3" s="9" t="s">
        <v>371</v>
      </c>
      <c r="F3" s="9" t="s">
        <v>371</v>
      </c>
      <c r="G3" s="9" t="s">
        <v>371</v>
      </c>
      <c r="H3" s="9" t="s">
        <v>371</v>
      </c>
      <c r="I3" s="9" t="s">
        <v>371</v>
      </c>
      <c r="J3" s="9" t="str">
        <f t="shared" ref="J3:P3" si="0">IF(RIGHT(J1,2)&lt;RIGHT(CP,2),"A",LEDGER)</f>
        <v>A</v>
      </c>
      <c r="K3" s="9" t="str">
        <f t="shared" si="0"/>
        <v>A</v>
      </c>
      <c r="L3" s="9" t="str">
        <f t="shared" si="0"/>
        <v>A</v>
      </c>
      <c r="M3" s="9" t="str">
        <f t="shared" si="0"/>
        <v>B</v>
      </c>
      <c r="N3" s="9" t="str">
        <f t="shared" si="0"/>
        <v>B</v>
      </c>
      <c r="O3" s="9" t="str">
        <f t="shared" si="0"/>
        <v>B</v>
      </c>
      <c r="P3" s="9" t="str">
        <f t="shared" si="0"/>
        <v>B</v>
      </c>
      <c r="Q3" s="9" t="s">
        <v>13</v>
      </c>
    </row>
    <row r="4" spans="1:17" s="2" customFormat="1" ht="24.95" customHeight="1">
      <c r="D4" s="10" t="str">
        <f>[1]Summary!$D$4</f>
        <v>Hotel Profit &amp; Loss Monthly Report</v>
      </c>
      <c r="E4" s="11"/>
      <c r="F4" s="11"/>
      <c r="G4" s="12"/>
      <c r="H4" s="13"/>
      <c r="I4" s="13"/>
    </row>
    <row r="5" spans="1:17" s="2" customFormat="1" ht="24.95" customHeight="1">
      <c r="D5" s="10" t="str">
        <f>[1]Summary!$D$5</f>
        <v>酒店月度损益报表</v>
      </c>
      <c r="E5" s="11"/>
      <c r="F5" s="11"/>
      <c r="G5" s="12"/>
      <c r="H5" s="13"/>
      <c r="I5" s="13"/>
    </row>
    <row r="6" spans="1:17" s="2" customFormat="1" ht="24.95" customHeight="1">
      <c r="D6" s="14" t="s">
        <v>359</v>
      </c>
      <c r="E6" s="13"/>
      <c r="F6" s="13"/>
      <c r="G6" s="13"/>
      <c r="H6" s="13"/>
      <c r="I6" s="13"/>
    </row>
    <row r="7" spans="1:17" s="2" customFormat="1" ht="24.95" customHeight="1">
      <c r="D7" s="185">
        <f>[1]Summary!$D$7</f>
        <v>43344</v>
      </c>
      <c r="E7" s="13"/>
      <c r="F7" s="13"/>
      <c r="G7" s="13"/>
      <c r="H7" s="13"/>
      <c r="I7" s="13"/>
    </row>
    <row r="8" spans="1:17" ht="24.95" customHeight="1">
      <c r="A8" s="184"/>
      <c r="B8" s="184"/>
      <c r="C8" s="184"/>
      <c r="D8" s="186"/>
      <c r="E8" s="187"/>
      <c r="F8" s="187"/>
      <c r="G8" s="187"/>
      <c r="H8" s="187"/>
      <c r="I8" s="187"/>
    </row>
    <row r="9" spans="1:17" s="3" customFormat="1" ht="24.95" customHeight="1">
      <c r="D9" s="17"/>
      <c r="E9" s="18">
        <v>1</v>
      </c>
      <c r="F9" s="18">
        <v>2</v>
      </c>
      <c r="G9" s="18">
        <v>3</v>
      </c>
      <c r="H9" s="18">
        <v>4</v>
      </c>
      <c r="I9" s="18">
        <v>5</v>
      </c>
      <c r="J9" s="18">
        <v>6</v>
      </c>
      <c r="K9" s="18">
        <v>7</v>
      </c>
      <c r="L9" s="18">
        <v>8</v>
      </c>
      <c r="M9" s="18">
        <v>9</v>
      </c>
      <c r="N9" s="18">
        <v>10</v>
      </c>
      <c r="O9" s="18">
        <v>11</v>
      </c>
      <c r="P9" s="18">
        <v>12</v>
      </c>
      <c r="Q9" s="18">
        <v>2018</v>
      </c>
    </row>
    <row r="10" spans="1:17" s="4" customFormat="1" ht="39.950000000000003" customHeight="1">
      <c r="A10" s="19" t="s">
        <v>19</v>
      </c>
      <c r="B10" s="19" t="s">
        <v>20</v>
      </c>
      <c r="C10" s="19" t="s">
        <v>112</v>
      </c>
      <c r="E10" s="20" t="s">
        <v>372</v>
      </c>
      <c r="F10" s="20" t="s">
        <v>372</v>
      </c>
      <c r="G10" s="20" t="s">
        <v>372</v>
      </c>
      <c r="H10" s="20" t="s">
        <v>372</v>
      </c>
      <c r="I10" s="20" t="s">
        <v>372</v>
      </c>
      <c r="J10" s="20" t="s">
        <v>372</v>
      </c>
      <c r="K10" s="20" t="s">
        <v>372</v>
      </c>
      <c r="L10" s="20" t="s">
        <v>372</v>
      </c>
      <c r="M10" s="20" t="s">
        <v>21</v>
      </c>
      <c r="N10" s="20" t="s">
        <v>21</v>
      </c>
      <c r="O10" s="20" t="s">
        <v>21</v>
      </c>
      <c r="P10" s="20" t="s">
        <v>21</v>
      </c>
      <c r="Q10" s="188" t="s">
        <v>373</v>
      </c>
    </row>
    <row r="11" spans="1:17" s="3" customFormat="1" ht="24.95" customHeight="1">
      <c r="A11" s="3" t="s">
        <v>103</v>
      </c>
      <c r="B11" s="50" t="s">
        <v>374</v>
      </c>
      <c r="D11" s="21" t="s">
        <v>137</v>
      </c>
      <c r="E11" s="45">
        <v>0</v>
      </c>
      <c r="F11" s="45">
        <v>0</v>
      </c>
      <c r="G11" s="45">
        <v>0</v>
      </c>
      <c r="H11" s="45">
        <v>0</v>
      </c>
      <c r="I11" s="45">
        <v>0</v>
      </c>
      <c r="J11" s="45">
        <v>0</v>
      </c>
      <c r="K11" s="45">
        <v>0</v>
      </c>
      <c r="L11" s="45">
        <v>0</v>
      </c>
      <c r="M11" s="45">
        <v>0</v>
      </c>
      <c r="N11" s="45">
        <v>0</v>
      </c>
      <c r="O11" s="45">
        <v>0</v>
      </c>
      <c r="P11" s="45">
        <v>0</v>
      </c>
      <c r="Q11" s="179">
        <f>SUM(E11:P11)</f>
        <v>0</v>
      </c>
    </row>
    <row r="12" spans="1:17" s="3" customFormat="1" ht="24.95" customHeight="1">
      <c r="D12" s="26"/>
      <c r="E12" s="63"/>
      <c r="F12" s="63"/>
      <c r="G12" s="63"/>
      <c r="H12" s="63"/>
      <c r="I12" s="63"/>
      <c r="L12" s="161"/>
    </row>
    <row r="13" spans="1:17" s="3" customFormat="1" ht="24.95" customHeight="1">
      <c r="D13" s="21" t="s">
        <v>138</v>
      </c>
      <c r="E13" s="63"/>
      <c r="F13" s="63"/>
      <c r="G13" s="63"/>
      <c r="H13" s="63"/>
      <c r="I13" s="63"/>
      <c r="L13" s="161"/>
    </row>
    <row r="14" spans="1:17" s="3" customFormat="1" ht="24.95" hidden="1" customHeight="1">
      <c r="A14" s="3" t="s">
        <v>140</v>
      </c>
      <c r="B14" s="50" t="s">
        <v>374</v>
      </c>
      <c r="D14" s="26" t="s">
        <v>141</v>
      </c>
      <c r="E14" s="63">
        <v>0</v>
      </c>
      <c r="F14" s="63">
        <v>0</v>
      </c>
      <c r="G14" s="63">
        <v>0</v>
      </c>
      <c r="H14" s="63">
        <v>0</v>
      </c>
      <c r="I14" s="63">
        <v>0</v>
      </c>
      <c r="J14" s="61">
        <v>0</v>
      </c>
      <c r="K14" s="61">
        <v>0</v>
      </c>
      <c r="L14" s="61">
        <v>0</v>
      </c>
      <c r="M14" s="61">
        <v>0</v>
      </c>
      <c r="N14" s="61">
        <v>0</v>
      </c>
      <c r="O14" s="61">
        <v>0</v>
      </c>
      <c r="P14" s="61">
        <v>0</v>
      </c>
      <c r="Q14" s="61">
        <f>SUM(E14:P14)</f>
        <v>0</v>
      </c>
    </row>
    <row r="15" spans="1:17" s="3" customFormat="1" ht="24.95" hidden="1" customHeight="1">
      <c r="A15" s="3" t="s">
        <v>142</v>
      </c>
      <c r="B15" s="50" t="s">
        <v>374</v>
      </c>
      <c r="D15" s="26" t="s">
        <v>143</v>
      </c>
      <c r="E15" s="63">
        <v>0</v>
      </c>
      <c r="F15" s="63">
        <v>0</v>
      </c>
      <c r="G15" s="63">
        <v>0</v>
      </c>
      <c r="H15" s="63">
        <v>0</v>
      </c>
      <c r="I15" s="63">
        <v>0</v>
      </c>
      <c r="J15" s="61">
        <v>0</v>
      </c>
      <c r="K15" s="61">
        <v>0</v>
      </c>
      <c r="L15" s="61">
        <v>0</v>
      </c>
      <c r="M15" s="61">
        <v>0</v>
      </c>
      <c r="N15" s="61">
        <v>0</v>
      </c>
      <c r="O15" s="61">
        <v>0</v>
      </c>
      <c r="P15" s="61">
        <v>0</v>
      </c>
      <c r="Q15" s="61">
        <f t="shared" ref="Q15:Q78" si="1">SUM(E15:P15)</f>
        <v>0</v>
      </c>
    </row>
    <row r="16" spans="1:17" s="3" customFormat="1" ht="24.95" hidden="1" customHeight="1">
      <c r="A16" s="3" t="s">
        <v>144</v>
      </c>
      <c r="B16" s="50" t="s">
        <v>374</v>
      </c>
      <c r="D16" s="26" t="s">
        <v>145</v>
      </c>
      <c r="E16" s="63">
        <v>0</v>
      </c>
      <c r="F16" s="63">
        <v>0</v>
      </c>
      <c r="G16" s="63">
        <v>0</v>
      </c>
      <c r="H16" s="63">
        <v>0</v>
      </c>
      <c r="I16" s="63">
        <v>0</v>
      </c>
      <c r="J16" s="61">
        <v>0</v>
      </c>
      <c r="K16" s="61">
        <v>0</v>
      </c>
      <c r="L16" s="61">
        <v>0</v>
      </c>
      <c r="M16" s="61">
        <v>0</v>
      </c>
      <c r="N16" s="61">
        <v>0</v>
      </c>
      <c r="O16" s="61">
        <v>0</v>
      </c>
      <c r="P16" s="61">
        <v>0</v>
      </c>
      <c r="Q16" s="61">
        <f t="shared" si="1"/>
        <v>0</v>
      </c>
    </row>
    <row r="17" spans="1:17" s="3" customFormat="1" ht="24.95" hidden="1" customHeight="1">
      <c r="A17" s="3" t="s">
        <v>146</v>
      </c>
      <c r="B17" s="50" t="s">
        <v>374</v>
      </c>
      <c r="D17" s="26" t="s">
        <v>147</v>
      </c>
      <c r="E17" s="63">
        <v>0</v>
      </c>
      <c r="F17" s="63">
        <v>0</v>
      </c>
      <c r="G17" s="63">
        <v>0</v>
      </c>
      <c r="H17" s="63">
        <v>0</v>
      </c>
      <c r="I17" s="63">
        <v>0</v>
      </c>
      <c r="J17" s="61">
        <v>0</v>
      </c>
      <c r="K17" s="61">
        <v>0</v>
      </c>
      <c r="L17" s="61">
        <v>0</v>
      </c>
      <c r="M17" s="61">
        <v>0</v>
      </c>
      <c r="N17" s="61">
        <v>0</v>
      </c>
      <c r="O17" s="61">
        <v>0</v>
      </c>
      <c r="P17" s="61">
        <v>0</v>
      </c>
      <c r="Q17" s="61">
        <f t="shared" si="1"/>
        <v>0</v>
      </c>
    </row>
    <row r="18" spans="1:17" s="3" customFormat="1" ht="24.95" hidden="1" customHeight="1">
      <c r="A18" s="3" t="s">
        <v>148</v>
      </c>
      <c r="B18" s="50" t="s">
        <v>374</v>
      </c>
      <c r="D18" s="26" t="s">
        <v>149</v>
      </c>
      <c r="E18" s="63">
        <v>0</v>
      </c>
      <c r="F18" s="63">
        <v>0</v>
      </c>
      <c r="G18" s="63">
        <v>0</v>
      </c>
      <c r="H18" s="63">
        <v>0</v>
      </c>
      <c r="I18" s="63">
        <v>0</v>
      </c>
      <c r="J18" s="61">
        <v>0</v>
      </c>
      <c r="K18" s="61">
        <v>0</v>
      </c>
      <c r="L18" s="61">
        <v>0</v>
      </c>
      <c r="M18" s="61">
        <v>0</v>
      </c>
      <c r="N18" s="61">
        <v>0</v>
      </c>
      <c r="O18" s="61">
        <v>0</v>
      </c>
      <c r="P18" s="61">
        <v>0</v>
      </c>
      <c r="Q18" s="61">
        <f t="shared" si="1"/>
        <v>0</v>
      </c>
    </row>
    <row r="19" spans="1:17" s="3" customFormat="1" ht="24.95" hidden="1" customHeight="1">
      <c r="A19" s="3" t="s">
        <v>150</v>
      </c>
      <c r="B19" s="50" t="s">
        <v>374</v>
      </c>
      <c r="D19" s="26" t="s">
        <v>151</v>
      </c>
      <c r="E19" s="63">
        <v>0</v>
      </c>
      <c r="F19" s="63">
        <v>0</v>
      </c>
      <c r="G19" s="63">
        <v>0</v>
      </c>
      <c r="H19" s="63">
        <v>0</v>
      </c>
      <c r="I19" s="63">
        <v>0</v>
      </c>
      <c r="J19" s="61">
        <v>0</v>
      </c>
      <c r="K19" s="61">
        <v>0</v>
      </c>
      <c r="L19" s="61">
        <v>0</v>
      </c>
      <c r="M19" s="61">
        <v>0</v>
      </c>
      <c r="N19" s="61">
        <v>0</v>
      </c>
      <c r="O19" s="61">
        <v>0</v>
      </c>
      <c r="P19" s="61">
        <v>0</v>
      </c>
      <c r="Q19" s="61">
        <f t="shared" si="1"/>
        <v>0</v>
      </c>
    </row>
    <row r="20" spans="1:17" s="3" customFormat="1" ht="24.95" hidden="1" customHeight="1">
      <c r="A20" s="3" t="s">
        <v>152</v>
      </c>
      <c r="B20" s="50" t="s">
        <v>374</v>
      </c>
      <c r="D20" s="26" t="s">
        <v>153</v>
      </c>
      <c r="E20" s="63">
        <v>0</v>
      </c>
      <c r="F20" s="63">
        <v>0</v>
      </c>
      <c r="G20" s="63">
        <v>0</v>
      </c>
      <c r="H20" s="63">
        <v>0</v>
      </c>
      <c r="I20" s="63">
        <v>0</v>
      </c>
      <c r="J20" s="61">
        <v>0</v>
      </c>
      <c r="K20" s="61">
        <v>0</v>
      </c>
      <c r="L20" s="61">
        <v>0</v>
      </c>
      <c r="M20" s="61">
        <v>0</v>
      </c>
      <c r="N20" s="61">
        <v>0</v>
      </c>
      <c r="O20" s="61">
        <v>0</v>
      </c>
      <c r="P20" s="61">
        <v>0</v>
      </c>
      <c r="Q20" s="61">
        <f t="shared" si="1"/>
        <v>0</v>
      </c>
    </row>
    <row r="21" spans="1:17" s="3" customFormat="1" ht="24.95" hidden="1" customHeight="1">
      <c r="A21" s="3" t="s">
        <v>154</v>
      </c>
      <c r="B21" s="50" t="s">
        <v>374</v>
      </c>
      <c r="D21" s="26" t="s">
        <v>155</v>
      </c>
      <c r="E21" s="63">
        <v>0</v>
      </c>
      <c r="F21" s="63">
        <v>0</v>
      </c>
      <c r="G21" s="63">
        <v>0</v>
      </c>
      <c r="H21" s="63">
        <v>0</v>
      </c>
      <c r="I21" s="63">
        <v>0</v>
      </c>
      <c r="J21" s="61">
        <v>0</v>
      </c>
      <c r="K21" s="61">
        <v>0</v>
      </c>
      <c r="L21" s="61">
        <v>0</v>
      </c>
      <c r="M21" s="61">
        <v>0</v>
      </c>
      <c r="N21" s="61">
        <v>0</v>
      </c>
      <c r="O21" s="61">
        <v>0</v>
      </c>
      <c r="P21" s="61">
        <v>0</v>
      </c>
      <c r="Q21" s="61">
        <f t="shared" si="1"/>
        <v>0</v>
      </c>
    </row>
    <row r="22" spans="1:17" s="3" customFormat="1" ht="24.95" hidden="1" customHeight="1">
      <c r="A22" s="3" t="s">
        <v>156</v>
      </c>
      <c r="B22" s="50" t="s">
        <v>374</v>
      </c>
      <c r="D22" s="26" t="s">
        <v>157</v>
      </c>
      <c r="E22" s="63">
        <v>0</v>
      </c>
      <c r="F22" s="63">
        <v>0</v>
      </c>
      <c r="G22" s="63">
        <v>0</v>
      </c>
      <c r="H22" s="63">
        <v>0</v>
      </c>
      <c r="I22" s="63">
        <v>0</v>
      </c>
      <c r="J22" s="61">
        <v>0</v>
      </c>
      <c r="K22" s="61">
        <v>0</v>
      </c>
      <c r="L22" s="61">
        <v>0</v>
      </c>
      <c r="M22" s="61">
        <v>0</v>
      </c>
      <c r="N22" s="61">
        <v>0</v>
      </c>
      <c r="O22" s="61">
        <v>0</v>
      </c>
      <c r="P22" s="61">
        <v>0</v>
      </c>
      <c r="Q22" s="61">
        <f t="shared" si="1"/>
        <v>0</v>
      </c>
    </row>
    <row r="23" spans="1:17" s="3" customFormat="1" ht="24.95" hidden="1" customHeight="1">
      <c r="A23" s="3" t="s">
        <v>158</v>
      </c>
      <c r="B23" s="50" t="s">
        <v>374</v>
      </c>
      <c r="D23" s="26" t="s">
        <v>159</v>
      </c>
      <c r="E23" s="63">
        <v>0</v>
      </c>
      <c r="F23" s="63">
        <v>0</v>
      </c>
      <c r="G23" s="63">
        <v>0</v>
      </c>
      <c r="H23" s="63">
        <v>0</v>
      </c>
      <c r="I23" s="63">
        <v>0</v>
      </c>
      <c r="J23" s="61">
        <v>0</v>
      </c>
      <c r="K23" s="61">
        <v>0</v>
      </c>
      <c r="L23" s="61">
        <v>0</v>
      </c>
      <c r="M23" s="61">
        <v>0</v>
      </c>
      <c r="N23" s="61">
        <v>0</v>
      </c>
      <c r="O23" s="61">
        <v>0</v>
      </c>
      <c r="P23" s="61">
        <v>0</v>
      </c>
      <c r="Q23" s="61">
        <f t="shared" si="1"/>
        <v>0</v>
      </c>
    </row>
    <row r="24" spans="1:17" s="3" customFormat="1" ht="24.95" hidden="1" customHeight="1">
      <c r="A24" s="3" t="s">
        <v>160</v>
      </c>
      <c r="B24" s="50" t="s">
        <v>374</v>
      </c>
      <c r="D24" s="26" t="s">
        <v>161</v>
      </c>
      <c r="E24" s="63">
        <v>0</v>
      </c>
      <c r="F24" s="63">
        <v>0</v>
      </c>
      <c r="G24" s="63">
        <v>0</v>
      </c>
      <c r="H24" s="63">
        <v>0</v>
      </c>
      <c r="I24" s="63">
        <v>0</v>
      </c>
      <c r="J24" s="61">
        <v>0</v>
      </c>
      <c r="K24" s="61">
        <v>0</v>
      </c>
      <c r="L24" s="61">
        <v>0</v>
      </c>
      <c r="M24" s="61">
        <v>0</v>
      </c>
      <c r="N24" s="61">
        <v>0</v>
      </c>
      <c r="O24" s="61">
        <v>0</v>
      </c>
      <c r="P24" s="61">
        <v>0</v>
      </c>
      <c r="Q24" s="61">
        <f t="shared" si="1"/>
        <v>0</v>
      </c>
    </row>
    <row r="25" spans="1:17" s="3" customFormat="1" ht="24.95" hidden="1" customHeight="1">
      <c r="A25" s="3" t="s">
        <v>162</v>
      </c>
      <c r="B25" s="50" t="s">
        <v>374</v>
      </c>
      <c r="D25" s="26" t="s">
        <v>163</v>
      </c>
      <c r="E25" s="63">
        <v>0</v>
      </c>
      <c r="F25" s="63">
        <v>0</v>
      </c>
      <c r="G25" s="63">
        <v>0</v>
      </c>
      <c r="H25" s="63">
        <v>0</v>
      </c>
      <c r="I25" s="63">
        <v>0</v>
      </c>
      <c r="J25" s="61">
        <v>0</v>
      </c>
      <c r="K25" s="61">
        <v>0</v>
      </c>
      <c r="L25" s="61">
        <v>0</v>
      </c>
      <c r="M25" s="61">
        <v>0</v>
      </c>
      <c r="N25" s="61">
        <v>0</v>
      </c>
      <c r="O25" s="61">
        <v>0</v>
      </c>
      <c r="P25" s="61">
        <v>0</v>
      </c>
      <c r="Q25" s="61">
        <f t="shared" si="1"/>
        <v>0</v>
      </c>
    </row>
    <row r="26" spans="1:17" s="3" customFormat="1" ht="24.95" hidden="1" customHeight="1">
      <c r="A26" s="3" t="s">
        <v>164</v>
      </c>
      <c r="B26" s="50" t="s">
        <v>374</v>
      </c>
      <c r="D26" s="26" t="s">
        <v>165</v>
      </c>
      <c r="E26" s="63">
        <v>0</v>
      </c>
      <c r="F26" s="63">
        <v>0</v>
      </c>
      <c r="G26" s="63">
        <v>0</v>
      </c>
      <c r="H26" s="63">
        <v>0</v>
      </c>
      <c r="I26" s="63">
        <v>0</v>
      </c>
      <c r="J26" s="61">
        <v>0</v>
      </c>
      <c r="K26" s="61">
        <v>0</v>
      </c>
      <c r="L26" s="61">
        <v>0</v>
      </c>
      <c r="M26" s="61">
        <v>0</v>
      </c>
      <c r="N26" s="61">
        <v>0</v>
      </c>
      <c r="O26" s="61">
        <v>0</v>
      </c>
      <c r="P26" s="61">
        <v>0</v>
      </c>
      <c r="Q26" s="61">
        <f t="shared" si="1"/>
        <v>0</v>
      </c>
    </row>
    <row r="27" spans="1:17" s="3" customFormat="1" ht="24.95" hidden="1" customHeight="1">
      <c r="A27" s="3" t="s">
        <v>166</v>
      </c>
      <c r="B27" s="50" t="s">
        <v>374</v>
      </c>
      <c r="D27" s="26" t="s">
        <v>167</v>
      </c>
      <c r="E27" s="63">
        <v>0</v>
      </c>
      <c r="F27" s="63">
        <v>0</v>
      </c>
      <c r="G27" s="63">
        <v>0</v>
      </c>
      <c r="H27" s="63">
        <v>0</v>
      </c>
      <c r="I27" s="63">
        <v>0</v>
      </c>
      <c r="J27" s="61">
        <v>0</v>
      </c>
      <c r="K27" s="61">
        <v>0</v>
      </c>
      <c r="L27" s="61">
        <v>0</v>
      </c>
      <c r="M27" s="61">
        <v>0</v>
      </c>
      <c r="N27" s="61">
        <v>0</v>
      </c>
      <c r="O27" s="61">
        <v>0</v>
      </c>
      <c r="P27" s="61">
        <v>0</v>
      </c>
      <c r="Q27" s="61">
        <f t="shared" si="1"/>
        <v>0</v>
      </c>
    </row>
    <row r="28" spans="1:17" s="3" customFormat="1" ht="24.95" hidden="1" customHeight="1">
      <c r="A28" s="3" t="s">
        <v>168</v>
      </c>
      <c r="B28" s="50" t="s">
        <v>374</v>
      </c>
      <c r="D28" s="26" t="s">
        <v>169</v>
      </c>
      <c r="E28" s="63">
        <v>0</v>
      </c>
      <c r="F28" s="63">
        <v>0</v>
      </c>
      <c r="G28" s="63">
        <v>0</v>
      </c>
      <c r="H28" s="63">
        <v>0</v>
      </c>
      <c r="I28" s="63">
        <v>0</v>
      </c>
      <c r="J28" s="61">
        <v>0</v>
      </c>
      <c r="K28" s="61">
        <v>0</v>
      </c>
      <c r="L28" s="61">
        <v>0</v>
      </c>
      <c r="M28" s="61">
        <v>0</v>
      </c>
      <c r="N28" s="61">
        <v>0</v>
      </c>
      <c r="O28" s="61">
        <v>0</v>
      </c>
      <c r="P28" s="61">
        <v>0</v>
      </c>
      <c r="Q28" s="61">
        <f t="shared" si="1"/>
        <v>0</v>
      </c>
    </row>
    <row r="29" spans="1:17" s="3" customFormat="1" ht="24.95" hidden="1" customHeight="1">
      <c r="A29" s="3" t="s">
        <v>170</v>
      </c>
      <c r="B29" s="50" t="s">
        <v>374</v>
      </c>
      <c r="D29" s="26" t="s">
        <v>171</v>
      </c>
      <c r="E29" s="63">
        <v>0</v>
      </c>
      <c r="F29" s="63">
        <v>0</v>
      </c>
      <c r="G29" s="63">
        <v>0</v>
      </c>
      <c r="H29" s="63">
        <v>0</v>
      </c>
      <c r="I29" s="63">
        <v>0</v>
      </c>
      <c r="J29" s="61">
        <v>0</v>
      </c>
      <c r="K29" s="61">
        <v>0</v>
      </c>
      <c r="L29" s="61">
        <v>0</v>
      </c>
      <c r="M29" s="61">
        <v>0</v>
      </c>
      <c r="N29" s="61">
        <v>0</v>
      </c>
      <c r="O29" s="61">
        <v>0</v>
      </c>
      <c r="P29" s="61">
        <v>0</v>
      </c>
      <c r="Q29" s="61">
        <f t="shared" si="1"/>
        <v>0</v>
      </c>
    </row>
    <row r="30" spans="1:17" s="3" customFormat="1" ht="24.95" hidden="1" customHeight="1">
      <c r="A30" s="3" t="s">
        <v>172</v>
      </c>
      <c r="B30" s="50" t="s">
        <v>374</v>
      </c>
      <c r="D30" s="26" t="s">
        <v>173</v>
      </c>
      <c r="E30" s="63">
        <v>0</v>
      </c>
      <c r="F30" s="63">
        <v>0</v>
      </c>
      <c r="G30" s="63">
        <v>0</v>
      </c>
      <c r="H30" s="63">
        <v>0</v>
      </c>
      <c r="I30" s="63">
        <v>0</v>
      </c>
      <c r="J30" s="61">
        <v>0</v>
      </c>
      <c r="K30" s="61">
        <v>0</v>
      </c>
      <c r="L30" s="61">
        <v>0</v>
      </c>
      <c r="M30" s="61">
        <v>0</v>
      </c>
      <c r="N30" s="61">
        <v>0</v>
      </c>
      <c r="O30" s="61">
        <v>0</v>
      </c>
      <c r="P30" s="61">
        <v>0</v>
      </c>
      <c r="Q30" s="61">
        <f t="shared" si="1"/>
        <v>0</v>
      </c>
    </row>
    <row r="31" spans="1:17" s="3" customFormat="1" ht="24.95" hidden="1" customHeight="1">
      <c r="A31" s="3" t="s">
        <v>174</v>
      </c>
      <c r="B31" s="50" t="s">
        <v>374</v>
      </c>
      <c r="D31" s="26" t="s">
        <v>175</v>
      </c>
      <c r="E31" s="63">
        <v>0</v>
      </c>
      <c r="F31" s="63">
        <v>0</v>
      </c>
      <c r="G31" s="63">
        <v>0</v>
      </c>
      <c r="H31" s="63">
        <v>0</v>
      </c>
      <c r="I31" s="63">
        <v>0</v>
      </c>
      <c r="J31" s="61">
        <v>0</v>
      </c>
      <c r="K31" s="61">
        <v>0</v>
      </c>
      <c r="L31" s="61">
        <v>0</v>
      </c>
      <c r="M31" s="61">
        <v>0</v>
      </c>
      <c r="N31" s="61">
        <v>0</v>
      </c>
      <c r="O31" s="61">
        <v>0</v>
      </c>
      <c r="P31" s="61">
        <v>0</v>
      </c>
      <c r="Q31" s="61">
        <f t="shared" si="1"/>
        <v>0</v>
      </c>
    </row>
    <row r="32" spans="1:17" s="3" customFormat="1" ht="24.95" hidden="1" customHeight="1">
      <c r="A32" s="3" t="s">
        <v>176</v>
      </c>
      <c r="B32" s="50" t="s">
        <v>374</v>
      </c>
      <c r="D32" s="26" t="s">
        <v>177</v>
      </c>
      <c r="E32" s="63">
        <v>0</v>
      </c>
      <c r="F32" s="63">
        <v>0</v>
      </c>
      <c r="G32" s="63">
        <v>0</v>
      </c>
      <c r="H32" s="63">
        <v>0</v>
      </c>
      <c r="I32" s="63">
        <v>0</v>
      </c>
      <c r="J32" s="61">
        <v>0</v>
      </c>
      <c r="K32" s="61">
        <v>0</v>
      </c>
      <c r="L32" s="61">
        <v>0</v>
      </c>
      <c r="M32" s="61">
        <v>0</v>
      </c>
      <c r="N32" s="61">
        <v>0</v>
      </c>
      <c r="O32" s="61">
        <v>0</v>
      </c>
      <c r="P32" s="61">
        <v>0</v>
      </c>
      <c r="Q32" s="61">
        <f t="shared" si="1"/>
        <v>0</v>
      </c>
    </row>
    <row r="33" spans="1:17" s="3" customFormat="1" ht="24.95" hidden="1" customHeight="1">
      <c r="A33" s="3" t="s">
        <v>178</v>
      </c>
      <c r="B33" s="50" t="s">
        <v>374</v>
      </c>
      <c r="D33" s="26" t="s">
        <v>179</v>
      </c>
      <c r="E33" s="63">
        <v>0</v>
      </c>
      <c r="F33" s="63">
        <v>0</v>
      </c>
      <c r="G33" s="63">
        <v>0</v>
      </c>
      <c r="H33" s="63">
        <v>0</v>
      </c>
      <c r="I33" s="63">
        <v>0</v>
      </c>
      <c r="J33" s="61">
        <v>0</v>
      </c>
      <c r="K33" s="61">
        <v>0</v>
      </c>
      <c r="L33" s="61">
        <v>0</v>
      </c>
      <c r="M33" s="61">
        <v>0</v>
      </c>
      <c r="N33" s="61">
        <v>0</v>
      </c>
      <c r="O33" s="61">
        <v>0</v>
      </c>
      <c r="P33" s="61">
        <v>0</v>
      </c>
      <c r="Q33" s="61">
        <f t="shared" si="1"/>
        <v>0</v>
      </c>
    </row>
    <row r="34" spans="1:17" s="3" customFormat="1" ht="24.95" hidden="1" customHeight="1">
      <c r="A34" s="3" t="s">
        <v>180</v>
      </c>
      <c r="B34" s="50" t="s">
        <v>374</v>
      </c>
      <c r="D34" s="26" t="s">
        <v>181</v>
      </c>
      <c r="E34" s="63">
        <v>0</v>
      </c>
      <c r="F34" s="63">
        <v>0</v>
      </c>
      <c r="G34" s="63">
        <v>0</v>
      </c>
      <c r="H34" s="63">
        <v>0</v>
      </c>
      <c r="I34" s="63">
        <v>0</v>
      </c>
      <c r="J34" s="61">
        <v>0</v>
      </c>
      <c r="K34" s="61">
        <v>0</v>
      </c>
      <c r="L34" s="61">
        <v>0</v>
      </c>
      <c r="M34" s="61">
        <v>0</v>
      </c>
      <c r="N34" s="61">
        <v>0</v>
      </c>
      <c r="O34" s="61">
        <v>0</v>
      </c>
      <c r="P34" s="61">
        <v>0</v>
      </c>
      <c r="Q34" s="61">
        <f t="shared" si="1"/>
        <v>0</v>
      </c>
    </row>
    <row r="35" spans="1:17" s="3" customFormat="1" ht="24.95" hidden="1" customHeight="1">
      <c r="A35" s="3" t="s">
        <v>182</v>
      </c>
      <c r="B35" s="50" t="s">
        <v>374</v>
      </c>
      <c r="D35" s="26" t="s">
        <v>183</v>
      </c>
      <c r="E35" s="63">
        <v>0</v>
      </c>
      <c r="F35" s="63">
        <v>0</v>
      </c>
      <c r="G35" s="63">
        <v>0</v>
      </c>
      <c r="H35" s="63">
        <v>0</v>
      </c>
      <c r="I35" s="63">
        <v>0</v>
      </c>
      <c r="J35" s="61">
        <v>0</v>
      </c>
      <c r="K35" s="61">
        <v>0</v>
      </c>
      <c r="L35" s="61">
        <v>0</v>
      </c>
      <c r="M35" s="61">
        <v>0</v>
      </c>
      <c r="N35" s="61">
        <v>0</v>
      </c>
      <c r="O35" s="61">
        <v>0</v>
      </c>
      <c r="P35" s="61">
        <v>0</v>
      </c>
      <c r="Q35" s="61">
        <f t="shared" si="1"/>
        <v>0</v>
      </c>
    </row>
    <row r="36" spans="1:17" s="3" customFormat="1" ht="24.95" hidden="1" customHeight="1">
      <c r="A36" s="3" t="s">
        <v>184</v>
      </c>
      <c r="B36" s="50" t="s">
        <v>374</v>
      </c>
      <c r="D36" s="26" t="s">
        <v>185</v>
      </c>
      <c r="E36" s="63">
        <v>0</v>
      </c>
      <c r="F36" s="63">
        <v>0</v>
      </c>
      <c r="G36" s="63">
        <v>0</v>
      </c>
      <c r="H36" s="63">
        <v>0</v>
      </c>
      <c r="I36" s="63">
        <v>0</v>
      </c>
      <c r="J36" s="61">
        <v>0</v>
      </c>
      <c r="K36" s="61">
        <v>0</v>
      </c>
      <c r="L36" s="61">
        <v>0</v>
      </c>
      <c r="M36" s="61">
        <v>0</v>
      </c>
      <c r="N36" s="61">
        <v>0</v>
      </c>
      <c r="O36" s="61">
        <v>0</v>
      </c>
      <c r="P36" s="61">
        <v>0</v>
      </c>
      <c r="Q36" s="61">
        <f t="shared" si="1"/>
        <v>0</v>
      </c>
    </row>
    <row r="37" spans="1:17" s="3" customFormat="1" ht="24.95" hidden="1" customHeight="1">
      <c r="A37" s="3" t="s">
        <v>186</v>
      </c>
      <c r="B37" s="50" t="s">
        <v>374</v>
      </c>
      <c r="D37" s="26" t="s">
        <v>187</v>
      </c>
      <c r="E37" s="63">
        <v>0</v>
      </c>
      <c r="F37" s="63">
        <v>0</v>
      </c>
      <c r="G37" s="63">
        <v>0</v>
      </c>
      <c r="H37" s="63">
        <v>0</v>
      </c>
      <c r="I37" s="63">
        <v>0</v>
      </c>
      <c r="J37" s="61">
        <v>0</v>
      </c>
      <c r="K37" s="61">
        <v>0</v>
      </c>
      <c r="L37" s="61">
        <v>0</v>
      </c>
      <c r="M37" s="61">
        <v>0</v>
      </c>
      <c r="N37" s="61">
        <v>0</v>
      </c>
      <c r="O37" s="61">
        <v>0</v>
      </c>
      <c r="P37" s="61">
        <v>0</v>
      </c>
      <c r="Q37" s="61">
        <f t="shared" si="1"/>
        <v>0</v>
      </c>
    </row>
    <row r="38" spans="1:17" s="3" customFormat="1" ht="24.95" hidden="1" customHeight="1">
      <c r="A38" s="3" t="s">
        <v>188</v>
      </c>
      <c r="B38" s="50" t="s">
        <v>374</v>
      </c>
      <c r="D38" s="26" t="s">
        <v>189</v>
      </c>
      <c r="E38" s="63">
        <v>0</v>
      </c>
      <c r="F38" s="63">
        <v>0</v>
      </c>
      <c r="G38" s="63">
        <v>0</v>
      </c>
      <c r="H38" s="63">
        <v>0</v>
      </c>
      <c r="I38" s="63">
        <v>0</v>
      </c>
      <c r="J38" s="61">
        <v>0</v>
      </c>
      <c r="K38" s="61">
        <v>0</v>
      </c>
      <c r="L38" s="61">
        <v>0</v>
      </c>
      <c r="M38" s="61">
        <v>0</v>
      </c>
      <c r="N38" s="61">
        <v>0</v>
      </c>
      <c r="O38" s="61">
        <v>0</v>
      </c>
      <c r="P38" s="61">
        <v>0</v>
      </c>
      <c r="Q38" s="61">
        <f t="shared" si="1"/>
        <v>0</v>
      </c>
    </row>
    <row r="39" spans="1:17" s="3" customFormat="1" ht="24.95" hidden="1" customHeight="1">
      <c r="A39" s="3" t="s">
        <v>190</v>
      </c>
      <c r="B39" s="50" t="s">
        <v>374</v>
      </c>
      <c r="D39" s="26" t="s">
        <v>191</v>
      </c>
      <c r="E39" s="63">
        <v>0</v>
      </c>
      <c r="F39" s="63">
        <v>0</v>
      </c>
      <c r="G39" s="63">
        <v>0</v>
      </c>
      <c r="H39" s="63">
        <v>0</v>
      </c>
      <c r="I39" s="63">
        <v>0</v>
      </c>
      <c r="J39" s="61">
        <v>0</v>
      </c>
      <c r="K39" s="61">
        <v>0</v>
      </c>
      <c r="L39" s="61">
        <v>0</v>
      </c>
      <c r="M39" s="61">
        <v>0</v>
      </c>
      <c r="N39" s="61">
        <v>0</v>
      </c>
      <c r="O39" s="61">
        <v>0</v>
      </c>
      <c r="P39" s="61">
        <v>0</v>
      </c>
      <c r="Q39" s="61">
        <f t="shared" si="1"/>
        <v>0</v>
      </c>
    </row>
    <row r="40" spans="1:17" s="3" customFormat="1" ht="24.95" hidden="1" customHeight="1">
      <c r="A40" s="3" t="s">
        <v>192</v>
      </c>
      <c r="B40" s="50" t="s">
        <v>374</v>
      </c>
      <c r="D40" s="26" t="s">
        <v>193</v>
      </c>
      <c r="E40" s="63">
        <v>0</v>
      </c>
      <c r="F40" s="63">
        <v>0</v>
      </c>
      <c r="G40" s="63">
        <v>0</v>
      </c>
      <c r="H40" s="63">
        <v>0</v>
      </c>
      <c r="I40" s="63">
        <v>0</v>
      </c>
      <c r="J40" s="61">
        <v>0</v>
      </c>
      <c r="K40" s="61">
        <v>0</v>
      </c>
      <c r="L40" s="61">
        <v>0</v>
      </c>
      <c r="M40" s="61">
        <v>0</v>
      </c>
      <c r="N40" s="61">
        <v>0</v>
      </c>
      <c r="O40" s="61">
        <v>0</v>
      </c>
      <c r="P40" s="61">
        <v>0</v>
      </c>
      <c r="Q40" s="61">
        <f t="shared" si="1"/>
        <v>0</v>
      </c>
    </row>
    <row r="41" spans="1:17" s="3" customFormat="1" ht="24.95" hidden="1" customHeight="1">
      <c r="A41" s="3" t="s">
        <v>194</v>
      </c>
      <c r="B41" s="50" t="s">
        <v>374</v>
      </c>
      <c r="D41" s="26" t="s">
        <v>195</v>
      </c>
      <c r="E41" s="63">
        <v>0</v>
      </c>
      <c r="F41" s="63">
        <v>0</v>
      </c>
      <c r="G41" s="63">
        <v>0</v>
      </c>
      <c r="H41" s="63">
        <v>0</v>
      </c>
      <c r="I41" s="63">
        <v>0</v>
      </c>
      <c r="J41" s="61">
        <v>0</v>
      </c>
      <c r="K41" s="61">
        <v>0</v>
      </c>
      <c r="L41" s="61">
        <v>0</v>
      </c>
      <c r="M41" s="61">
        <v>0</v>
      </c>
      <c r="N41" s="61">
        <v>0</v>
      </c>
      <c r="O41" s="61">
        <v>0</v>
      </c>
      <c r="P41" s="61">
        <v>0</v>
      </c>
      <c r="Q41" s="61">
        <f t="shared" si="1"/>
        <v>0</v>
      </c>
    </row>
    <row r="42" spans="1:17" s="3" customFormat="1" ht="24.95" hidden="1" customHeight="1">
      <c r="A42" s="3" t="s">
        <v>196</v>
      </c>
      <c r="B42" s="50" t="s">
        <v>374</v>
      </c>
      <c r="D42" s="26" t="s">
        <v>197</v>
      </c>
      <c r="E42" s="63">
        <v>0</v>
      </c>
      <c r="F42" s="63">
        <v>0</v>
      </c>
      <c r="G42" s="63">
        <v>0</v>
      </c>
      <c r="H42" s="63">
        <v>0</v>
      </c>
      <c r="I42" s="63">
        <v>0</v>
      </c>
      <c r="J42" s="61">
        <v>0</v>
      </c>
      <c r="K42" s="61">
        <v>0</v>
      </c>
      <c r="L42" s="61">
        <v>0</v>
      </c>
      <c r="M42" s="61">
        <v>0</v>
      </c>
      <c r="N42" s="61">
        <v>0</v>
      </c>
      <c r="O42" s="61">
        <v>0</v>
      </c>
      <c r="P42" s="61">
        <v>0</v>
      </c>
      <c r="Q42" s="61">
        <f t="shared" si="1"/>
        <v>0</v>
      </c>
    </row>
    <row r="43" spans="1:17" s="3" customFormat="1" ht="24.95" hidden="1" customHeight="1">
      <c r="A43" s="3" t="s">
        <v>198</v>
      </c>
      <c r="B43" s="50" t="s">
        <v>374</v>
      </c>
      <c r="D43" s="26" t="s">
        <v>199</v>
      </c>
      <c r="E43" s="63">
        <v>0</v>
      </c>
      <c r="F43" s="63">
        <v>0</v>
      </c>
      <c r="G43" s="63">
        <v>0</v>
      </c>
      <c r="H43" s="63">
        <v>0</v>
      </c>
      <c r="I43" s="63">
        <v>0</v>
      </c>
      <c r="J43" s="61">
        <v>0</v>
      </c>
      <c r="K43" s="61">
        <v>0</v>
      </c>
      <c r="L43" s="61">
        <v>0</v>
      </c>
      <c r="M43" s="61">
        <v>0</v>
      </c>
      <c r="N43" s="61">
        <v>0</v>
      </c>
      <c r="O43" s="61">
        <v>0</v>
      </c>
      <c r="P43" s="61">
        <v>0</v>
      </c>
      <c r="Q43" s="61">
        <f t="shared" si="1"/>
        <v>0</v>
      </c>
    </row>
    <row r="44" spans="1:17" s="3" customFormat="1" ht="24.95" hidden="1" customHeight="1">
      <c r="A44" s="3" t="s">
        <v>200</v>
      </c>
      <c r="B44" s="50" t="s">
        <v>374</v>
      </c>
      <c r="D44" s="26" t="s">
        <v>201</v>
      </c>
      <c r="E44" s="63">
        <v>0</v>
      </c>
      <c r="F44" s="63">
        <v>0</v>
      </c>
      <c r="G44" s="63">
        <v>0</v>
      </c>
      <c r="H44" s="63">
        <v>0</v>
      </c>
      <c r="I44" s="63">
        <v>0</v>
      </c>
      <c r="J44" s="61">
        <v>0</v>
      </c>
      <c r="K44" s="61">
        <v>0</v>
      </c>
      <c r="L44" s="61">
        <v>0</v>
      </c>
      <c r="M44" s="61">
        <v>0</v>
      </c>
      <c r="N44" s="61">
        <v>0</v>
      </c>
      <c r="O44" s="61">
        <v>0</v>
      </c>
      <c r="P44" s="61">
        <v>0</v>
      </c>
      <c r="Q44" s="61">
        <f t="shared" si="1"/>
        <v>0</v>
      </c>
    </row>
    <row r="45" spans="1:17" s="3" customFormat="1" ht="24.95" hidden="1" customHeight="1">
      <c r="A45" s="3" t="s">
        <v>202</v>
      </c>
      <c r="B45" s="50" t="s">
        <v>374</v>
      </c>
      <c r="D45" s="26" t="s">
        <v>203</v>
      </c>
      <c r="E45" s="63">
        <v>0</v>
      </c>
      <c r="F45" s="63">
        <v>0</v>
      </c>
      <c r="G45" s="63">
        <v>0</v>
      </c>
      <c r="H45" s="63">
        <v>0</v>
      </c>
      <c r="I45" s="63">
        <v>0</v>
      </c>
      <c r="J45" s="61">
        <v>0</v>
      </c>
      <c r="K45" s="61">
        <v>0</v>
      </c>
      <c r="L45" s="61">
        <v>0</v>
      </c>
      <c r="M45" s="61">
        <v>0</v>
      </c>
      <c r="N45" s="61">
        <v>0</v>
      </c>
      <c r="O45" s="61">
        <v>0</v>
      </c>
      <c r="P45" s="61">
        <v>0</v>
      </c>
      <c r="Q45" s="61">
        <f t="shared" si="1"/>
        <v>0</v>
      </c>
    </row>
    <row r="46" spans="1:17" s="3" customFormat="1" ht="24.95" hidden="1" customHeight="1">
      <c r="A46" s="3" t="s">
        <v>204</v>
      </c>
      <c r="B46" s="50" t="s">
        <v>374</v>
      </c>
      <c r="D46" s="26" t="s">
        <v>205</v>
      </c>
      <c r="E46" s="63">
        <v>0</v>
      </c>
      <c r="F46" s="63">
        <v>0</v>
      </c>
      <c r="G46" s="63">
        <v>0</v>
      </c>
      <c r="H46" s="63">
        <v>0</v>
      </c>
      <c r="I46" s="63">
        <v>0</v>
      </c>
      <c r="J46" s="61">
        <v>0</v>
      </c>
      <c r="K46" s="61">
        <v>0</v>
      </c>
      <c r="L46" s="61">
        <v>0</v>
      </c>
      <c r="M46" s="61">
        <v>0</v>
      </c>
      <c r="N46" s="61">
        <v>0</v>
      </c>
      <c r="O46" s="61">
        <v>0</v>
      </c>
      <c r="P46" s="61">
        <v>0</v>
      </c>
      <c r="Q46" s="61">
        <f t="shared" si="1"/>
        <v>0</v>
      </c>
    </row>
    <row r="47" spans="1:17" s="3" customFormat="1" ht="24.95" hidden="1" customHeight="1">
      <c r="A47" s="3" t="s">
        <v>206</v>
      </c>
      <c r="B47" s="50" t="s">
        <v>374</v>
      </c>
      <c r="D47" s="26" t="s">
        <v>207</v>
      </c>
      <c r="E47" s="63">
        <v>0</v>
      </c>
      <c r="F47" s="63">
        <v>0</v>
      </c>
      <c r="G47" s="63">
        <v>0</v>
      </c>
      <c r="H47" s="63">
        <v>0</v>
      </c>
      <c r="I47" s="63">
        <v>0</v>
      </c>
      <c r="J47" s="61">
        <v>0</v>
      </c>
      <c r="K47" s="61">
        <v>0</v>
      </c>
      <c r="L47" s="61">
        <v>0</v>
      </c>
      <c r="M47" s="61">
        <v>0</v>
      </c>
      <c r="N47" s="61">
        <v>0</v>
      </c>
      <c r="O47" s="61">
        <v>0</v>
      </c>
      <c r="P47" s="61">
        <v>0</v>
      </c>
      <c r="Q47" s="61">
        <f t="shared" si="1"/>
        <v>0</v>
      </c>
    </row>
    <row r="48" spans="1:17" s="3" customFormat="1" ht="24.95" hidden="1" customHeight="1">
      <c r="A48" s="3" t="s">
        <v>208</v>
      </c>
      <c r="B48" s="50" t="s">
        <v>374</v>
      </c>
      <c r="D48" s="26" t="s">
        <v>209</v>
      </c>
      <c r="E48" s="63">
        <v>0</v>
      </c>
      <c r="F48" s="63">
        <v>0</v>
      </c>
      <c r="G48" s="63">
        <v>0</v>
      </c>
      <c r="H48" s="63">
        <v>0</v>
      </c>
      <c r="I48" s="63">
        <v>0</v>
      </c>
      <c r="J48" s="61">
        <v>0</v>
      </c>
      <c r="K48" s="61">
        <v>0</v>
      </c>
      <c r="L48" s="61">
        <v>0</v>
      </c>
      <c r="M48" s="61">
        <v>0</v>
      </c>
      <c r="N48" s="61">
        <v>0</v>
      </c>
      <c r="O48" s="61">
        <v>0</v>
      </c>
      <c r="P48" s="61">
        <v>0</v>
      </c>
      <c r="Q48" s="61">
        <f t="shared" si="1"/>
        <v>0</v>
      </c>
    </row>
    <row r="49" spans="1:17" s="3" customFormat="1" ht="24.95" hidden="1" customHeight="1">
      <c r="A49" s="3" t="s">
        <v>210</v>
      </c>
      <c r="B49" s="50" t="s">
        <v>374</v>
      </c>
      <c r="D49" s="26" t="s">
        <v>211</v>
      </c>
      <c r="E49" s="63">
        <v>0</v>
      </c>
      <c r="F49" s="63">
        <v>0</v>
      </c>
      <c r="G49" s="63">
        <v>0</v>
      </c>
      <c r="H49" s="63">
        <v>0</v>
      </c>
      <c r="I49" s="63">
        <v>0</v>
      </c>
      <c r="J49" s="61">
        <v>0</v>
      </c>
      <c r="K49" s="61">
        <v>0</v>
      </c>
      <c r="L49" s="61">
        <v>0</v>
      </c>
      <c r="M49" s="61">
        <v>0</v>
      </c>
      <c r="N49" s="61">
        <v>0</v>
      </c>
      <c r="O49" s="61">
        <v>0</v>
      </c>
      <c r="P49" s="61">
        <v>0</v>
      </c>
      <c r="Q49" s="61">
        <f t="shared" si="1"/>
        <v>0</v>
      </c>
    </row>
    <row r="50" spans="1:17" s="3" customFormat="1" ht="24.95" hidden="1" customHeight="1">
      <c r="A50" s="3" t="s">
        <v>212</v>
      </c>
      <c r="B50" s="50" t="s">
        <v>374</v>
      </c>
      <c r="D50" s="26" t="s">
        <v>213</v>
      </c>
      <c r="E50" s="63">
        <v>0</v>
      </c>
      <c r="F50" s="63">
        <v>0</v>
      </c>
      <c r="G50" s="63">
        <v>0</v>
      </c>
      <c r="H50" s="63">
        <v>0</v>
      </c>
      <c r="I50" s="63">
        <v>0</v>
      </c>
      <c r="J50" s="61">
        <v>0</v>
      </c>
      <c r="K50" s="61">
        <v>0</v>
      </c>
      <c r="L50" s="61">
        <v>0</v>
      </c>
      <c r="M50" s="61">
        <v>0</v>
      </c>
      <c r="N50" s="61">
        <v>0</v>
      </c>
      <c r="O50" s="61">
        <v>0</v>
      </c>
      <c r="P50" s="61">
        <v>0</v>
      </c>
      <c r="Q50" s="61">
        <f t="shared" si="1"/>
        <v>0</v>
      </c>
    </row>
    <row r="51" spans="1:17" s="3" customFormat="1" ht="24.95" hidden="1" customHeight="1">
      <c r="A51" s="3" t="s">
        <v>214</v>
      </c>
      <c r="B51" s="50" t="s">
        <v>374</v>
      </c>
      <c r="D51" s="26" t="s">
        <v>215</v>
      </c>
      <c r="E51" s="63">
        <v>0</v>
      </c>
      <c r="F51" s="63">
        <v>0</v>
      </c>
      <c r="G51" s="63">
        <v>0</v>
      </c>
      <c r="H51" s="63">
        <v>0</v>
      </c>
      <c r="I51" s="63">
        <v>0</v>
      </c>
      <c r="J51" s="61">
        <v>0</v>
      </c>
      <c r="K51" s="61">
        <v>0</v>
      </c>
      <c r="L51" s="61">
        <v>0</v>
      </c>
      <c r="M51" s="61">
        <v>0</v>
      </c>
      <c r="N51" s="61">
        <v>0</v>
      </c>
      <c r="O51" s="61">
        <v>0</v>
      </c>
      <c r="P51" s="61">
        <v>0</v>
      </c>
      <c r="Q51" s="61">
        <f t="shared" si="1"/>
        <v>0</v>
      </c>
    </row>
    <row r="52" spans="1:17" s="3" customFormat="1" ht="24.95" hidden="1" customHeight="1">
      <c r="A52" s="3" t="s">
        <v>216</v>
      </c>
      <c r="B52" s="50" t="s">
        <v>374</v>
      </c>
      <c r="D52" s="26" t="s">
        <v>217</v>
      </c>
      <c r="E52" s="63">
        <v>0</v>
      </c>
      <c r="F52" s="63">
        <v>0</v>
      </c>
      <c r="G52" s="63">
        <v>0</v>
      </c>
      <c r="H52" s="63">
        <v>0</v>
      </c>
      <c r="I52" s="63">
        <v>0</v>
      </c>
      <c r="J52" s="61">
        <v>0</v>
      </c>
      <c r="K52" s="61">
        <v>0</v>
      </c>
      <c r="L52" s="61">
        <v>0</v>
      </c>
      <c r="M52" s="61">
        <v>0</v>
      </c>
      <c r="N52" s="61">
        <v>0</v>
      </c>
      <c r="O52" s="61">
        <v>0</v>
      </c>
      <c r="P52" s="61">
        <v>0</v>
      </c>
      <c r="Q52" s="61">
        <f t="shared" si="1"/>
        <v>0</v>
      </c>
    </row>
    <row r="53" spans="1:17" s="3" customFormat="1" ht="24.95" hidden="1" customHeight="1">
      <c r="A53" s="3" t="s">
        <v>218</v>
      </c>
      <c r="B53" s="50" t="s">
        <v>374</v>
      </c>
      <c r="D53" s="26" t="s">
        <v>219</v>
      </c>
      <c r="E53" s="63">
        <v>0</v>
      </c>
      <c r="F53" s="63">
        <v>0</v>
      </c>
      <c r="G53" s="63">
        <v>0</v>
      </c>
      <c r="H53" s="63">
        <v>0</v>
      </c>
      <c r="I53" s="63">
        <v>0</v>
      </c>
      <c r="J53" s="61">
        <v>0</v>
      </c>
      <c r="K53" s="61">
        <v>0</v>
      </c>
      <c r="L53" s="61">
        <v>0</v>
      </c>
      <c r="M53" s="61">
        <v>0</v>
      </c>
      <c r="N53" s="61">
        <v>0</v>
      </c>
      <c r="O53" s="61">
        <v>0</v>
      </c>
      <c r="P53" s="61">
        <v>0</v>
      </c>
      <c r="Q53" s="61">
        <f t="shared" si="1"/>
        <v>0</v>
      </c>
    </row>
    <row r="54" spans="1:17" s="3" customFormat="1" ht="24.95" hidden="1" customHeight="1">
      <c r="A54" s="3" t="s">
        <v>220</v>
      </c>
      <c r="B54" s="50" t="s">
        <v>374</v>
      </c>
      <c r="D54" s="26" t="s">
        <v>221</v>
      </c>
      <c r="E54" s="63">
        <v>0</v>
      </c>
      <c r="F54" s="63">
        <v>0</v>
      </c>
      <c r="G54" s="63">
        <v>0</v>
      </c>
      <c r="H54" s="63">
        <v>0</v>
      </c>
      <c r="I54" s="63">
        <v>0</v>
      </c>
      <c r="J54" s="61">
        <v>0</v>
      </c>
      <c r="K54" s="61">
        <v>0</v>
      </c>
      <c r="L54" s="61">
        <v>0</v>
      </c>
      <c r="M54" s="61">
        <v>0</v>
      </c>
      <c r="N54" s="61">
        <v>0</v>
      </c>
      <c r="O54" s="61">
        <v>0</v>
      </c>
      <c r="P54" s="61">
        <v>0</v>
      </c>
      <c r="Q54" s="61">
        <f t="shared" si="1"/>
        <v>0</v>
      </c>
    </row>
    <row r="55" spans="1:17" s="3" customFormat="1" ht="24.95" hidden="1" customHeight="1">
      <c r="A55" s="3" t="s">
        <v>222</v>
      </c>
      <c r="B55" s="50" t="s">
        <v>374</v>
      </c>
      <c r="D55" s="26" t="s">
        <v>223</v>
      </c>
      <c r="E55" s="63">
        <v>0</v>
      </c>
      <c r="F55" s="63">
        <v>0</v>
      </c>
      <c r="G55" s="63">
        <v>0</v>
      </c>
      <c r="H55" s="63">
        <v>0</v>
      </c>
      <c r="I55" s="63">
        <v>0</v>
      </c>
      <c r="J55" s="61">
        <v>0</v>
      </c>
      <c r="K55" s="61">
        <v>0</v>
      </c>
      <c r="L55" s="61">
        <v>0</v>
      </c>
      <c r="M55" s="61">
        <v>0</v>
      </c>
      <c r="N55" s="61">
        <v>0</v>
      </c>
      <c r="O55" s="61">
        <v>0</v>
      </c>
      <c r="P55" s="61">
        <v>0</v>
      </c>
      <c r="Q55" s="61">
        <f t="shared" si="1"/>
        <v>0</v>
      </c>
    </row>
    <row r="56" spans="1:17" s="3" customFormat="1" ht="24.95" hidden="1" customHeight="1">
      <c r="A56" s="3" t="s">
        <v>224</v>
      </c>
      <c r="B56" s="50" t="s">
        <v>374</v>
      </c>
      <c r="D56" s="26" t="s">
        <v>225</v>
      </c>
      <c r="E56" s="63">
        <v>0</v>
      </c>
      <c r="F56" s="63">
        <v>0</v>
      </c>
      <c r="G56" s="63">
        <v>0</v>
      </c>
      <c r="H56" s="63">
        <v>0</v>
      </c>
      <c r="I56" s="63">
        <v>0</v>
      </c>
      <c r="J56" s="61">
        <v>0</v>
      </c>
      <c r="K56" s="61">
        <v>0</v>
      </c>
      <c r="L56" s="61">
        <v>0</v>
      </c>
      <c r="M56" s="61">
        <v>0</v>
      </c>
      <c r="N56" s="61">
        <v>0</v>
      </c>
      <c r="O56" s="61">
        <v>0</v>
      </c>
      <c r="P56" s="61">
        <v>0</v>
      </c>
      <c r="Q56" s="61">
        <f t="shared" si="1"/>
        <v>0</v>
      </c>
    </row>
    <row r="57" spans="1:17" s="3" customFormat="1" ht="24.95" hidden="1" customHeight="1">
      <c r="A57" s="3" t="s">
        <v>226</v>
      </c>
      <c r="B57" s="50" t="s">
        <v>374</v>
      </c>
      <c r="D57" s="26" t="s">
        <v>227</v>
      </c>
      <c r="E57" s="63">
        <v>0</v>
      </c>
      <c r="F57" s="63">
        <v>0</v>
      </c>
      <c r="G57" s="63">
        <v>0</v>
      </c>
      <c r="H57" s="63">
        <v>0</v>
      </c>
      <c r="I57" s="63">
        <v>0</v>
      </c>
      <c r="J57" s="61">
        <v>0</v>
      </c>
      <c r="K57" s="61">
        <v>0</v>
      </c>
      <c r="L57" s="61">
        <v>0</v>
      </c>
      <c r="M57" s="61">
        <v>0</v>
      </c>
      <c r="N57" s="61">
        <v>0</v>
      </c>
      <c r="O57" s="61">
        <v>0</v>
      </c>
      <c r="P57" s="61">
        <v>0</v>
      </c>
      <c r="Q57" s="61">
        <f t="shared" si="1"/>
        <v>0</v>
      </c>
    </row>
    <row r="58" spans="1:17" s="3" customFormat="1" ht="24.95" hidden="1" customHeight="1">
      <c r="A58" s="3" t="s">
        <v>228</v>
      </c>
      <c r="B58" s="50" t="s">
        <v>374</v>
      </c>
      <c r="D58" s="26" t="s">
        <v>229</v>
      </c>
      <c r="E58" s="63">
        <v>0</v>
      </c>
      <c r="F58" s="63">
        <v>0</v>
      </c>
      <c r="G58" s="63">
        <v>0</v>
      </c>
      <c r="H58" s="63">
        <v>0</v>
      </c>
      <c r="I58" s="63">
        <v>0</v>
      </c>
      <c r="J58" s="61">
        <v>0</v>
      </c>
      <c r="K58" s="61">
        <v>0</v>
      </c>
      <c r="L58" s="61">
        <v>0</v>
      </c>
      <c r="M58" s="61">
        <v>0</v>
      </c>
      <c r="N58" s="61">
        <v>0</v>
      </c>
      <c r="O58" s="61">
        <v>0</v>
      </c>
      <c r="P58" s="61">
        <v>0</v>
      </c>
      <c r="Q58" s="61">
        <f t="shared" si="1"/>
        <v>0</v>
      </c>
    </row>
    <row r="59" spans="1:17" s="3" customFormat="1" ht="24.95" hidden="1" customHeight="1">
      <c r="A59" s="3" t="s">
        <v>230</v>
      </c>
      <c r="B59" s="50" t="s">
        <v>374</v>
      </c>
      <c r="D59" s="26" t="s">
        <v>231</v>
      </c>
      <c r="E59" s="63">
        <v>0</v>
      </c>
      <c r="F59" s="63">
        <v>0</v>
      </c>
      <c r="G59" s="63">
        <v>0</v>
      </c>
      <c r="H59" s="63">
        <v>0</v>
      </c>
      <c r="I59" s="63">
        <v>0</v>
      </c>
      <c r="J59" s="61">
        <v>0</v>
      </c>
      <c r="K59" s="61">
        <v>0</v>
      </c>
      <c r="L59" s="61">
        <v>0</v>
      </c>
      <c r="M59" s="61">
        <v>0</v>
      </c>
      <c r="N59" s="61">
        <v>0</v>
      </c>
      <c r="O59" s="61">
        <v>0</v>
      </c>
      <c r="P59" s="61">
        <v>0</v>
      </c>
      <c r="Q59" s="61">
        <f t="shared" si="1"/>
        <v>0</v>
      </c>
    </row>
    <row r="60" spans="1:17" s="3" customFormat="1" ht="24.95" hidden="1" customHeight="1">
      <c r="A60" s="3" t="s">
        <v>232</v>
      </c>
      <c r="B60" s="50" t="s">
        <v>374</v>
      </c>
      <c r="D60" s="26" t="s">
        <v>233</v>
      </c>
      <c r="E60" s="63">
        <v>0</v>
      </c>
      <c r="F60" s="63">
        <v>0</v>
      </c>
      <c r="G60" s="63">
        <v>0</v>
      </c>
      <c r="H60" s="63">
        <v>0</v>
      </c>
      <c r="I60" s="63">
        <v>0</v>
      </c>
      <c r="J60" s="61">
        <v>0</v>
      </c>
      <c r="K60" s="61">
        <v>0</v>
      </c>
      <c r="L60" s="61">
        <v>0</v>
      </c>
      <c r="M60" s="61">
        <v>0</v>
      </c>
      <c r="N60" s="61">
        <v>0</v>
      </c>
      <c r="O60" s="61">
        <v>0</v>
      </c>
      <c r="P60" s="61">
        <v>0</v>
      </c>
      <c r="Q60" s="61">
        <f t="shared" si="1"/>
        <v>0</v>
      </c>
    </row>
    <row r="61" spans="1:17" s="3" customFormat="1" ht="24.95" hidden="1" customHeight="1">
      <c r="A61" s="3" t="s">
        <v>234</v>
      </c>
      <c r="B61" s="50" t="s">
        <v>374</v>
      </c>
      <c r="D61" s="26" t="s">
        <v>235</v>
      </c>
      <c r="E61" s="63">
        <v>0</v>
      </c>
      <c r="F61" s="63">
        <v>0</v>
      </c>
      <c r="G61" s="63">
        <v>0</v>
      </c>
      <c r="H61" s="63">
        <v>0</v>
      </c>
      <c r="I61" s="63">
        <v>0</v>
      </c>
      <c r="J61" s="61">
        <v>0</v>
      </c>
      <c r="K61" s="61">
        <v>0</v>
      </c>
      <c r="L61" s="61">
        <v>0</v>
      </c>
      <c r="M61" s="61">
        <v>0</v>
      </c>
      <c r="N61" s="61">
        <v>0</v>
      </c>
      <c r="O61" s="61">
        <v>0</v>
      </c>
      <c r="P61" s="61">
        <v>0</v>
      </c>
      <c r="Q61" s="61">
        <f t="shared" si="1"/>
        <v>0</v>
      </c>
    </row>
    <row r="62" spans="1:17" s="3" customFormat="1" ht="24.95" hidden="1" customHeight="1">
      <c r="A62" s="3" t="s">
        <v>236</v>
      </c>
      <c r="B62" s="50" t="s">
        <v>374</v>
      </c>
      <c r="D62" s="26" t="s">
        <v>237</v>
      </c>
      <c r="E62" s="63">
        <v>0</v>
      </c>
      <c r="F62" s="63">
        <v>0</v>
      </c>
      <c r="G62" s="63">
        <v>0</v>
      </c>
      <c r="H62" s="63">
        <v>0</v>
      </c>
      <c r="I62" s="63">
        <v>0</v>
      </c>
      <c r="J62" s="61">
        <v>0</v>
      </c>
      <c r="K62" s="61">
        <v>0</v>
      </c>
      <c r="L62" s="61">
        <v>0</v>
      </c>
      <c r="M62" s="61">
        <v>0</v>
      </c>
      <c r="N62" s="61">
        <v>0</v>
      </c>
      <c r="O62" s="61">
        <v>0</v>
      </c>
      <c r="P62" s="61">
        <v>0</v>
      </c>
      <c r="Q62" s="61">
        <f t="shared" si="1"/>
        <v>0</v>
      </c>
    </row>
    <row r="63" spans="1:17" s="3" customFormat="1" ht="24.95" hidden="1" customHeight="1">
      <c r="A63" s="3" t="s">
        <v>238</v>
      </c>
      <c r="B63" s="50" t="s">
        <v>374</v>
      </c>
      <c r="D63" s="26" t="s">
        <v>239</v>
      </c>
      <c r="E63" s="63">
        <v>0</v>
      </c>
      <c r="F63" s="63">
        <v>0</v>
      </c>
      <c r="G63" s="63">
        <v>0</v>
      </c>
      <c r="H63" s="63">
        <v>0</v>
      </c>
      <c r="I63" s="63">
        <v>0</v>
      </c>
      <c r="J63" s="61">
        <v>0</v>
      </c>
      <c r="K63" s="61">
        <v>0</v>
      </c>
      <c r="L63" s="61">
        <v>0</v>
      </c>
      <c r="M63" s="61">
        <v>0</v>
      </c>
      <c r="N63" s="61">
        <v>0</v>
      </c>
      <c r="O63" s="61">
        <v>0</v>
      </c>
      <c r="P63" s="61">
        <v>0</v>
      </c>
      <c r="Q63" s="61">
        <f t="shared" si="1"/>
        <v>0</v>
      </c>
    </row>
    <row r="64" spans="1:17" s="3" customFormat="1" ht="24.95" hidden="1" customHeight="1">
      <c r="A64" s="3" t="s">
        <v>240</v>
      </c>
      <c r="B64" s="50" t="s">
        <v>374</v>
      </c>
      <c r="D64" s="26" t="s">
        <v>241</v>
      </c>
      <c r="E64" s="63">
        <v>0</v>
      </c>
      <c r="F64" s="63">
        <v>0</v>
      </c>
      <c r="G64" s="63">
        <v>0</v>
      </c>
      <c r="H64" s="63">
        <v>0</v>
      </c>
      <c r="I64" s="63">
        <v>0</v>
      </c>
      <c r="J64" s="61">
        <v>0</v>
      </c>
      <c r="K64" s="61">
        <v>0</v>
      </c>
      <c r="L64" s="61">
        <v>0</v>
      </c>
      <c r="M64" s="61">
        <v>0</v>
      </c>
      <c r="N64" s="61">
        <v>0</v>
      </c>
      <c r="O64" s="61">
        <v>0</v>
      </c>
      <c r="P64" s="61">
        <v>0</v>
      </c>
      <c r="Q64" s="61">
        <f t="shared" si="1"/>
        <v>0</v>
      </c>
    </row>
    <row r="65" spans="1:17" s="3" customFormat="1" ht="24.95" hidden="1" customHeight="1">
      <c r="A65" s="3" t="s">
        <v>242</v>
      </c>
      <c r="B65" s="50" t="s">
        <v>374</v>
      </c>
      <c r="D65" s="26" t="s">
        <v>243</v>
      </c>
      <c r="E65" s="63">
        <v>0</v>
      </c>
      <c r="F65" s="63">
        <v>0</v>
      </c>
      <c r="G65" s="63">
        <v>0</v>
      </c>
      <c r="H65" s="63">
        <v>0</v>
      </c>
      <c r="I65" s="63">
        <v>0</v>
      </c>
      <c r="J65" s="61">
        <v>0</v>
      </c>
      <c r="K65" s="61">
        <v>0</v>
      </c>
      <c r="L65" s="61">
        <v>0</v>
      </c>
      <c r="M65" s="61">
        <v>0</v>
      </c>
      <c r="N65" s="61">
        <v>0</v>
      </c>
      <c r="O65" s="61">
        <v>0</v>
      </c>
      <c r="P65" s="61">
        <v>0</v>
      </c>
      <c r="Q65" s="61">
        <f t="shared" si="1"/>
        <v>0</v>
      </c>
    </row>
    <row r="66" spans="1:17" s="3" customFormat="1" ht="24.95" hidden="1" customHeight="1">
      <c r="A66" s="3" t="s">
        <v>244</v>
      </c>
      <c r="B66" s="50" t="s">
        <v>374</v>
      </c>
      <c r="D66" s="26" t="s">
        <v>245</v>
      </c>
      <c r="E66" s="63">
        <v>0</v>
      </c>
      <c r="F66" s="63">
        <v>0</v>
      </c>
      <c r="G66" s="63">
        <v>0</v>
      </c>
      <c r="H66" s="63">
        <v>0</v>
      </c>
      <c r="I66" s="63">
        <v>0</v>
      </c>
      <c r="J66" s="61">
        <v>0</v>
      </c>
      <c r="K66" s="61">
        <v>0</v>
      </c>
      <c r="L66" s="61">
        <v>0</v>
      </c>
      <c r="M66" s="61">
        <v>0</v>
      </c>
      <c r="N66" s="61">
        <v>0</v>
      </c>
      <c r="O66" s="61">
        <v>0</v>
      </c>
      <c r="P66" s="61">
        <v>0</v>
      </c>
      <c r="Q66" s="61">
        <f t="shared" si="1"/>
        <v>0</v>
      </c>
    </row>
    <row r="67" spans="1:17" s="3" customFormat="1" ht="24.95" hidden="1" customHeight="1">
      <c r="A67" s="3" t="s">
        <v>246</v>
      </c>
      <c r="B67" s="50" t="s">
        <v>374</v>
      </c>
      <c r="D67" s="26" t="s">
        <v>247</v>
      </c>
      <c r="E67" s="63">
        <v>0</v>
      </c>
      <c r="F67" s="63">
        <v>0</v>
      </c>
      <c r="G67" s="63">
        <v>0</v>
      </c>
      <c r="H67" s="63">
        <v>0</v>
      </c>
      <c r="I67" s="63">
        <v>0</v>
      </c>
      <c r="J67" s="61">
        <v>0</v>
      </c>
      <c r="K67" s="61">
        <v>0</v>
      </c>
      <c r="L67" s="61">
        <v>0</v>
      </c>
      <c r="M67" s="61">
        <v>0</v>
      </c>
      <c r="N67" s="61">
        <v>0</v>
      </c>
      <c r="O67" s="61">
        <v>0</v>
      </c>
      <c r="P67" s="61">
        <v>0</v>
      </c>
      <c r="Q67" s="61">
        <f t="shared" si="1"/>
        <v>0</v>
      </c>
    </row>
    <row r="68" spans="1:17" s="3" customFormat="1" ht="24.95" hidden="1" customHeight="1">
      <c r="A68" s="3" t="s">
        <v>248</v>
      </c>
      <c r="B68" s="50" t="s">
        <v>374</v>
      </c>
      <c r="D68" s="26" t="s">
        <v>249</v>
      </c>
      <c r="E68" s="63">
        <v>0</v>
      </c>
      <c r="F68" s="63">
        <v>0</v>
      </c>
      <c r="G68" s="63">
        <v>0</v>
      </c>
      <c r="H68" s="63">
        <v>0</v>
      </c>
      <c r="I68" s="63">
        <v>0</v>
      </c>
      <c r="J68" s="61">
        <v>0</v>
      </c>
      <c r="K68" s="61">
        <v>0</v>
      </c>
      <c r="L68" s="61">
        <v>0</v>
      </c>
      <c r="M68" s="61">
        <v>0</v>
      </c>
      <c r="N68" s="61">
        <v>0</v>
      </c>
      <c r="O68" s="61">
        <v>0</v>
      </c>
      <c r="P68" s="61">
        <v>0</v>
      </c>
      <c r="Q68" s="61">
        <f t="shared" si="1"/>
        <v>0</v>
      </c>
    </row>
    <row r="69" spans="1:17" s="3" customFormat="1" ht="24.95" hidden="1" customHeight="1">
      <c r="A69" s="3" t="s">
        <v>250</v>
      </c>
      <c r="B69" s="50" t="s">
        <v>374</v>
      </c>
      <c r="D69" s="26" t="s">
        <v>251</v>
      </c>
      <c r="E69" s="63">
        <v>0</v>
      </c>
      <c r="F69" s="63">
        <v>0</v>
      </c>
      <c r="G69" s="63">
        <v>0</v>
      </c>
      <c r="H69" s="63">
        <v>0</v>
      </c>
      <c r="I69" s="63">
        <v>0</v>
      </c>
      <c r="J69" s="61">
        <v>0</v>
      </c>
      <c r="K69" s="61">
        <v>0</v>
      </c>
      <c r="L69" s="61">
        <v>0</v>
      </c>
      <c r="M69" s="61">
        <v>0</v>
      </c>
      <c r="N69" s="61">
        <v>0</v>
      </c>
      <c r="O69" s="61">
        <v>0</v>
      </c>
      <c r="P69" s="61">
        <v>0</v>
      </c>
      <c r="Q69" s="61">
        <f t="shared" si="1"/>
        <v>0</v>
      </c>
    </row>
    <row r="70" spans="1:17" s="3" customFormat="1" ht="24.95" hidden="1" customHeight="1">
      <c r="A70" s="3" t="s">
        <v>252</v>
      </c>
      <c r="B70" s="50" t="s">
        <v>374</v>
      </c>
      <c r="D70" s="26" t="s">
        <v>253</v>
      </c>
      <c r="E70" s="63">
        <v>0</v>
      </c>
      <c r="F70" s="63">
        <v>0</v>
      </c>
      <c r="G70" s="63">
        <v>0</v>
      </c>
      <c r="H70" s="63">
        <v>0</v>
      </c>
      <c r="I70" s="63">
        <v>0</v>
      </c>
      <c r="J70" s="61">
        <v>0</v>
      </c>
      <c r="K70" s="61">
        <v>0</v>
      </c>
      <c r="L70" s="61">
        <v>0</v>
      </c>
      <c r="M70" s="61">
        <v>0</v>
      </c>
      <c r="N70" s="61">
        <v>0</v>
      </c>
      <c r="O70" s="61">
        <v>0</v>
      </c>
      <c r="P70" s="61">
        <v>0</v>
      </c>
      <c r="Q70" s="61">
        <f t="shared" si="1"/>
        <v>0</v>
      </c>
    </row>
    <row r="71" spans="1:17" s="3" customFormat="1" ht="24.95" hidden="1" customHeight="1">
      <c r="A71" s="3" t="s">
        <v>254</v>
      </c>
      <c r="B71" s="50" t="s">
        <v>374</v>
      </c>
      <c r="D71" s="26" t="s">
        <v>255</v>
      </c>
      <c r="E71" s="63">
        <v>0</v>
      </c>
      <c r="F71" s="63">
        <v>0</v>
      </c>
      <c r="G71" s="63">
        <v>0</v>
      </c>
      <c r="H71" s="63">
        <v>0</v>
      </c>
      <c r="I71" s="63">
        <v>0</v>
      </c>
      <c r="J71" s="61">
        <v>0</v>
      </c>
      <c r="K71" s="61">
        <v>0</v>
      </c>
      <c r="L71" s="61">
        <v>0</v>
      </c>
      <c r="M71" s="61">
        <v>0</v>
      </c>
      <c r="N71" s="61">
        <v>0</v>
      </c>
      <c r="O71" s="61">
        <v>0</v>
      </c>
      <c r="P71" s="61">
        <v>0</v>
      </c>
      <c r="Q71" s="61">
        <f t="shared" si="1"/>
        <v>0</v>
      </c>
    </row>
    <row r="72" spans="1:17" s="3" customFormat="1" ht="24.95" hidden="1" customHeight="1">
      <c r="A72" s="3" t="s">
        <v>256</v>
      </c>
      <c r="B72" s="50" t="s">
        <v>374</v>
      </c>
      <c r="D72" s="26" t="s">
        <v>257</v>
      </c>
      <c r="E72" s="63">
        <v>0</v>
      </c>
      <c r="F72" s="63">
        <v>0</v>
      </c>
      <c r="G72" s="63">
        <v>0</v>
      </c>
      <c r="H72" s="63">
        <v>0</v>
      </c>
      <c r="I72" s="63">
        <v>0</v>
      </c>
      <c r="J72" s="61">
        <v>0</v>
      </c>
      <c r="K72" s="61">
        <v>0</v>
      </c>
      <c r="L72" s="61">
        <v>0</v>
      </c>
      <c r="M72" s="61">
        <v>0</v>
      </c>
      <c r="N72" s="61">
        <v>0</v>
      </c>
      <c r="O72" s="61">
        <v>0</v>
      </c>
      <c r="P72" s="61">
        <v>0</v>
      </c>
      <c r="Q72" s="61">
        <f t="shared" si="1"/>
        <v>0</v>
      </c>
    </row>
    <row r="73" spans="1:17" s="3" customFormat="1" ht="24.95" hidden="1" customHeight="1">
      <c r="A73" s="3" t="s">
        <v>258</v>
      </c>
      <c r="B73" s="50" t="s">
        <v>374</v>
      </c>
      <c r="D73" s="26" t="s">
        <v>259</v>
      </c>
      <c r="E73" s="63">
        <v>0</v>
      </c>
      <c r="F73" s="63">
        <v>0</v>
      </c>
      <c r="G73" s="63">
        <v>0</v>
      </c>
      <c r="H73" s="63">
        <v>0</v>
      </c>
      <c r="I73" s="63">
        <v>0</v>
      </c>
      <c r="J73" s="61">
        <v>0</v>
      </c>
      <c r="K73" s="61">
        <v>0</v>
      </c>
      <c r="L73" s="61">
        <v>0</v>
      </c>
      <c r="M73" s="61">
        <v>0</v>
      </c>
      <c r="N73" s="61">
        <v>0</v>
      </c>
      <c r="O73" s="61">
        <v>0</v>
      </c>
      <c r="P73" s="61">
        <v>0</v>
      </c>
      <c r="Q73" s="61">
        <f t="shared" si="1"/>
        <v>0</v>
      </c>
    </row>
    <row r="74" spans="1:17" s="3" customFormat="1" ht="24.95" hidden="1" customHeight="1">
      <c r="A74" s="3" t="s">
        <v>260</v>
      </c>
      <c r="B74" s="50" t="s">
        <v>374</v>
      </c>
      <c r="D74" s="26" t="s">
        <v>261</v>
      </c>
      <c r="E74" s="63">
        <v>0</v>
      </c>
      <c r="F74" s="63">
        <v>0</v>
      </c>
      <c r="G74" s="63">
        <v>0</v>
      </c>
      <c r="H74" s="63">
        <v>0</v>
      </c>
      <c r="I74" s="63">
        <v>0</v>
      </c>
      <c r="J74" s="61">
        <v>0</v>
      </c>
      <c r="K74" s="61">
        <v>0</v>
      </c>
      <c r="L74" s="61">
        <v>0</v>
      </c>
      <c r="M74" s="61">
        <v>0</v>
      </c>
      <c r="N74" s="61">
        <v>0</v>
      </c>
      <c r="O74" s="61">
        <v>0</v>
      </c>
      <c r="P74" s="61">
        <v>0</v>
      </c>
      <c r="Q74" s="61">
        <f t="shared" si="1"/>
        <v>0</v>
      </c>
    </row>
    <row r="75" spans="1:17" s="3" customFormat="1" ht="24.95" hidden="1" customHeight="1">
      <c r="A75" s="3" t="s">
        <v>262</v>
      </c>
      <c r="B75" s="50" t="s">
        <v>374</v>
      </c>
      <c r="D75" s="26" t="s">
        <v>263</v>
      </c>
      <c r="E75" s="63">
        <v>0</v>
      </c>
      <c r="F75" s="63">
        <v>0</v>
      </c>
      <c r="G75" s="63">
        <v>0</v>
      </c>
      <c r="H75" s="63">
        <v>0</v>
      </c>
      <c r="I75" s="63">
        <v>0</v>
      </c>
      <c r="J75" s="61">
        <v>0</v>
      </c>
      <c r="K75" s="61">
        <v>0</v>
      </c>
      <c r="L75" s="61">
        <v>0</v>
      </c>
      <c r="M75" s="61">
        <v>0</v>
      </c>
      <c r="N75" s="61">
        <v>0</v>
      </c>
      <c r="O75" s="61">
        <v>0</v>
      </c>
      <c r="P75" s="61">
        <v>0</v>
      </c>
      <c r="Q75" s="61">
        <f t="shared" si="1"/>
        <v>0</v>
      </c>
    </row>
    <row r="76" spans="1:17" s="3" customFormat="1" ht="24.95" hidden="1" customHeight="1">
      <c r="A76" s="3" t="s">
        <v>264</v>
      </c>
      <c r="B76" s="50" t="s">
        <v>374</v>
      </c>
      <c r="D76" s="26" t="s">
        <v>265</v>
      </c>
      <c r="E76" s="63">
        <v>0</v>
      </c>
      <c r="F76" s="63">
        <v>0</v>
      </c>
      <c r="G76" s="63">
        <v>0</v>
      </c>
      <c r="H76" s="63">
        <v>0</v>
      </c>
      <c r="I76" s="63">
        <v>0</v>
      </c>
      <c r="J76" s="61">
        <v>0</v>
      </c>
      <c r="K76" s="61">
        <v>0</v>
      </c>
      <c r="L76" s="61">
        <v>0</v>
      </c>
      <c r="M76" s="61">
        <v>0</v>
      </c>
      <c r="N76" s="61">
        <v>0</v>
      </c>
      <c r="O76" s="61">
        <v>0</v>
      </c>
      <c r="P76" s="61">
        <v>0</v>
      </c>
      <c r="Q76" s="61">
        <f t="shared" si="1"/>
        <v>0</v>
      </c>
    </row>
    <row r="77" spans="1:17" s="3" customFormat="1" ht="24.95" hidden="1" customHeight="1">
      <c r="A77" s="3" t="s">
        <v>266</v>
      </c>
      <c r="B77" s="50" t="s">
        <v>374</v>
      </c>
      <c r="D77" s="26" t="s">
        <v>267</v>
      </c>
      <c r="E77" s="63">
        <v>0</v>
      </c>
      <c r="F77" s="63">
        <v>0</v>
      </c>
      <c r="G77" s="63">
        <v>0</v>
      </c>
      <c r="H77" s="63">
        <v>0</v>
      </c>
      <c r="I77" s="63">
        <v>0</v>
      </c>
      <c r="J77" s="61">
        <v>0</v>
      </c>
      <c r="K77" s="61">
        <v>0</v>
      </c>
      <c r="L77" s="61">
        <v>0</v>
      </c>
      <c r="M77" s="61">
        <v>0</v>
      </c>
      <c r="N77" s="61">
        <v>0</v>
      </c>
      <c r="O77" s="61">
        <v>0</v>
      </c>
      <c r="P77" s="61">
        <v>0</v>
      </c>
      <c r="Q77" s="61">
        <f t="shared" si="1"/>
        <v>0</v>
      </c>
    </row>
    <row r="78" spans="1:17" s="3" customFormat="1" ht="24.95" hidden="1" customHeight="1">
      <c r="A78" s="3" t="s">
        <v>268</v>
      </c>
      <c r="B78" s="50" t="s">
        <v>374</v>
      </c>
      <c r="D78" s="26" t="s">
        <v>269</v>
      </c>
      <c r="E78" s="63">
        <v>0</v>
      </c>
      <c r="F78" s="63">
        <v>0</v>
      </c>
      <c r="G78" s="63">
        <v>0</v>
      </c>
      <c r="H78" s="63">
        <v>0</v>
      </c>
      <c r="I78" s="63">
        <v>0</v>
      </c>
      <c r="J78" s="61">
        <v>0</v>
      </c>
      <c r="K78" s="61">
        <v>0</v>
      </c>
      <c r="L78" s="61">
        <v>0</v>
      </c>
      <c r="M78" s="61">
        <v>0</v>
      </c>
      <c r="N78" s="61">
        <v>0</v>
      </c>
      <c r="O78" s="61">
        <v>0</v>
      </c>
      <c r="P78" s="61">
        <v>0</v>
      </c>
      <c r="Q78" s="61">
        <f t="shared" si="1"/>
        <v>0</v>
      </c>
    </row>
    <row r="79" spans="1:17" s="3" customFormat="1" ht="24.95" hidden="1" customHeight="1">
      <c r="A79" s="3" t="s">
        <v>270</v>
      </c>
      <c r="B79" s="50" t="s">
        <v>374</v>
      </c>
      <c r="D79" s="26" t="s">
        <v>271</v>
      </c>
      <c r="E79" s="63">
        <v>0</v>
      </c>
      <c r="F79" s="63">
        <v>0</v>
      </c>
      <c r="G79" s="63">
        <v>0</v>
      </c>
      <c r="H79" s="63">
        <v>0</v>
      </c>
      <c r="I79" s="63">
        <v>0</v>
      </c>
      <c r="J79" s="61">
        <v>0</v>
      </c>
      <c r="K79" s="61">
        <v>0</v>
      </c>
      <c r="L79" s="61">
        <v>0</v>
      </c>
      <c r="M79" s="61">
        <v>0</v>
      </c>
      <c r="N79" s="61">
        <v>0</v>
      </c>
      <c r="O79" s="61">
        <v>0</v>
      </c>
      <c r="P79" s="61">
        <v>0</v>
      </c>
      <c r="Q79" s="61">
        <f>SUM(E79:P79)</f>
        <v>0</v>
      </c>
    </row>
    <row r="80" spans="1:17" s="3" customFormat="1" ht="24.95" customHeight="1">
      <c r="A80" s="3" t="s">
        <v>272</v>
      </c>
      <c r="B80" s="50" t="s">
        <v>374</v>
      </c>
      <c r="D80" s="26" t="s">
        <v>273</v>
      </c>
      <c r="E80" s="63">
        <v>0</v>
      </c>
      <c r="F80" s="63">
        <v>0</v>
      </c>
      <c r="G80" s="63">
        <v>0</v>
      </c>
      <c r="H80" s="63"/>
      <c r="I80" s="63"/>
      <c r="J80" s="61"/>
      <c r="K80" s="61"/>
      <c r="L80" s="61"/>
      <c r="M80" s="61">
        <v>0</v>
      </c>
      <c r="N80" s="61">
        <v>0</v>
      </c>
      <c r="O80" s="61">
        <v>0</v>
      </c>
      <c r="P80" s="61">
        <v>0</v>
      </c>
      <c r="Q80" s="61">
        <f>SUM(E80:P80)</f>
        <v>0</v>
      </c>
    </row>
    <row r="81" spans="1:17" s="3" customFormat="1" ht="24.95" customHeight="1">
      <c r="D81" s="19" t="s">
        <v>274</v>
      </c>
      <c r="E81" s="160">
        <f>SUM(E14:E80)</f>
        <v>0</v>
      </c>
      <c r="F81" s="160">
        <f t="shared" ref="F81:Q81" si="2">SUM(F14:F80)</f>
        <v>0</v>
      </c>
      <c r="G81" s="160">
        <f t="shared" si="2"/>
        <v>0</v>
      </c>
      <c r="H81" s="160">
        <f t="shared" si="2"/>
        <v>0</v>
      </c>
      <c r="I81" s="160">
        <f t="shared" si="2"/>
        <v>0</v>
      </c>
      <c r="J81" s="160">
        <f t="shared" si="2"/>
        <v>0</v>
      </c>
      <c r="K81" s="160">
        <f t="shared" si="2"/>
        <v>0</v>
      </c>
      <c r="L81" s="160">
        <f t="shared" si="2"/>
        <v>0</v>
      </c>
      <c r="M81" s="160">
        <f t="shared" si="2"/>
        <v>0</v>
      </c>
      <c r="N81" s="160">
        <f t="shared" si="2"/>
        <v>0</v>
      </c>
      <c r="O81" s="160">
        <f t="shared" si="2"/>
        <v>0</v>
      </c>
      <c r="P81" s="160">
        <f t="shared" si="2"/>
        <v>0</v>
      </c>
      <c r="Q81" s="160">
        <f t="shared" si="2"/>
        <v>0</v>
      </c>
    </row>
    <row r="82" spans="1:17" s="3" customFormat="1" ht="24.95" customHeight="1">
      <c r="D82" s="19" t="s">
        <v>355</v>
      </c>
      <c r="E82" s="160">
        <f>E81+E11</f>
        <v>0</v>
      </c>
      <c r="F82" s="160">
        <f t="shared" ref="F82:Q82" si="3">F81+F11</f>
        <v>0</v>
      </c>
      <c r="G82" s="160">
        <f t="shared" si="3"/>
        <v>0</v>
      </c>
      <c r="H82" s="160">
        <f t="shared" si="3"/>
        <v>0</v>
      </c>
      <c r="I82" s="160">
        <f t="shared" si="3"/>
        <v>0</v>
      </c>
      <c r="J82" s="160">
        <f t="shared" si="3"/>
        <v>0</v>
      </c>
      <c r="K82" s="160">
        <f t="shared" si="3"/>
        <v>0</v>
      </c>
      <c r="L82" s="160">
        <f t="shared" si="3"/>
        <v>0</v>
      </c>
      <c r="M82" s="160">
        <f t="shared" si="3"/>
        <v>0</v>
      </c>
      <c r="N82" s="160">
        <f t="shared" si="3"/>
        <v>0</v>
      </c>
      <c r="O82" s="160">
        <f t="shared" si="3"/>
        <v>0</v>
      </c>
      <c r="P82" s="160">
        <f t="shared" si="3"/>
        <v>0</v>
      </c>
      <c r="Q82" s="160">
        <f t="shared" si="3"/>
        <v>0</v>
      </c>
    </row>
    <row r="83" spans="1:17" s="3" customFormat="1" ht="24.95" customHeight="1"/>
    <row r="84" spans="1:17" s="3" customFormat="1" ht="24.95" hidden="1" customHeight="1">
      <c r="D84" s="19" t="s">
        <v>293</v>
      </c>
      <c r="L84" s="161"/>
    </row>
    <row r="85" spans="1:17" s="3" customFormat="1" ht="24.95" hidden="1" customHeight="1">
      <c r="D85" s="19" t="s">
        <v>294</v>
      </c>
      <c r="L85" s="161"/>
    </row>
    <row r="86" spans="1:17" s="3" customFormat="1" ht="24.95" hidden="1" customHeight="1">
      <c r="A86" s="3" t="s">
        <v>295</v>
      </c>
      <c r="B86" s="50" t="s">
        <v>374</v>
      </c>
      <c r="D86" s="3" t="s">
        <v>297</v>
      </c>
      <c r="E86" s="63">
        <v>0</v>
      </c>
      <c r="F86" s="63">
        <v>0</v>
      </c>
      <c r="G86" s="63">
        <v>0</v>
      </c>
      <c r="H86" s="63">
        <v>0</v>
      </c>
      <c r="I86" s="63">
        <v>0</v>
      </c>
      <c r="J86" s="61">
        <v>0</v>
      </c>
      <c r="K86" s="61">
        <v>0</v>
      </c>
      <c r="L86" s="61">
        <v>0</v>
      </c>
      <c r="M86" s="61">
        <v>0</v>
      </c>
      <c r="N86" s="61">
        <v>0</v>
      </c>
      <c r="O86" s="61">
        <v>0</v>
      </c>
      <c r="P86" s="61">
        <v>0</v>
      </c>
      <c r="Q86" s="61">
        <f>SUM(E86:P86)</f>
        <v>0</v>
      </c>
    </row>
    <row r="87" spans="1:17" s="3" customFormat="1" ht="24.95" hidden="1" customHeight="1">
      <c r="A87" s="50" t="s">
        <v>298</v>
      </c>
      <c r="B87" s="50" t="s">
        <v>374</v>
      </c>
      <c r="D87" s="3" t="s">
        <v>360</v>
      </c>
      <c r="E87" s="63">
        <v>0</v>
      </c>
      <c r="F87" s="63">
        <v>0</v>
      </c>
      <c r="G87" s="63">
        <v>0</v>
      </c>
      <c r="H87" s="63">
        <v>0</v>
      </c>
      <c r="I87" s="63">
        <v>0</v>
      </c>
      <c r="J87" s="61">
        <v>0</v>
      </c>
      <c r="K87" s="61">
        <v>0</v>
      </c>
      <c r="L87" s="61">
        <v>0</v>
      </c>
      <c r="M87" s="61">
        <v>0</v>
      </c>
      <c r="N87" s="61">
        <v>0</v>
      </c>
      <c r="O87" s="61">
        <v>0</v>
      </c>
      <c r="P87" s="61">
        <v>0</v>
      </c>
      <c r="Q87" s="61">
        <f>SUM(E87:P87)</f>
        <v>0</v>
      </c>
    </row>
    <row r="88" spans="1:17" s="3" customFormat="1" ht="24.95" hidden="1" customHeight="1">
      <c r="D88" s="19" t="s">
        <v>305</v>
      </c>
      <c r="E88" s="160">
        <f t="shared" ref="E88:Q88" si="4">SUM(E86:E87)</f>
        <v>0</v>
      </c>
      <c r="F88" s="160">
        <f t="shared" si="4"/>
        <v>0</v>
      </c>
      <c r="G88" s="160">
        <f t="shared" si="4"/>
        <v>0</v>
      </c>
      <c r="H88" s="160">
        <f t="shared" si="4"/>
        <v>0</v>
      </c>
      <c r="I88" s="160">
        <f t="shared" si="4"/>
        <v>0</v>
      </c>
      <c r="J88" s="160">
        <f t="shared" si="4"/>
        <v>0</v>
      </c>
      <c r="K88" s="160">
        <f t="shared" si="4"/>
        <v>0</v>
      </c>
      <c r="L88" s="160">
        <f t="shared" si="4"/>
        <v>0</v>
      </c>
      <c r="M88" s="160">
        <f t="shared" si="4"/>
        <v>0</v>
      </c>
      <c r="N88" s="160">
        <f t="shared" si="4"/>
        <v>0</v>
      </c>
      <c r="O88" s="160">
        <f t="shared" si="4"/>
        <v>0</v>
      </c>
      <c r="P88" s="160">
        <f t="shared" si="4"/>
        <v>0</v>
      </c>
      <c r="Q88" s="160">
        <f t="shared" si="4"/>
        <v>0</v>
      </c>
    </row>
    <row r="89" spans="1:17" s="3" customFormat="1" ht="24.95" hidden="1" customHeight="1">
      <c r="L89" s="161"/>
    </row>
    <row r="90" spans="1:17" s="3" customFormat="1" ht="24.95" hidden="1" customHeight="1">
      <c r="A90" s="3" t="s">
        <v>306</v>
      </c>
      <c r="B90" s="50" t="s">
        <v>374</v>
      </c>
      <c r="D90" s="26" t="s">
        <v>307</v>
      </c>
      <c r="E90" s="61">
        <v>0</v>
      </c>
      <c r="F90" s="63">
        <v>0</v>
      </c>
      <c r="G90" s="63">
        <v>0</v>
      </c>
      <c r="H90" s="63">
        <v>0</v>
      </c>
      <c r="I90" s="63">
        <v>0</v>
      </c>
      <c r="J90" s="61">
        <v>0</v>
      </c>
      <c r="K90" s="61">
        <v>0</v>
      </c>
      <c r="L90" s="61">
        <v>0</v>
      </c>
      <c r="M90" s="61">
        <v>0</v>
      </c>
      <c r="N90" s="61">
        <v>0</v>
      </c>
      <c r="O90" s="61">
        <v>0</v>
      </c>
      <c r="P90" s="61">
        <v>0</v>
      </c>
      <c r="Q90" s="61">
        <f>SUM(E90:P90)</f>
        <v>0</v>
      </c>
    </row>
    <row r="91" spans="1:17" s="3" customFormat="1" ht="24.95" hidden="1" customHeight="1">
      <c r="A91" s="3" t="s">
        <v>308</v>
      </c>
      <c r="B91" s="50" t="s">
        <v>374</v>
      </c>
      <c r="D91" s="26" t="s">
        <v>309</v>
      </c>
      <c r="E91" s="61">
        <v>0</v>
      </c>
      <c r="F91" s="63">
        <v>0</v>
      </c>
      <c r="G91" s="63">
        <v>0</v>
      </c>
      <c r="H91" s="63">
        <v>0</v>
      </c>
      <c r="I91" s="63">
        <v>0</v>
      </c>
      <c r="J91" s="61">
        <v>0</v>
      </c>
      <c r="K91" s="61">
        <v>0</v>
      </c>
      <c r="L91" s="61">
        <v>0</v>
      </c>
      <c r="M91" s="61">
        <v>0</v>
      </c>
      <c r="N91" s="61">
        <v>0</v>
      </c>
      <c r="O91" s="61">
        <v>0</v>
      </c>
      <c r="P91" s="61">
        <v>0</v>
      </c>
      <c r="Q91" s="61">
        <f>SUM(E91:P91)</f>
        <v>0</v>
      </c>
    </row>
    <row r="92" spans="1:17" s="3" customFormat="1" ht="24.95" hidden="1" customHeight="1">
      <c r="A92" s="3" t="s">
        <v>310</v>
      </c>
      <c r="B92" s="50" t="s">
        <v>374</v>
      </c>
      <c r="D92" s="26" t="s">
        <v>311</v>
      </c>
      <c r="E92" s="61">
        <v>0</v>
      </c>
      <c r="F92" s="63">
        <v>0</v>
      </c>
      <c r="G92" s="63">
        <v>0</v>
      </c>
      <c r="H92" s="63">
        <v>0</v>
      </c>
      <c r="I92" s="63">
        <v>0</v>
      </c>
      <c r="J92" s="61">
        <v>0</v>
      </c>
      <c r="K92" s="61">
        <v>0</v>
      </c>
      <c r="L92" s="61">
        <v>0</v>
      </c>
      <c r="M92" s="61">
        <v>0</v>
      </c>
      <c r="N92" s="61">
        <v>0</v>
      </c>
      <c r="O92" s="61">
        <v>0</v>
      </c>
      <c r="P92" s="61">
        <v>0</v>
      </c>
      <c r="Q92" s="61">
        <f>SUM(E92:P92)</f>
        <v>0</v>
      </c>
    </row>
    <row r="93" spans="1:17" s="3" customFormat="1" ht="24.95" hidden="1" customHeight="1">
      <c r="A93" s="3" t="s">
        <v>312</v>
      </c>
      <c r="B93" s="50" t="s">
        <v>374</v>
      </c>
      <c r="D93" s="26" t="s">
        <v>313</v>
      </c>
      <c r="E93" s="61">
        <v>0</v>
      </c>
      <c r="F93" s="63">
        <v>0</v>
      </c>
      <c r="G93" s="63">
        <v>0</v>
      </c>
      <c r="H93" s="63">
        <v>0</v>
      </c>
      <c r="I93" s="63">
        <v>0</v>
      </c>
      <c r="J93" s="61">
        <v>0</v>
      </c>
      <c r="K93" s="61">
        <v>0</v>
      </c>
      <c r="L93" s="61">
        <v>0</v>
      </c>
      <c r="M93" s="61">
        <v>0</v>
      </c>
      <c r="N93" s="61">
        <v>0</v>
      </c>
      <c r="O93" s="61">
        <v>0</v>
      </c>
      <c r="P93" s="61">
        <v>0</v>
      </c>
      <c r="Q93" s="61">
        <f>SUM(E93:P93)</f>
        <v>0</v>
      </c>
    </row>
    <row r="94" spans="1:17" s="3" customFormat="1" ht="24.95" hidden="1" customHeight="1">
      <c r="A94" s="3" t="s">
        <v>314</v>
      </c>
      <c r="B94" s="50" t="s">
        <v>374</v>
      </c>
      <c r="D94" s="26" t="s">
        <v>315</v>
      </c>
      <c r="E94" s="61">
        <v>0</v>
      </c>
      <c r="F94" s="63">
        <v>0</v>
      </c>
      <c r="G94" s="63">
        <v>0</v>
      </c>
      <c r="H94" s="63">
        <v>0</v>
      </c>
      <c r="I94" s="63">
        <v>0</v>
      </c>
      <c r="J94" s="61">
        <v>0</v>
      </c>
      <c r="K94" s="61">
        <v>0</v>
      </c>
      <c r="L94" s="61">
        <v>0</v>
      </c>
      <c r="M94" s="61">
        <v>0</v>
      </c>
      <c r="N94" s="61">
        <v>0</v>
      </c>
      <c r="O94" s="61">
        <v>0</v>
      </c>
      <c r="P94" s="61">
        <v>0</v>
      </c>
      <c r="Q94" s="61">
        <f>SUM(E94:P94)</f>
        <v>0</v>
      </c>
    </row>
    <row r="95" spans="1:17" s="3" customFormat="1" ht="24.95" hidden="1" customHeight="1">
      <c r="D95" s="19" t="s">
        <v>316</v>
      </c>
      <c r="E95" s="160">
        <f>SUM(E90:E94)</f>
        <v>0</v>
      </c>
      <c r="F95" s="160">
        <f t="shared" ref="F95:Q95" si="5">SUM(F90:F94)</f>
        <v>0</v>
      </c>
      <c r="G95" s="160">
        <f t="shared" si="5"/>
        <v>0</v>
      </c>
      <c r="H95" s="160">
        <f t="shared" si="5"/>
        <v>0</v>
      </c>
      <c r="I95" s="160">
        <f t="shared" si="5"/>
        <v>0</v>
      </c>
      <c r="J95" s="160">
        <f t="shared" si="5"/>
        <v>0</v>
      </c>
      <c r="K95" s="160">
        <f t="shared" si="5"/>
        <v>0</v>
      </c>
      <c r="L95" s="160">
        <f t="shared" si="5"/>
        <v>0</v>
      </c>
      <c r="M95" s="160">
        <f t="shared" si="5"/>
        <v>0</v>
      </c>
      <c r="N95" s="160">
        <f t="shared" si="5"/>
        <v>0</v>
      </c>
      <c r="O95" s="160">
        <f t="shared" si="5"/>
        <v>0</v>
      </c>
      <c r="P95" s="160">
        <f t="shared" si="5"/>
        <v>0</v>
      </c>
      <c r="Q95" s="160">
        <f t="shared" si="5"/>
        <v>0</v>
      </c>
    </row>
    <row r="96" spans="1:17" s="3" customFormat="1" ht="24.95" hidden="1" customHeight="1">
      <c r="L96" s="161"/>
    </row>
    <row r="97" spans="1:17" s="3" customFormat="1" ht="24.95" hidden="1" customHeight="1">
      <c r="A97" s="3" t="s">
        <v>317</v>
      </c>
      <c r="B97" s="50" t="s">
        <v>374</v>
      </c>
      <c r="D97" s="26" t="s">
        <v>318</v>
      </c>
      <c r="E97" s="61">
        <v>0</v>
      </c>
      <c r="F97" s="63">
        <v>0</v>
      </c>
      <c r="G97" s="63">
        <v>0</v>
      </c>
      <c r="H97" s="63">
        <v>0</v>
      </c>
      <c r="I97" s="63">
        <v>0</v>
      </c>
      <c r="J97" s="61">
        <v>0</v>
      </c>
      <c r="K97" s="61">
        <v>0</v>
      </c>
      <c r="L97" s="61">
        <v>0</v>
      </c>
      <c r="M97" s="61">
        <v>0</v>
      </c>
      <c r="N97" s="61">
        <v>0</v>
      </c>
      <c r="O97" s="61">
        <v>0</v>
      </c>
      <c r="P97" s="61">
        <v>0</v>
      </c>
      <c r="Q97" s="61">
        <f t="shared" ref="Q97:Q104" si="6">SUM(E97:P97)</f>
        <v>0</v>
      </c>
    </row>
    <row r="98" spans="1:17" s="3" customFormat="1" ht="24.95" hidden="1" customHeight="1">
      <c r="A98" s="3" t="s">
        <v>319</v>
      </c>
      <c r="B98" s="50" t="s">
        <v>374</v>
      </c>
      <c r="D98" s="26" t="s">
        <v>320</v>
      </c>
      <c r="E98" s="61">
        <v>0</v>
      </c>
      <c r="F98" s="63">
        <v>0</v>
      </c>
      <c r="G98" s="63">
        <v>0</v>
      </c>
      <c r="H98" s="63">
        <v>0</v>
      </c>
      <c r="I98" s="63">
        <v>0</v>
      </c>
      <c r="J98" s="61">
        <v>0</v>
      </c>
      <c r="K98" s="61">
        <v>0</v>
      </c>
      <c r="L98" s="61">
        <v>0</v>
      </c>
      <c r="M98" s="61">
        <v>0</v>
      </c>
      <c r="N98" s="61">
        <v>0</v>
      </c>
      <c r="O98" s="61">
        <v>0</v>
      </c>
      <c r="P98" s="61">
        <v>0</v>
      </c>
      <c r="Q98" s="61">
        <f t="shared" si="6"/>
        <v>0</v>
      </c>
    </row>
    <row r="99" spans="1:17" s="3" customFormat="1" ht="24.95" hidden="1" customHeight="1">
      <c r="A99" s="3" t="s">
        <v>321</v>
      </c>
      <c r="B99" s="50" t="s">
        <v>374</v>
      </c>
      <c r="D99" s="26" t="s">
        <v>322</v>
      </c>
      <c r="E99" s="61">
        <v>0</v>
      </c>
      <c r="F99" s="63">
        <v>0</v>
      </c>
      <c r="G99" s="63">
        <v>0</v>
      </c>
      <c r="H99" s="63">
        <v>0</v>
      </c>
      <c r="I99" s="63">
        <v>0</v>
      </c>
      <c r="J99" s="61">
        <v>0</v>
      </c>
      <c r="K99" s="61">
        <v>0</v>
      </c>
      <c r="L99" s="61">
        <v>0</v>
      </c>
      <c r="M99" s="61">
        <v>0</v>
      </c>
      <c r="N99" s="61">
        <v>0</v>
      </c>
      <c r="O99" s="61">
        <v>0</v>
      </c>
      <c r="P99" s="61">
        <v>0</v>
      </c>
      <c r="Q99" s="61">
        <f t="shared" si="6"/>
        <v>0</v>
      </c>
    </row>
    <row r="100" spans="1:17" s="3" customFormat="1" ht="24.95" hidden="1" customHeight="1">
      <c r="A100" s="3" t="s">
        <v>323</v>
      </c>
      <c r="B100" s="50" t="s">
        <v>374</v>
      </c>
      <c r="D100" s="26" t="s">
        <v>324</v>
      </c>
      <c r="E100" s="61">
        <v>0</v>
      </c>
      <c r="F100" s="63">
        <v>0</v>
      </c>
      <c r="G100" s="63">
        <v>0</v>
      </c>
      <c r="H100" s="63">
        <v>0</v>
      </c>
      <c r="I100" s="63">
        <v>0</v>
      </c>
      <c r="J100" s="61">
        <v>0</v>
      </c>
      <c r="K100" s="61">
        <v>0</v>
      </c>
      <c r="L100" s="61">
        <v>0</v>
      </c>
      <c r="M100" s="61">
        <v>0</v>
      </c>
      <c r="N100" s="61">
        <v>0</v>
      </c>
      <c r="O100" s="61">
        <v>0</v>
      </c>
      <c r="P100" s="61">
        <v>0</v>
      </c>
      <c r="Q100" s="61">
        <f t="shared" si="6"/>
        <v>0</v>
      </c>
    </row>
    <row r="101" spans="1:17" s="3" customFormat="1" ht="24.95" hidden="1" customHeight="1">
      <c r="A101" s="3" t="s">
        <v>325</v>
      </c>
      <c r="B101" s="50" t="s">
        <v>374</v>
      </c>
      <c r="D101" s="26" t="s">
        <v>326</v>
      </c>
      <c r="E101" s="61">
        <v>0</v>
      </c>
      <c r="F101" s="63">
        <v>0</v>
      </c>
      <c r="G101" s="63">
        <v>0</v>
      </c>
      <c r="H101" s="63">
        <v>0</v>
      </c>
      <c r="I101" s="63">
        <v>0</v>
      </c>
      <c r="J101" s="61">
        <v>0</v>
      </c>
      <c r="K101" s="61">
        <v>0</v>
      </c>
      <c r="L101" s="61">
        <v>0</v>
      </c>
      <c r="M101" s="61">
        <v>0</v>
      </c>
      <c r="N101" s="61">
        <v>0</v>
      </c>
      <c r="O101" s="61">
        <v>0</v>
      </c>
      <c r="P101" s="61">
        <v>0</v>
      </c>
      <c r="Q101" s="61">
        <f t="shared" si="6"/>
        <v>0</v>
      </c>
    </row>
    <row r="102" spans="1:17" s="3" customFormat="1" ht="24.95" hidden="1" customHeight="1">
      <c r="A102" s="3" t="s">
        <v>327</v>
      </c>
      <c r="B102" s="50" t="s">
        <v>374</v>
      </c>
      <c r="D102" s="26" t="s">
        <v>328</v>
      </c>
      <c r="E102" s="61">
        <v>0</v>
      </c>
      <c r="F102" s="63">
        <v>0</v>
      </c>
      <c r="G102" s="63">
        <v>0</v>
      </c>
      <c r="H102" s="63">
        <v>0</v>
      </c>
      <c r="I102" s="63">
        <v>0</v>
      </c>
      <c r="J102" s="61">
        <v>0</v>
      </c>
      <c r="K102" s="61">
        <v>0</v>
      </c>
      <c r="L102" s="61">
        <v>0</v>
      </c>
      <c r="M102" s="61">
        <v>0</v>
      </c>
      <c r="N102" s="61">
        <v>0</v>
      </c>
      <c r="O102" s="61">
        <v>0</v>
      </c>
      <c r="P102" s="61">
        <v>0</v>
      </c>
      <c r="Q102" s="61">
        <f t="shared" si="6"/>
        <v>0</v>
      </c>
    </row>
    <row r="103" spans="1:17" s="3" customFormat="1" ht="24.95" hidden="1" customHeight="1">
      <c r="A103" s="3" t="s">
        <v>329</v>
      </c>
      <c r="B103" s="50" t="s">
        <v>374</v>
      </c>
      <c r="D103" s="26" t="s">
        <v>330</v>
      </c>
      <c r="E103" s="61">
        <v>0</v>
      </c>
      <c r="F103" s="63">
        <v>0</v>
      </c>
      <c r="G103" s="63">
        <v>0</v>
      </c>
      <c r="H103" s="63">
        <v>0</v>
      </c>
      <c r="I103" s="63">
        <v>0</v>
      </c>
      <c r="J103" s="61">
        <v>0</v>
      </c>
      <c r="K103" s="61">
        <v>0</v>
      </c>
      <c r="L103" s="61">
        <v>0</v>
      </c>
      <c r="M103" s="61">
        <v>0</v>
      </c>
      <c r="N103" s="61">
        <v>0</v>
      </c>
      <c r="O103" s="61">
        <v>0</v>
      </c>
      <c r="P103" s="61">
        <v>0</v>
      </c>
      <c r="Q103" s="61">
        <f t="shared" si="6"/>
        <v>0</v>
      </c>
    </row>
    <row r="104" spans="1:17" s="3" customFormat="1" ht="24.95" hidden="1" customHeight="1">
      <c r="A104" s="3" t="s">
        <v>331</v>
      </c>
      <c r="B104" s="50" t="s">
        <v>374</v>
      </c>
      <c r="D104" s="26" t="s">
        <v>332</v>
      </c>
      <c r="E104" s="61">
        <v>0</v>
      </c>
      <c r="F104" s="63">
        <v>0</v>
      </c>
      <c r="G104" s="63">
        <v>0</v>
      </c>
      <c r="H104" s="63">
        <v>0</v>
      </c>
      <c r="I104" s="63">
        <v>0</v>
      </c>
      <c r="J104" s="61">
        <v>0</v>
      </c>
      <c r="K104" s="61">
        <v>0</v>
      </c>
      <c r="L104" s="61">
        <v>0</v>
      </c>
      <c r="M104" s="61">
        <v>0</v>
      </c>
      <c r="N104" s="61">
        <v>0</v>
      </c>
      <c r="O104" s="61">
        <v>0</v>
      </c>
      <c r="P104" s="61">
        <v>0</v>
      </c>
      <c r="Q104" s="61">
        <f t="shared" si="6"/>
        <v>0</v>
      </c>
    </row>
    <row r="105" spans="1:17" s="3" customFormat="1" ht="24.95" hidden="1" customHeight="1">
      <c r="D105" s="19" t="s">
        <v>333</v>
      </c>
      <c r="E105" s="160">
        <f>SUM(E97:E104)</f>
        <v>0</v>
      </c>
      <c r="F105" s="160">
        <f t="shared" ref="F105:Q105" si="7">SUM(F97:F104)</f>
        <v>0</v>
      </c>
      <c r="G105" s="160">
        <f t="shared" si="7"/>
        <v>0</v>
      </c>
      <c r="H105" s="160">
        <f t="shared" si="7"/>
        <v>0</v>
      </c>
      <c r="I105" s="160">
        <f t="shared" si="7"/>
        <v>0</v>
      </c>
      <c r="J105" s="160">
        <f t="shared" si="7"/>
        <v>0</v>
      </c>
      <c r="K105" s="160">
        <f t="shared" si="7"/>
        <v>0</v>
      </c>
      <c r="L105" s="160">
        <f t="shared" si="7"/>
        <v>0</v>
      </c>
      <c r="M105" s="160">
        <f t="shared" si="7"/>
        <v>0</v>
      </c>
      <c r="N105" s="160">
        <f t="shared" si="7"/>
        <v>0</v>
      </c>
      <c r="O105" s="160">
        <f t="shared" si="7"/>
        <v>0</v>
      </c>
      <c r="P105" s="160">
        <f t="shared" si="7"/>
        <v>0</v>
      </c>
      <c r="Q105" s="160">
        <f t="shared" si="7"/>
        <v>0</v>
      </c>
    </row>
    <row r="106" spans="1:17" s="3" customFormat="1" ht="24.95" hidden="1" customHeight="1">
      <c r="L106" s="161"/>
    </row>
    <row r="107" spans="1:17" s="3" customFormat="1" ht="24.95" hidden="1" customHeight="1">
      <c r="A107" s="3" t="s">
        <v>334</v>
      </c>
      <c r="B107" s="50" t="s">
        <v>374</v>
      </c>
      <c r="D107" s="26" t="s">
        <v>335</v>
      </c>
      <c r="E107" s="61">
        <v>0</v>
      </c>
      <c r="F107" s="63">
        <v>0</v>
      </c>
      <c r="G107" s="63">
        <v>0</v>
      </c>
      <c r="H107" s="63">
        <v>0</v>
      </c>
      <c r="I107" s="63">
        <v>0</v>
      </c>
      <c r="J107" s="61">
        <v>0</v>
      </c>
      <c r="K107" s="61">
        <v>0</v>
      </c>
      <c r="L107" s="61">
        <v>0</v>
      </c>
      <c r="M107" s="61">
        <v>0</v>
      </c>
      <c r="N107" s="61">
        <v>0</v>
      </c>
      <c r="O107" s="61">
        <v>0</v>
      </c>
      <c r="P107" s="61">
        <v>0</v>
      </c>
      <c r="Q107" s="61">
        <f t="shared" ref="Q107:Q113" si="8">SUM(E107:P107)</f>
        <v>0</v>
      </c>
    </row>
    <row r="108" spans="1:17" s="3" customFormat="1" ht="24.95" hidden="1" customHeight="1">
      <c r="A108" s="3" t="s">
        <v>336</v>
      </c>
      <c r="B108" s="50" t="s">
        <v>374</v>
      </c>
      <c r="D108" s="3" t="s">
        <v>337</v>
      </c>
      <c r="E108" s="61">
        <v>0</v>
      </c>
      <c r="F108" s="63">
        <v>0</v>
      </c>
      <c r="G108" s="63">
        <v>0</v>
      </c>
      <c r="H108" s="63">
        <v>0</v>
      </c>
      <c r="I108" s="63">
        <v>0</v>
      </c>
      <c r="J108" s="61">
        <v>0</v>
      </c>
      <c r="K108" s="61">
        <v>0</v>
      </c>
      <c r="L108" s="61">
        <v>0</v>
      </c>
      <c r="M108" s="61">
        <v>0</v>
      </c>
      <c r="N108" s="61">
        <v>0</v>
      </c>
      <c r="O108" s="61">
        <v>0</v>
      </c>
      <c r="P108" s="61">
        <v>0</v>
      </c>
      <c r="Q108" s="61">
        <f t="shared" si="8"/>
        <v>0</v>
      </c>
    </row>
    <row r="109" spans="1:17" s="3" customFormat="1" ht="24.95" hidden="1" customHeight="1">
      <c r="A109" s="3" t="s">
        <v>338</v>
      </c>
      <c r="B109" s="50" t="s">
        <v>374</v>
      </c>
      <c r="D109" s="26" t="s">
        <v>339</v>
      </c>
      <c r="E109" s="61">
        <v>0</v>
      </c>
      <c r="F109" s="63">
        <v>0</v>
      </c>
      <c r="G109" s="63">
        <v>0</v>
      </c>
      <c r="H109" s="63">
        <v>0</v>
      </c>
      <c r="I109" s="63">
        <v>0</v>
      </c>
      <c r="J109" s="61">
        <v>0</v>
      </c>
      <c r="K109" s="61">
        <v>0</v>
      </c>
      <c r="L109" s="61">
        <v>0</v>
      </c>
      <c r="M109" s="61">
        <v>0</v>
      </c>
      <c r="N109" s="61">
        <v>0</v>
      </c>
      <c r="O109" s="61">
        <v>0</v>
      </c>
      <c r="P109" s="61">
        <v>0</v>
      </c>
      <c r="Q109" s="61">
        <f t="shared" si="8"/>
        <v>0</v>
      </c>
    </row>
    <row r="110" spans="1:17" s="3" customFormat="1" ht="24.95" hidden="1" customHeight="1">
      <c r="A110" s="3" t="s">
        <v>340</v>
      </c>
      <c r="B110" s="50" t="s">
        <v>374</v>
      </c>
      <c r="D110" s="26" t="s">
        <v>341</v>
      </c>
      <c r="E110" s="61">
        <v>0</v>
      </c>
      <c r="F110" s="63">
        <v>0</v>
      </c>
      <c r="G110" s="63">
        <v>0</v>
      </c>
      <c r="H110" s="63">
        <v>0</v>
      </c>
      <c r="I110" s="63">
        <v>0</v>
      </c>
      <c r="J110" s="61">
        <v>0</v>
      </c>
      <c r="K110" s="61">
        <v>0</v>
      </c>
      <c r="L110" s="61">
        <v>0</v>
      </c>
      <c r="M110" s="61">
        <v>0</v>
      </c>
      <c r="N110" s="61">
        <v>0</v>
      </c>
      <c r="O110" s="61">
        <v>0</v>
      </c>
      <c r="P110" s="61">
        <v>0</v>
      </c>
      <c r="Q110" s="61">
        <f t="shared" si="8"/>
        <v>0</v>
      </c>
    </row>
    <row r="111" spans="1:17" s="3" customFormat="1" ht="24.95" hidden="1" customHeight="1">
      <c r="A111" s="3" t="s">
        <v>342</v>
      </c>
      <c r="B111" s="50" t="s">
        <v>374</v>
      </c>
      <c r="D111" s="26" t="s">
        <v>343</v>
      </c>
      <c r="E111" s="61">
        <v>0</v>
      </c>
      <c r="F111" s="63">
        <v>0</v>
      </c>
      <c r="G111" s="63">
        <v>0</v>
      </c>
      <c r="H111" s="63">
        <v>0</v>
      </c>
      <c r="I111" s="63">
        <v>0</v>
      </c>
      <c r="J111" s="61">
        <v>0</v>
      </c>
      <c r="K111" s="61">
        <v>0</v>
      </c>
      <c r="L111" s="61">
        <v>0</v>
      </c>
      <c r="M111" s="61">
        <v>0</v>
      </c>
      <c r="N111" s="61">
        <v>0</v>
      </c>
      <c r="O111" s="61">
        <v>0</v>
      </c>
      <c r="P111" s="61">
        <v>0</v>
      </c>
      <c r="Q111" s="61">
        <f t="shared" si="8"/>
        <v>0</v>
      </c>
    </row>
    <row r="112" spans="1:17" s="3" customFormat="1" ht="24.95" hidden="1" customHeight="1">
      <c r="A112" s="3" t="s">
        <v>344</v>
      </c>
      <c r="B112" s="50" t="s">
        <v>374</v>
      </c>
      <c r="D112" s="26" t="s">
        <v>345</v>
      </c>
      <c r="E112" s="61">
        <v>0</v>
      </c>
      <c r="F112" s="63">
        <v>0</v>
      </c>
      <c r="G112" s="63">
        <v>0</v>
      </c>
      <c r="H112" s="63">
        <v>0</v>
      </c>
      <c r="I112" s="63">
        <v>0</v>
      </c>
      <c r="J112" s="61">
        <v>0</v>
      </c>
      <c r="K112" s="61">
        <v>0</v>
      </c>
      <c r="L112" s="61">
        <v>0</v>
      </c>
      <c r="M112" s="61">
        <v>0</v>
      </c>
      <c r="N112" s="61">
        <v>0</v>
      </c>
      <c r="O112" s="61">
        <v>0</v>
      </c>
      <c r="P112" s="61">
        <v>0</v>
      </c>
      <c r="Q112" s="61">
        <f t="shared" si="8"/>
        <v>0</v>
      </c>
    </row>
    <row r="113" spans="1:17" s="3" customFormat="1" ht="24.95" hidden="1" customHeight="1">
      <c r="A113" s="3" t="s">
        <v>346</v>
      </c>
      <c r="B113" s="50" t="s">
        <v>374</v>
      </c>
      <c r="D113" s="26" t="s">
        <v>347</v>
      </c>
      <c r="E113" s="61">
        <v>0</v>
      </c>
      <c r="F113" s="63">
        <v>0</v>
      </c>
      <c r="G113" s="63">
        <v>0</v>
      </c>
      <c r="H113" s="63">
        <v>0</v>
      </c>
      <c r="I113" s="63">
        <v>0</v>
      </c>
      <c r="J113" s="61">
        <v>0</v>
      </c>
      <c r="K113" s="61">
        <v>0</v>
      </c>
      <c r="L113" s="61">
        <v>0</v>
      </c>
      <c r="M113" s="61">
        <v>0</v>
      </c>
      <c r="N113" s="61">
        <v>0</v>
      </c>
      <c r="O113" s="61">
        <v>0</v>
      </c>
      <c r="P113" s="61">
        <v>0</v>
      </c>
      <c r="Q113" s="61">
        <f t="shared" si="8"/>
        <v>0</v>
      </c>
    </row>
    <row r="114" spans="1:17" s="3" customFormat="1" ht="24.95" hidden="1" customHeight="1">
      <c r="B114" s="50"/>
      <c r="D114" s="19" t="s">
        <v>348</v>
      </c>
      <c r="E114" s="160">
        <f>SUM(E107:E113)</f>
        <v>0</v>
      </c>
      <c r="F114" s="160">
        <f t="shared" ref="F114:Q114" si="9">SUM(F107:F113)</f>
        <v>0</v>
      </c>
      <c r="G114" s="160">
        <f t="shared" si="9"/>
        <v>0</v>
      </c>
      <c r="H114" s="160">
        <f t="shared" si="9"/>
        <v>0</v>
      </c>
      <c r="I114" s="160">
        <f t="shared" si="9"/>
        <v>0</v>
      </c>
      <c r="J114" s="160">
        <f t="shared" si="9"/>
        <v>0</v>
      </c>
      <c r="K114" s="160">
        <f t="shared" si="9"/>
        <v>0</v>
      </c>
      <c r="L114" s="160">
        <f t="shared" si="9"/>
        <v>0</v>
      </c>
      <c r="M114" s="160">
        <f t="shared" si="9"/>
        <v>0</v>
      </c>
      <c r="N114" s="160">
        <f t="shared" si="9"/>
        <v>0</v>
      </c>
      <c r="O114" s="160">
        <f t="shared" si="9"/>
        <v>0</v>
      </c>
      <c r="P114" s="160">
        <f t="shared" si="9"/>
        <v>0</v>
      </c>
      <c r="Q114" s="160">
        <f t="shared" si="9"/>
        <v>0</v>
      </c>
    </row>
    <row r="115" spans="1:17" s="3" customFormat="1" ht="24.95" hidden="1" customHeight="1">
      <c r="D115" s="19" t="s">
        <v>349</v>
      </c>
      <c r="E115" s="160">
        <f>E88+E95+E105+E114</f>
        <v>0</v>
      </c>
      <c r="F115" s="160">
        <f t="shared" ref="F115:Q115" si="10">F88+F95+F105+F114</f>
        <v>0</v>
      </c>
      <c r="G115" s="160">
        <f t="shared" si="10"/>
        <v>0</v>
      </c>
      <c r="H115" s="160">
        <f t="shared" si="10"/>
        <v>0</v>
      </c>
      <c r="I115" s="160">
        <f t="shared" si="10"/>
        <v>0</v>
      </c>
      <c r="J115" s="160">
        <f t="shared" si="10"/>
        <v>0</v>
      </c>
      <c r="K115" s="160">
        <f t="shared" si="10"/>
        <v>0</v>
      </c>
      <c r="L115" s="160">
        <f t="shared" si="10"/>
        <v>0</v>
      </c>
      <c r="M115" s="160">
        <f t="shared" si="10"/>
        <v>0</v>
      </c>
      <c r="N115" s="160">
        <f t="shared" si="10"/>
        <v>0</v>
      </c>
      <c r="O115" s="160">
        <f t="shared" si="10"/>
        <v>0</v>
      </c>
      <c r="P115" s="160">
        <f t="shared" si="10"/>
        <v>0</v>
      </c>
      <c r="Q115" s="160">
        <f t="shared" si="10"/>
        <v>0</v>
      </c>
    </row>
    <row r="116" spans="1:17" s="183" customFormat="1" ht="24.95" hidden="1" customHeight="1">
      <c r="A116" s="183" t="s">
        <v>350</v>
      </c>
      <c r="D116" s="183" t="s">
        <v>351</v>
      </c>
      <c r="L116" s="161"/>
    </row>
    <row r="117" spans="1:17" s="183" customFormat="1" ht="24.95" hidden="1" customHeight="1">
      <c r="L117" s="161"/>
    </row>
    <row r="118" spans="1:17" s="3" customFormat="1" ht="24.95" hidden="1" customHeight="1">
      <c r="A118" s="189" t="s">
        <v>105</v>
      </c>
      <c r="B118" s="50" t="s">
        <v>374</v>
      </c>
      <c r="D118" s="19" t="s">
        <v>352</v>
      </c>
      <c r="E118" s="68">
        <v>0</v>
      </c>
      <c r="F118" s="68">
        <v>0</v>
      </c>
      <c r="G118" s="68">
        <v>0</v>
      </c>
      <c r="H118" s="79">
        <v>0</v>
      </c>
      <c r="I118" s="79">
        <v>0</v>
      </c>
      <c r="J118" s="68">
        <v>0</v>
      </c>
      <c r="K118" s="68">
        <v>0</v>
      </c>
      <c r="L118" s="68">
        <v>0</v>
      </c>
      <c r="M118" s="68">
        <v>0</v>
      </c>
      <c r="N118" s="68">
        <v>0</v>
      </c>
      <c r="O118" s="68">
        <v>0</v>
      </c>
      <c r="P118" s="68">
        <v>0</v>
      </c>
      <c r="Q118" s="141">
        <f>SUM(E118:P118)/12</f>
        <v>0</v>
      </c>
    </row>
    <row r="120" spans="1:17" ht="26.25" customHeight="1">
      <c r="D120" s="59"/>
    </row>
  </sheetData>
  <phoneticPr fontId="57" type="noConversion"/>
  <dataValidations count="48">
    <dataValidation type="textLength" errorStyle="information" allowBlank="1" showInputMessage="1" showErrorMessage="1" error="XLBVal:6=2544_x000d__x000a_" sqref="Q118">
      <formula1>0</formula1>
      <formula2>300</formula2>
    </dataValidation>
    <dataValidation type="textLength" errorStyle="information" allowBlank="1" showInputMessage="1" showErrorMessage="1" sqref="E83:P83 H89:I89 H96:I96 H106:I106 E84:I85 E116:I117">
      <formula1>0</formula1>
      <formula2>300</formula2>
    </dataValidation>
    <dataValidation type="textLength" errorStyle="information" allowBlank="1" showInputMessage="1" showErrorMessage="1" error="XLBVal:6=3293096_x000d__x000a_" sqref="Q21">
      <formula1>0</formula1>
      <formula2>300</formula2>
    </dataValidation>
    <dataValidation type="textLength" errorStyle="information" allowBlank="1" showInputMessage="1" showErrorMessage="1" error="XLBVal:6=258096_x000d__x000a_" sqref="Q111">
      <formula1>0</formula1>
      <formula2>300</formula2>
    </dataValidation>
    <dataValidation type="textLength" errorStyle="information" allowBlank="1" showInputMessage="1" showErrorMessage="1" error="XLBVal:6=1439748_x000d__x000a_" sqref="Q97">
      <formula1>0</formula1>
      <formula2>300</formula2>
    </dataValidation>
    <dataValidation type="textLength" errorStyle="information" allowBlank="1" showInputMessage="1" showErrorMessage="1" error="XLBVal:6=265776_x000d__x000a_" sqref="Q80">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877776_x000d__x000a_" sqref="Q112">
      <formula1>0</formula1>
      <formula2>300</formula2>
    </dataValidation>
    <dataValidation type="textLength" errorStyle="information" allowBlank="1" showInputMessage="1" showErrorMessage="1" error="XLBVal:2=0_x000d__x000a_" sqref="E11 G11:P11 G14 N14 N15 K16 G17 H17 H18 L18 O18 E20 M20 F21 G21 N21 P21 G22 I22 J22 N22 P22 G23 H23:L23 M23 N23:Q23 H24 J24 M24 H25 L26 L27 F28 H28 L28 M28 F29 H29 N29 F30 H30 P30 I31 M31 M32 J33 O33 P33 G34 J34 L36 H37 G38 M38 N38 G39 K39 M39 N39 O39 M40 G42 L42 N42 E43 I43 L43 I44 L44 I45 L45 O45 F46 H46 M46 F47 M47 F48 G48 M48 M49 N50 O50 P50 M52 F53 M53 N53 J54 O55 K56 M56 O56 E57 G57 O57 P57 I58 J58 J59 J60 M60 O60 J61 L61 M61 J62 M62 M63 K66 E67 P68 L69 E70 Q70 F71 H71 N71 G72 N72 O72 Q72 E73 K73 L73 N73 P73 E74 E75 I75 M75 E78 H78 M78 H79 L79 N79 G80 N80 E81:Q81 E86:I86 J86 K86 L86 M86:Q86 E87:H87 I87 J87:P87 G90 H90 J90 P90 G91 H91 J91 G92 Q92 M94 P94 F97 I97 N97 O97 I98 N98 O98 I99 M99 N99 I100 N100 P100 F101 G101 K101 N101 E102 K102 K103 O103 K104 N104 O104 P104 Q104 E107 L107 N107 E108 N108 H110 M110 H111 H112 I112 H113 I113 L113 N113 E118:P118 E14:E19 E21:E42 E44:E56 E58:E66 E68:E69 E71:E72 E76:E77 E79:E80 E97:E101 E103:E104 E109:E113 F11:F20 F22:F27 F31:F45 F49:F52 F54:F70 F72:F80 F98:F100 F102:F104 G15:G16 G18:G20 G24:G33 G35:G37 G40:G41 G43:G45 G46:G47 G49:G56 G58:G71 G73:G79 G93:G94 G97:G100 G102:G104 H14:H16 H19:H22 H26:H27 H31:H36 H38:H45 H47:H70 H72:H77 H92:H94 H97:H104 H107:H109 I14:I21 I24:I30 I32:I42 I48:I57 I59:I74 I76:I79 I90:I94 I101:I104 I107:I111 J14:J21 J25:J32 J35:J45 J48:J53 J55:J57 J63:J79 J92:J94 J97:J104 K14:K15 K17:K22 K24:K38 K40:K45 K48:K55 K57:K65 K67:K72 K74:K79 K97:K100 L14:L17 L19:L22 L24:L25 L29:L35 L37:L41 L48:L60 L62:L68 L70:L72 L74:L78 L97:L104 L108:L112 M14:M19 M21:M22 M25:M27 M29:M30 M33:M37 M41:M45 M50:M51 M54:M55 M57:M59 M64:M74 M76:M77 M79:M80 M90:M93 M97:M98 M100:M104 M107:M109 M111:M113 N16:N20 N24:N28 N30:N37 N40:N41 N43:N49 N51:N52 N54:N70 N74:N78 N102:N103 N109:N112 O14:O17 O19:O22 O24:O32 O34:O38 O40:O44 O46:O49 O51:O54 O58:O59 O61:O71 O73:O80 O99:O102 P14:P20 P24:P29 P31:P32 P34:P49 P51:P56 P58:P67 P69:P72 P74:P80 P91:P93 P97:P99 P101:P103 Q15:Q20 Q26:Q27 Q31:Q32 Q35:Q36 Q38:Q41 Q43:Q48 Q50:Q67 Q74:Q79 Q107:Q110 E90:F94 K90:L94 O107:P113 N90:O94 F107:G113 J107:K113 I46:L47">
      <formula1>0</formula1>
      <formula2>300</formula2>
    </dataValidation>
    <dataValidation type="textLength" errorStyle="information" allowBlank="1" showInputMessage="1" showErrorMessage="1" error="XLBVal:6=18155331_x000d__x000a_" sqref="Q11">
      <formula1>0</formula1>
      <formula2>300</formula2>
    </dataValidation>
    <dataValidation type="textLength" errorStyle="information" allowBlank="1" showInputMessage="1" showErrorMessage="1" error="XLBVal:6=38000_x000d__x000a_" sqref="Q25">
      <formula1>0</formula1>
      <formula2>300</formula2>
    </dataValidation>
    <dataValidation type="textLength" errorStyle="information" allowBlank="1" showInputMessage="1" showErrorMessage="1" error="XLBVal:6=10508400_x000d__x000a_" sqref="Q14">
      <formula1>0</formula1>
      <formula2>300</formula2>
    </dataValidation>
    <dataValidation type="textLength" errorStyle="information" allowBlank="1" showInputMessage="1" showErrorMessage="1" error="XLBVal:6=6595485.04_x000d__x000a_" sqref="G12:G13">
      <formula1>0</formula1>
      <formula2>300</formula2>
    </dataValidation>
    <dataValidation type="textLength" errorStyle="information" allowBlank="1" showInputMessage="1" showErrorMessage="1" error="XLBVal:6=224000_x000d__x000a_" sqref="Q22">
      <formula1>0</formula1>
      <formula2>300</formula2>
    </dataValidation>
    <dataValidation type="textLength" errorStyle="information" allowBlank="1" showInputMessage="1" showErrorMessage="1" error="XLBVal:6=0_x000d__x000a_" sqref="Q24 E82:Q82">
      <formula1>0</formula1>
      <formula2>300</formula2>
    </dataValidation>
    <dataValidation type="textLength" errorStyle="information" allowBlank="1" showInputMessage="1" showErrorMessage="1" error="XLBVal:6=30984_x000d__x000a_" sqref="Q28">
      <formula1>0</formula1>
      <formula2>300</formula2>
    </dataValidation>
    <dataValidation type="textLength" errorStyle="information" allowBlank="1" showInputMessage="1" showErrorMessage="1" error="XLBVal:6=6864605_x000d__x000a_" sqref="Q29">
      <formula1>0</formula1>
      <formula2>300</formula2>
    </dataValidation>
    <dataValidation type="textLength" errorStyle="information" allowBlank="1" showInputMessage="1" showErrorMessage="1" error="XLBVal:5=15426.66_x000d__x000a_" sqref="I12:I13">
      <formula1>0</formula1>
      <formula2>300</formula2>
    </dataValidation>
    <dataValidation type="textLength" errorStyle="information" allowBlank="1" showInputMessage="1" showErrorMessage="1" error="XLBVal:6=812280_x000d__x000a_" sqref="Q30">
      <formula1>0</formula1>
      <formula2>300</formula2>
    </dataValidation>
    <dataValidation type="textLength" errorStyle="information" allowBlank="1" showInputMessage="1" showErrorMessage="1" error="XLBVal:6=45391_x000d__x000a_" sqref="Q33">
      <formula1>0</formula1>
      <formula2>300</formula2>
    </dataValidation>
    <dataValidation type="textLength" errorStyle="information" allowBlank="1" showInputMessage="1" showErrorMessage="1" error="XLBVal:6=497071_x000d__x000a_" sqref="Q34">
      <formula1>0</formula1>
      <formula2>300</formula2>
    </dataValidation>
    <dataValidation type="textLength" errorStyle="information" allowBlank="1" showInputMessage="1" showErrorMessage="1" error="XLBVal:6=604513_x000d__x000a_" sqref="Q37">
      <formula1>0</formula1>
      <formula2>300</formula2>
    </dataValidation>
    <dataValidation type="textLength" errorStyle="information" allowBlank="1" showInputMessage="1" showErrorMessage="1" error="XLBVal:6=6688509.16_x000d__x000a_" sqref="E12:E13">
      <formula1>0</formula1>
      <formula2>300</formula2>
    </dataValidation>
    <dataValidation type="textLength" errorStyle="information" allowBlank="1" showInputMessage="1" showErrorMessage="1" error="XLBVal:6=133777_x000d__x000a_" sqref="Q42">
      <formula1>0</formula1>
      <formula2>300</formula2>
    </dataValidation>
    <dataValidation type="textLength" errorStyle="information" allowBlank="1" showInputMessage="1" showErrorMessage="1" error="XLBVal:6=31710_x000d__x000a_" sqref="Q100">
      <formula1>0</formula1>
      <formula2>300</formula2>
    </dataValidation>
    <dataValidation type="textLength" errorStyle="information" allowBlank="1" showInputMessage="1" showErrorMessage="1" error="XLBVal:6=1640556_x000d__x000a_" sqref="Q91">
      <formula1>0</formula1>
      <formula2>300</formula2>
    </dataValidation>
    <dataValidation type="textLength" errorStyle="information" allowBlank="1" showInputMessage="1" showErrorMessage="1" error="XLBVal:6=497000_x000d__x000a_" sqref="Q49">
      <formula1>0</formula1>
      <formula2>300</formula2>
    </dataValidation>
    <dataValidation type="textLength" errorStyle="information" allowBlank="1" showInputMessage="1" showErrorMessage="1" error="XLBVal:6=128852_x000d__x000a_" sqref="Q68">
      <formula1>0</formula1>
      <formula2>300</formula2>
    </dataValidation>
    <dataValidation type="textLength" errorStyle="information" allowBlank="1" showInputMessage="1" showErrorMessage="1" error="XLBVal:6=-34851.6_x000d__x000a_" sqref="H80">
      <formula1>0</formula1>
      <formula2>300</formula2>
    </dataValidation>
    <dataValidation type="textLength" errorStyle="information" allowBlank="1" showInputMessage="1" showErrorMessage="1" error="XLBVal:6=2195857_x000d__x000a_" sqref="Q69">
      <formula1>0</formula1>
      <formula2>300</formula2>
    </dataValidation>
    <dataValidation type="textLength" errorStyle="information" allowBlank="1" showInputMessage="1" showErrorMessage="1" error="XLBVal:6=913200_x000d__x000a_" sqref="Q71">
      <formula1>0</formula1>
      <formula2>300</formula2>
    </dataValidation>
    <dataValidation type="textLength" errorStyle="information" allowBlank="1" showInputMessage="1" showErrorMessage="1" error="XLBVal:6=78120_x000d__x000a_" sqref="Q73">
      <formula1>0</formula1>
      <formula2>300</formula2>
    </dataValidation>
    <dataValidation type="textLength" errorStyle="information" allowBlank="1" showInputMessage="1" showErrorMessage="1" error="XLBVal:6=-27892_x000d__x000a_" sqref="I80">
      <formula1>0</formula1>
      <formula2>300</formula2>
    </dataValidation>
    <dataValidation type="textLength" errorStyle="information" allowBlank="1" showInputMessage="1" showErrorMessage="1" error="XLBVal:6=-24811_x000d__x000a_" sqref="J80">
      <formula1>0</formula1>
      <formula2>300</formula2>
    </dataValidation>
    <dataValidation type="textLength" errorStyle="information" allowBlank="1" showInputMessage="1" showErrorMessage="1" error="XLBVal:6=-40236.9_x000d__x000a_" sqref="K80">
      <formula1>0</formula1>
      <formula2>300</formula2>
    </dataValidation>
    <dataValidation type="textLength" errorStyle="information" allowBlank="1" showInputMessage="1" showErrorMessage="1" error="XLBVal:6=-15009.3_x000d__x000a_" sqref="L80">
      <formula1>0</formula1>
      <formula2>300</formula2>
    </dataValidation>
    <dataValidation type="textLength" errorStyle="information" allowBlank="1" showInputMessage="1" showErrorMessage="1" error="XLBVal:6=2793648_x000d__x000a_" sqref="Q87">
      <formula1>0</formula1>
      <formula2>300</formula2>
    </dataValidation>
    <dataValidation type="textLength" errorStyle="information" allowBlank="1" showInputMessage="1" showErrorMessage="1" error="XLBVal:6=447561_x000d__x000a_" sqref="Q90">
      <formula1>0</formula1>
      <formula2>300</formula2>
    </dataValidation>
    <dataValidation type="textLength" errorStyle="information" allowBlank="1" showInputMessage="1" showErrorMessage="1" error="XLBVal:6=39534_x000d__x000a_" sqref="Q99">
      <formula1>0</formula1>
      <formula2>300</formula2>
    </dataValidation>
    <dataValidation type="textLength" errorStyle="information" allowBlank="1" showInputMessage="1" showErrorMessage="1" error="XLBVal:6=3_x000d__x000a_" sqref="Q93">
      <formula1>0</formula1>
      <formula2>300</formula2>
    </dataValidation>
    <dataValidation type="textLength" errorStyle="information" allowBlank="1" showInputMessage="1" showErrorMessage="1" error="XLBVal:6=639338_x000d__x000a_" sqref="Q94">
      <formula1>0</formula1>
      <formula2>300</formula2>
    </dataValidation>
    <dataValidation type="textLength" errorStyle="information" allowBlank="1" showInputMessage="1" showErrorMessage="1" error="XLBVal:6=632410_x000d__x000a_" sqref="Q98">
      <formula1>0</formula1>
      <formula2>300</formula2>
    </dataValidation>
    <dataValidation type="textLength" errorStyle="information" allowBlank="1" showInputMessage="1" showErrorMessage="1" error="XLBVal:6=39654_x000d__x000a_" sqref="Q101">
      <formula1>0</formula1>
      <formula2>300</formula2>
    </dataValidation>
    <dataValidation type="textLength" errorStyle="information" allowBlank="1" showInputMessage="1" showErrorMessage="1" error="XLBVal:6=354026_x000d__x000a_" sqref="Q102">
      <formula1>0</formula1>
      <formula2>300</formula2>
    </dataValidation>
    <dataValidation type="textLength" errorStyle="information" allowBlank="1" showInputMessage="1" showErrorMessage="1" error="XLBVal:6=234560_x000d__x000a_" sqref="Q103">
      <formula1>0</formula1>
      <formula2>300</formula2>
    </dataValidation>
    <dataValidation type="textLength" errorStyle="information" allowBlank="1" showInputMessage="1" showErrorMessage="1" error="XLBVal:6=3678_x000d__x000a_" sqref="E106:G106">
      <formula1>0</formula1>
      <formula2>300</formula2>
    </dataValidation>
    <dataValidation type="textLength" errorStyle="information" allowBlank="1" showInputMessage="1" showErrorMessage="1" error="XLBVal:6=3099839_x000d__x000a_" sqref="Q113">
      <formula1>0</formula1>
      <formula2>300</formula2>
    </dataValidation>
    <dataValidation type="textLength" errorStyle="information" allowBlank="1" showInputMessage="1" showErrorMessage="1" error="XLBVal:5=-2586288.67_x000d__x000a_" sqref="H12:H13">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rowBreaks count="1" manualBreakCount="1">
    <brk id="82" max="1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X207"/>
  <sheetViews>
    <sheetView topLeftCell="D1" zoomScale="50" zoomScaleNormal="50" zoomScaleSheetLayoutView="40" workbookViewId="0">
      <pane xSplit="1" ySplit="10" topLeftCell="E11" activePane="bottomRight" state="frozen"/>
      <selection activeCell="D1" sqref="D1"/>
      <selection pane="topRight" activeCell="E1" sqref="E1"/>
      <selection pane="bottomLeft" activeCell="D11" sqref="D11"/>
      <selection pane="bottomRight" activeCell="Y54" sqref="Y54"/>
    </sheetView>
  </sheetViews>
  <sheetFormatPr defaultColWidth="8.875" defaultRowHeight="26.25" customHeight="1" outlineLevelRow="1" outlineLevelCol="1"/>
  <cols>
    <col min="1" max="1" width="20.125" style="5" hidden="1" customWidth="1" outlineLevel="1"/>
    <col min="2" max="3" width="15.5" style="5" hidden="1" customWidth="1" outlineLevel="1"/>
    <col min="4" max="4" width="62.875" style="6" customWidth="1" collapsed="1"/>
    <col min="5" max="9" width="23" style="7" customWidth="1"/>
    <col min="10" max="11" width="23" style="148" customWidth="1"/>
    <col min="12" max="12" width="23" style="5" customWidth="1"/>
    <col min="13" max="17" width="23" style="148" customWidth="1"/>
    <col min="18" max="18" width="28.5" style="148" hidden="1" customWidth="1"/>
    <col min="19" max="19" width="12.5" style="148" customWidth="1"/>
    <col min="20" max="20" width="13.5" style="148" hidden="1" customWidth="1"/>
    <col min="21" max="21" width="22.5" style="149" hidden="1" customWidth="1"/>
    <col min="22" max="22" width="22.5" style="175" hidden="1" customWidth="1"/>
    <col min="23" max="24" width="20.75" style="148" customWidth="1"/>
    <col min="25" max="25" width="19.875" style="148" bestFit="1" customWidth="1"/>
    <col min="26" max="16384" width="8.875" style="148"/>
  </cols>
  <sheetData>
    <row r="1" spans="1:24" s="1" customFormat="1" ht="15" customHeight="1" outlineLevel="1">
      <c r="E1" s="9"/>
      <c r="F1" s="9"/>
      <c r="G1" s="9"/>
      <c r="H1" s="9"/>
      <c r="I1" s="9"/>
      <c r="J1" s="9"/>
      <c r="K1" s="9"/>
      <c r="L1" s="9"/>
      <c r="M1" s="9"/>
      <c r="N1" s="9"/>
      <c r="O1" s="9"/>
      <c r="P1" s="9"/>
      <c r="Q1" s="9"/>
      <c r="R1" s="9" t="s">
        <v>14</v>
      </c>
      <c r="U1" s="32"/>
      <c r="V1" s="176"/>
    </row>
    <row r="2" spans="1:24" s="1" customFormat="1" ht="15" customHeight="1" outlineLevel="1">
      <c r="E2" s="9"/>
      <c r="F2" s="9"/>
      <c r="G2" s="9"/>
      <c r="H2" s="9"/>
      <c r="I2" s="9"/>
      <c r="J2" s="9"/>
      <c r="K2" s="9"/>
      <c r="L2" s="9"/>
      <c r="M2" s="9"/>
      <c r="N2" s="9"/>
      <c r="O2" s="9"/>
      <c r="P2" s="9"/>
      <c r="Q2" s="9"/>
      <c r="R2" s="9" t="s">
        <v>15</v>
      </c>
      <c r="U2" s="32"/>
      <c r="V2" s="176"/>
    </row>
    <row r="3" spans="1:24" s="1" customFormat="1" ht="15" customHeight="1" outlineLevel="1">
      <c r="E3" s="9"/>
      <c r="F3" s="9"/>
      <c r="G3" s="9"/>
      <c r="H3" s="9"/>
      <c r="I3" s="9"/>
      <c r="J3" s="9"/>
      <c r="K3" s="9"/>
      <c r="L3" s="9"/>
      <c r="M3" s="9"/>
      <c r="N3" s="9"/>
      <c r="O3" s="9"/>
      <c r="P3" s="9"/>
      <c r="Q3" s="9"/>
      <c r="R3" s="9" t="s">
        <v>375</v>
      </c>
      <c r="U3" s="32"/>
      <c r="V3" s="176"/>
    </row>
    <row r="4" spans="1:24" s="147" customFormat="1" ht="24.95" customHeight="1">
      <c r="D4" s="10" t="str">
        <f>Summary!$D$4</f>
        <v>Hotel Budget Report</v>
      </c>
      <c r="E4" s="150"/>
      <c r="F4" s="150"/>
      <c r="G4" s="151"/>
      <c r="H4" s="152"/>
      <c r="I4" s="152"/>
      <c r="L4" s="2"/>
      <c r="U4" s="156"/>
      <c r="V4" s="177"/>
    </row>
    <row r="5" spans="1:24" s="147" customFormat="1" ht="24.95" customHeight="1">
      <c r="D5" s="10" t="str">
        <f>Summary!$D$5</f>
        <v>酒店预算报表</v>
      </c>
      <c r="E5" s="150"/>
      <c r="F5" s="150"/>
      <c r="G5" s="151"/>
      <c r="H5" s="152"/>
      <c r="I5" s="152"/>
      <c r="L5" s="2"/>
      <c r="U5" s="156"/>
      <c r="V5" s="177"/>
    </row>
    <row r="6" spans="1:24" s="147" customFormat="1" ht="24.95" customHeight="1">
      <c r="D6" s="10" t="s">
        <v>376</v>
      </c>
      <c r="E6" s="152"/>
      <c r="F6" s="152"/>
      <c r="G6" s="152"/>
      <c r="H6" s="152"/>
      <c r="I6" s="152"/>
      <c r="L6" s="2"/>
      <c r="U6" s="156"/>
      <c r="V6" s="177"/>
    </row>
    <row r="7" spans="1:24" s="147" customFormat="1" ht="24.95" customHeight="1">
      <c r="D7" s="15" t="s">
        <v>1185</v>
      </c>
      <c r="E7" s="152"/>
      <c r="F7" s="152"/>
      <c r="G7" s="152"/>
      <c r="H7" s="152"/>
      <c r="I7" s="152"/>
      <c r="L7" s="2"/>
      <c r="U7" s="156"/>
      <c r="V7" s="177"/>
    </row>
    <row r="8" spans="1:24" ht="24.95" customHeight="1">
      <c r="A8" s="148"/>
      <c r="B8" s="148"/>
      <c r="C8" s="148"/>
      <c r="D8" s="153"/>
      <c r="E8" s="154"/>
      <c r="F8" s="154"/>
      <c r="G8" s="154"/>
      <c r="H8" s="154"/>
      <c r="I8" s="154"/>
    </row>
    <row r="9" spans="1:24"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2025</v>
      </c>
      <c r="R9" s="18">
        <v>2018</v>
      </c>
      <c r="U9" s="116"/>
      <c r="V9" s="117"/>
    </row>
    <row r="10" spans="1:24"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T10" s="34" t="s">
        <v>23</v>
      </c>
      <c r="U10" s="36" t="s">
        <v>24</v>
      </c>
      <c r="V10" s="37" t="s">
        <v>25</v>
      </c>
      <c r="W10" s="393"/>
      <c r="X10" s="393"/>
    </row>
    <row r="11" spans="1:24" s="84" customFormat="1" ht="24.95" customHeight="1">
      <c r="A11" s="3"/>
      <c r="B11" s="3"/>
      <c r="C11" s="3"/>
      <c r="D11" s="21" t="s">
        <v>378</v>
      </c>
      <c r="E11" s="76"/>
      <c r="F11" s="76"/>
      <c r="G11" s="76"/>
      <c r="H11" s="77"/>
      <c r="I11" s="77"/>
      <c r="J11" s="3"/>
      <c r="K11" s="155"/>
      <c r="L11" s="155"/>
      <c r="M11" s="155"/>
      <c r="U11" s="157"/>
      <c r="V11" s="40"/>
    </row>
    <row r="12" spans="1:24" s="84" customFormat="1" ht="24.95" customHeight="1">
      <c r="A12" s="50" t="s">
        <v>379</v>
      </c>
      <c r="B12" s="3" t="s">
        <v>380</v>
      </c>
      <c r="C12" s="3"/>
      <c r="D12" s="26" t="s">
        <v>381</v>
      </c>
      <c r="E12" s="155">
        <f>+'Lobby Lounge'!E17</f>
        <v>0</v>
      </c>
      <c r="F12" s="155">
        <f>+'Lobby Lounge'!F17</f>
        <v>0</v>
      </c>
      <c r="G12" s="155">
        <f>+'Lobby Lounge'!G17</f>
        <v>0</v>
      </c>
      <c r="H12" s="155">
        <f>+'Lobby Lounge'!H17</f>
        <v>0</v>
      </c>
      <c r="I12" s="155">
        <f>+'Lobby Lounge'!I17</f>
        <v>0</v>
      </c>
      <c r="J12" s="155">
        <f>+'Lobby Lounge'!J17</f>
        <v>0</v>
      </c>
      <c r="K12" s="155">
        <f>+'Lobby Lounge'!K17</f>
        <v>0</v>
      </c>
      <c r="L12" s="155">
        <f>+'Lobby Lounge'!L17</f>
        <v>0</v>
      </c>
      <c r="M12" s="155">
        <f>+'Lobby Lounge'!M17</f>
        <v>0</v>
      </c>
      <c r="N12" s="155">
        <f>+'Lobby Lounge'!N17</f>
        <v>0</v>
      </c>
      <c r="O12" s="155">
        <f>+'Lobby Lounge'!O17</f>
        <v>0</v>
      </c>
      <c r="P12" s="155">
        <f>+'Lobby Lounge'!P17</f>
        <v>0</v>
      </c>
      <c r="Q12" s="155">
        <f>SUM(E12:P12)</f>
        <v>0</v>
      </c>
      <c r="R12" s="155">
        <v>6534554.8399999999</v>
      </c>
      <c r="U12" s="157"/>
      <c r="V12" s="40">
        <f>IF(Q12-U12=0,0,(Q12-U12)/U12)</f>
        <v>0</v>
      </c>
    </row>
    <row r="13" spans="1:24" s="84" customFormat="1" ht="24.95" customHeight="1">
      <c r="A13" s="50" t="s">
        <v>379</v>
      </c>
      <c r="B13" s="3" t="s">
        <v>382</v>
      </c>
      <c r="C13" s="3"/>
      <c r="D13" s="26" t="s">
        <v>383</v>
      </c>
      <c r="E13" s="63">
        <f>+'ADD-Mhub lounge'!E17</f>
        <v>396860</v>
      </c>
      <c r="F13" s="63">
        <f>+'ADD-Mhub lounge'!F17</f>
        <v>304320</v>
      </c>
      <c r="G13" s="63">
        <f>+'ADD-Mhub lounge'!G17</f>
        <v>367480</v>
      </c>
      <c r="H13" s="63">
        <f>+'ADD-Mhub lounge'!H17</f>
        <v>431080</v>
      </c>
      <c r="I13" s="63">
        <f>+'ADD-Mhub lounge'!I17</f>
        <v>483840</v>
      </c>
      <c r="J13" s="63">
        <f>+'ADD-Mhub lounge'!J17</f>
        <v>434880</v>
      </c>
      <c r="K13" s="63">
        <f>+'ADD-Mhub lounge'!K17</f>
        <v>459880</v>
      </c>
      <c r="L13" s="63">
        <f>+'ADD-Mhub lounge'!L17</f>
        <v>462280</v>
      </c>
      <c r="M13" s="63">
        <f>+'ADD-Mhub lounge'!M17</f>
        <v>474680</v>
      </c>
      <c r="N13" s="63">
        <f>+'ADD-Mhub lounge'!N17</f>
        <v>505280</v>
      </c>
      <c r="O13" s="63">
        <f>+'ADD-Mhub lounge'!O17</f>
        <v>474880</v>
      </c>
      <c r="P13" s="63">
        <f>+'ADD-Mhub lounge'!P17</f>
        <v>475280</v>
      </c>
      <c r="Q13" s="142">
        <f>SUM(E13:P13)</f>
        <v>5270740</v>
      </c>
      <c r="R13" s="142">
        <v>7466792.5099999998</v>
      </c>
      <c r="U13" s="157"/>
      <c r="V13" s="40" t="e">
        <f t="shared" ref="V13:V27" si="0">IF(Q13-U13=0,0,(Q13-U13)/U13)</f>
        <v>#DIV/0!</v>
      </c>
    </row>
    <row r="14" spans="1:24" s="84" customFormat="1" ht="24.95" hidden="1" customHeight="1">
      <c r="A14" s="50" t="s">
        <v>379</v>
      </c>
      <c r="B14" s="3" t="s">
        <v>384</v>
      </c>
      <c r="C14" s="3"/>
      <c r="D14" s="26" t="s">
        <v>385</v>
      </c>
      <c r="E14" s="63">
        <f>+'Royal Court'!E17</f>
        <v>0</v>
      </c>
      <c r="F14" s="63">
        <f>+'Royal Court'!F17</f>
        <v>0</v>
      </c>
      <c r="G14" s="63">
        <f>+'Royal Court'!G17</f>
        <v>0</v>
      </c>
      <c r="H14" s="63">
        <f>+'Royal Court'!H17</f>
        <v>0</v>
      </c>
      <c r="I14" s="63">
        <f>+'Royal Court'!I17</f>
        <v>0</v>
      </c>
      <c r="J14" s="63">
        <f>+'Royal Court'!J17</f>
        <v>0</v>
      </c>
      <c r="K14" s="63">
        <f>+'Royal Court'!K17</f>
        <v>0</v>
      </c>
      <c r="L14" s="63">
        <f>+'Royal Court'!L17</f>
        <v>0</v>
      </c>
      <c r="M14" s="63">
        <f>+'Royal Court'!M17</f>
        <v>0</v>
      </c>
      <c r="N14" s="63">
        <f>+'Royal Court'!N17</f>
        <v>0</v>
      </c>
      <c r="O14" s="63">
        <f>+'Royal Court'!O17</f>
        <v>0</v>
      </c>
      <c r="P14" s="63">
        <f>+'Royal Court'!P17</f>
        <v>0</v>
      </c>
      <c r="Q14" s="142">
        <f>SUM(E14:P14)</f>
        <v>0</v>
      </c>
      <c r="R14" s="142">
        <v>8715631.9900000002</v>
      </c>
      <c r="U14" s="157"/>
      <c r="V14" s="40">
        <f t="shared" si="0"/>
        <v>0</v>
      </c>
    </row>
    <row r="15" spans="1:24" s="84" customFormat="1" ht="24.95" hidden="1" customHeight="1">
      <c r="A15" s="50" t="s">
        <v>379</v>
      </c>
      <c r="B15" s="3" t="s">
        <v>386</v>
      </c>
      <c r="C15" s="3"/>
      <c r="D15" s="26" t="s">
        <v>387</v>
      </c>
      <c r="E15" s="63">
        <f>+'MP Cafe'!E17</f>
        <v>0</v>
      </c>
      <c r="F15" s="63">
        <f>+'MP Cafe'!F17</f>
        <v>0</v>
      </c>
      <c r="G15" s="63">
        <f>+'MP Cafe'!G17</f>
        <v>0</v>
      </c>
      <c r="H15" s="63">
        <f>+'MP Cafe'!H17</f>
        <v>0</v>
      </c>
      <c r="I15" s="63">
        <f>+'MP Cafe'!I17</f>
        <v>0</v>
      </c>
      <c r="J15" s="63">
        <f>+'MP Cafe'!J17</f>
        <v>0</v>
      </c>
      <c r="K15" s="63">
        <f>+'MP Cafe'!K17</f>
        <v>0</v>
      </c>
      <c r="L15" s="63">
        <f>+'MP Cafe'!L17</f>
        <v>0</v>
      </c>
      <c r="M15" s="63">
        <f>+'MP Cafe'!M17</f>
        <v>0</v>
      </c>
      <c r="N15" s="63">
        <f>+'MP Cafe'!N17</f>
        <v>0</v>
      </c>
      <c r="O15" s="63">
        <f>+'MP Cafe'!O17</f>
        <v>0</v>
      </c>
      <c r="P15" s="63">
        <f>+'MP Cafe'!P17</f>
        <v>0</v>
      </c>
      <c r="Q15" s="142">
        <f>SUM(E15:P15)</f>
        <v>0</v>
      </c>
      <c r="R15" s="142">
        <v>456650</v>
      </c>
      <c r="U15" s="157"/>
      <c r="V15" s="40">
        <f t="shared" si="0"/>
        <v>0</v>
      </c>
    </row>
    <row r="16" spans="1:24" s="84" customFormat="1" ht="24.95" hidden="1" customHeight="1">
      <c r="A16" s="50" t="s">
        <v>379</v>
      </c>
      <c r="B16" s="3" t="s">
        <v>388</v>
      </c>
      <c r="C16" s="3"/>
      <c r="D16" s="26" t="s">
        <v>389</v>
      </c>
      <c r="E16" s="63">
        <f>+'MP Dining'!E17</f>
        <v>0</v>
      </c>
      <c r="F16" s="63">
        <f>+'MP Dining'!F17</f>
        <v>0</v>
      </c>
      <c r="G16" s="63">
        <f>+'MP Dining'!G17</f>
        <v>0</v>
      </c>
      <c r="H16" s="63">
        <f>+'MP Dining'!H17</f>
        <v>0</v>
      </c>
      <c r="I16" s="63">
        <f>+'MP Dining'!I17</f>
        <v>0</v>
      </c>
      <c r="J16" s="63">
        <f>+'MP Dining'!J17</f>
        <v>0</v>
      </c>
      <c r="K16" s="63">
        <f>+'MP Dining'!K17</f>
        <v>0</v>
      </c>
      <c r="L16" s="63">
        <f>+'MP Dining'!L17</f>
        <v>0</v>
      </c>
      <c r="M16" s="63">
        <f>+'MP Dining'!M17</f>
        <v>0</v>
      </c>
      <c r="N16" s="63">
        <f>+'MP Dining'!N17</f>
        <v>0</v>
      </c>
      <c r="O16" s="63">
        <f>+'MP Dining'!O17</f>
        <v>0</v>
      </c>
      <c r="P16" s="63">
        <f>+'MP Dining'!P17</f>
        <v>0</v>
      </c>
      <c r="Q16" s="142">
        <f>SUM(E16:P16)</f>
        <v>0</v>
      </c>
      <c r="R16" s="142">
        <v>422420</v>
      </c>
      <c r="U16" s="157"/>
      <c r="V16" s="40">
        <f t="shared" si="0"/>
        <v>0</v>
      </c>
    </row>
    <row r="17" spans="1:22" s="84" customFormat="1" ht="24.95" hidden="1" customHeight="1">
      <c r="A17" s="50" t="s">
        <v>379</v>
      </c>
      <c r="B17" s="3" t="s">
        <v>390</v>
      </c>
      <c r="C17" s="3"/>
      <c r="D17" s="26" t="s">
        <v>391</v>
      </c>
      <c r="E17" s="63">
        <v>0</v>
      </c>
      <c r="F17" s="63">
        <v>0</v>
      </c>
      <c r="G17" s="63">
        <v>0</v>
      </c>
      <c r="H17" s="63">
        <v>0</v>
      </c>
      <c r="I17" s="63">
        <v>0</v>
      </c>
      <c r="J17" s="61">
        <v>0</v>
      </c>
      <c r="K17" s="155">
        <v>0</v>
      </c>
      <c r="L17" s="155">
        <v>0</v>
      </c>
      <c r="M17" s="155">
        <v>0</v>
      </c>
      <c r="N17" s="142">
        <v>0</v>
      </c>
      <c r="O17" s="142">
        <v>0</v>
      </c>
      <c r="P17" s="142">
        <v>0</v>
      </c>
      <c r="Q17" s="142">
        <f t="shared" ref="Q17:Q26" si="1">SUM(E17:P17)</f>
        <v>0</v>
      </c>
      <c r="R17" s="142">
        <v>0</v>
      </c>
      <c r="U17" s="157"/>
      <c r="V17" s="40">
        <f t="shared" si="0"/>
        <v>0</v>
      </c>
    </row>
    <row r="18" spans="1:22" s="84" customFormat="1" ht="24.95" hidden="1" customHeight="1">
      <c r="A18" s="50" t="s">
        <v>379</v>
      </c>
      <c r="B18" s="3" t="s">
        <v>392</v>
      </c>
      <c r="C18" s="3"/>
      <c r="D18" s="26" t="s">
        <v>393</v>
      </c>
      <c r="E18" s="63">
        <v>0</v>
      </c>
      <c r="F18" s="63">
        <v>0</v>
      </c>
      <c r="G18" s="63">
        <v>0</v>
      </c>
      <c r="H18" s="63">
        <v>0</v>
      </c>
      <c r="I18" s="63">
        <v>0</v>
      </c>
      <c r="J18" s="61">
        <v>0</v>
      </c>
      <c r="K18" s="155">
        <v>0</v>
      </c>
      <c r="L18" s="155">
        <v>0</v>
      </c>
      <c r="M18" s="155">
        <v>0</v>
      </c>
      <c r="N18" s="142">
        <v>0</v>
      </c>
      <c r="O18" s="142">
        <v>0</v>
      </c>
      <c r="P18" s="142">
        <v>0</v>
      </c>
      <c r="Q18" s="142">
        <f t="shared" si="1"/>
        <v>0</v>
      </c>
      <c r="R18" s="142">
        <v>0</v>
      </c>
      <c r="U18" s="157"/>
      <c r="V18" s="40">
        <f t="shared" si="0"/>
        <v>0</v>
      </c>
    </row>
    <row r="19" spans="1:22" s="84" customFormat="1" ht="24.95" hidden="1" customHeight="1">
      <c r="A19" s="50" t="s">
        <v>379</v>
      </c>
      <c r="B19" s="3" t="s">
        <v>394</v>
      </c>
      <c r="C19" s="3"/>
      <c r="D19" s="26" t="s">
        <v>395</v>
      </c>
      <c r="E19" s="63">
        <v>0</v>
      </c>
      <c r="F19" s="63">
        <v>0</v>
      </c>
      <c r="G19" s="63">
        <v>0</v>
      </c>
      <c r="H19" s="63">
        <v>0</v>
      </c>
      <c r="I19" s="63">
        <v>0</v>
      </c>
      <c r="J19" s="61">
        <v>0</v>
      </c>
      <c r="K19" s="155">
        <v>0</v>
      </c>
      <c r="L19" s="155">
        <v>0</v>
      </c>
      <c r="M19" s="155">
        <v>0</v>
      </c>
      <c r="N19" s="142">
        <v>0</v>
      </c>
      <c r="O19" s="142">
        <v>0</v>
      </c>
      <c r="P19" s="142">
        <v>0</v>
      </c>
      <c r="Q19" s="142">
        <f t="shared" si="1"/>
        <v>0</v>
      </c>
      <c r="R19" s="142">
        <v>0</v>
      </c>
      <c r="U19" s="157"/>
      <c r="V19" s="40">
        <f t="shared" si="0"/>
        <v>0</v>
      </c>
    </row>
    <row r="20" spans="1:22" s="84" customFormat="1" ht="24.95" hidden="1" customHeight="1">
      <c r="A20" s="50" t="s">
        <v>379</v>
      </c>
      <c r="B20" s="3" t="s">
        <v>396</v>
      </c>
      <c r="C20" s="3"/>
      <c r="D20" s="26" t="s">
        <v>397</v>
      </c>
      <c r="E20" s="63">
        <v>0</v>
      </c>
      <c r="F20" s="63">
        <v>0</v>
      </c>
      <c r="G20" s="63">
        <v>0</v>
      </c>
      <c r="H20" s="63">
        <v>0</v>
      </c>
      <c r="I20" s="63">
        <v>0</v>
      </c>
      <c r="J20" s="61">
        <v>0</v>
      </c>
      <c r="K20" s="155">
        <v>0</v>
      </c>
      <c r="L20" s="155">
        <v>0</v>
      </c>
      <c r="M20" s="155">
        <v>0</v>
      </c>
      <c r="N20" s="142">
        <v>0</v>
      </c>
      <c r="O20" s="142">
        <v>0</v>
      </c>
      <c r="P20" s="142">
        <v>0</v>
      </c>
      <c r="Q20" s="142">
        <f t="shared" si="1"/>
        <v>0</v>
      </c>
      <c r="R20" s="142">
        <v>0</v>
      </c>
      <c r="U20" s="157"/>
      <c r="V20" s="40">
        <f t="shared" si="0"/>
        <v>0</v>
      </c>
    </row>
    <row r="21" spans="1:22" s="84" customFormat="1" ht="24.95" hidden="1" customHeight="1">
      <c r="A21" s="50" t="s">
        <v>379</v>
      </c>
      <c r="B21" s="3" t="s">
        <v>398</v>
      </c>
      <c r="C21" s="3"/>
      <c r="D21" s="26" t="s">
        <v>381</v>
      </c>
      <c r="E21" s="63">
        <v>0</v>
      </c>
      <c r="F21" s="63">
        <v>0</v>
      </c>
      <c r="G21" s="63">
        <v>0</v>
      </c>
      <c r="H21" s="63">
        <v>0</v>
      </c>
      <c r="I21" s="63">
        <v>0</v>
      </c>
      <c r="J21" s="61">
        <v>0</v>
      </c>
      <c r="K21" s="155">
        <v>0</v>
      </c>
      <c r="L21" s="155">
        <v>0</v>
      </c>
      <c r="M21" s="155">
        <v>0</v>
      </c>
      <c r="N21" s="142">
        <v>0</v>
      </c>
      <c r="O21" s="142">
        <v>0</v>
      </c>
      <c r="P21" s="142">
        <v>0</v>
      </c>
      <c r="Q21" s="142">
        <f t="shared" si="1"/>
        <v>0</v>
      </c>
      <c r="R21" s="142">
        <v>0</v>
      </c>
      <c r="U21" s="157"/>
      <c r="V21" s="40">
        <f t="shared" si="0"/>
        <v>0</v>
      </c>
    </row>
    <row r="22" spans="1:22" s="84" customFormat="1" ht="24.95" hidden="1" customHeight="1">
      <c r="A22" s="50" t="s">
        <v>379</v>
      </c>
      <c r="B22" s="3" t="s">
        <v>399</v>
      </c>
      <c r="C22" s="3"/>
      <c r="D22" s="26" t="s">
        <v>400</v>
      </c>
      <c r="E22" s="63">
        <v>0</v>
      </c>
      <c r="F22" s="63">
        <v>0</v>
      </c>
      <c r="G22" s="63">
        <v>0</v>
      </c>
      <c r="H22" s="63">
        <v>0</v>
      </c>
      <c r="I22" s="63">
        <v>0</v>
      </c>
      <c r="J22" s="61">
        <v>0</v>
      </c>
      <c r="K22" s="155">
        <v>0</v>
      </c>
      <c r="L22" s="155">
        <v>0</v>
      </c>
      <c r="M22" s="155">
        <v>0</v>
      </c>
      <c r="N22" s="142">
        <v>0</v>
      </c>
      <c r="O22" s="142">
        <v>0</v>
      </c>
      <c r="P22" s="142">
        <v>0</v>
      </c>
      <c r="Q22" s="142">
        <f t="shared" si="1"/>
        <v>0</v>
      </c>
      <c r="R22" s="142">
        <v>0</v>
      </c>
      <c r="U22" s="157"/>
      <c r="V22" s="40">
        <f t="shared" si="0"/>
        <v>0</v>
      </c>
    </row>
    <row r="23" spans="1:22" s="84" customFormat="1" ht="24.95" hidden="1" customHeight="1">
      <c r="A23" s="50" t="s">
        <v>379</v>
      </c>
      <c r="B23" s="3" t="s">
        <v>401</v>
      </c>
      <c r="C23" s="3"/>
      <c r="D23" s="26" t="s">
        <v>402</v>
      </c>
      <c r="E23" s="63">
        <v>0</v>
      </c>
      <c r="F23" s="63">
        <v>0</v>
      </c>
      <c r="G23" s="63">
        <v>0</v>
      </c>
      <c r="H23" s="63">
        <v>0</v>
      </c>
      <c r="I23" s="63">
        <v>0</v>
      </c>
      <c r="J23" s="61">
        <v>0</v>
      </c>
      <c r="K23" s="155">
        <v>0</v>
      </c>
      <c r="L23" s="155">
        <v>0</v>
      </c>
      <c r="M23" s="155">
        <v>0</v>
      </c>
      <c r="N23" s="142">
        <v>0</v>
      </c>
      <c r="O23" s="142">
        <v>0</v>
      </c>
      <c r="P23" s="142">
        <v>0</v>
      </c>
      <c r="Q23" s="142">
        <f t="shared" si="1"/>
        <v>0</v>
      </c>
      <c r="R23" s="142">
        <v>0</v>
      </c>
      <c r="U23" s="157"/>
      <c r="V23" s="40">
        <f t="shared" si="0"/>
        <v>0</v>
      </c>
    </row>
    <row r="24" spans="1:22" s="84" customFormat="1" ht="24.95" hidden="1" customHeight="1">
      <c r="A24" s="50" t="s">
        <v>379</v>
      </c>
      <c r="B24" s="3" t="s">
        <v>403</v>
      </c>
      <c r="C24" s="3"/>
      <c r="D24" s="26" t="s">
        <v>404</v>
      </c>
      <c r="E24" s="63">
        <v>0</v>
      </c>
      <c r="F24" s="63">
        <v>0</v>
      </c>
      <c r="G24" s="63">
        <v>0</v>
      </c>
      <c r="H24" s="63">
        <v>0</v>
      </c>
      <c r="I24" s="63">
        <v>0</v>
      </c>
      <c r="J24" s="61">
        <v>0</v>
      </c>
      <c r="K24" s="155">
        <v>0</v>
      </c>
      <c r="L24" s="155">
        <v>0</v>
      </c>
      <c r="M24" s="155">
        <v>0</v>
      </c>
      <c r="N24" s="142">
        <v>0</v>
      </c>
      <c r="O24" s="142">
        <v>0</v>
      </c>
      <c r="P24" s="142">
        <v>0</v>
      </c>
      <c r="Q24" s="142">
        <f t="shared" si="1"/>
        <v>0</v>
      </c>
      <c r="R24" s="142">
        <v>0</v>
      </c>
      <c r="U24" s="157"/>
      <c r="V24" s="40">
        <f t="shared" si="0"/>
        <v>0</v>
      </c>
    </row>
    <row r="25" spans="1:22" s="84" customFormat="1" ht="24.95" customHeight="1">
      <c r="A25" s="50" t="s">
        <v>379</v>
      </c>
      <c r="B25" s="3" t="s">
        <v>405</v>
      </c>
      <c r="C25" s="3"/>
      <c r="D25" s="26" t="s">
        <v>406</v>
      </c>
      <c r="E25" s="63">
        <f>+'Room Service'!E17</f>
        <v>0</v>
      </c>
      <c r="F25" s="63">
        <f>+'Room Service'!F17</f>
        <v>0</v>
      </c>
      <c r="G25" s="63">
        <f>+'Room Service'!G17</f>
        <v>0</v>
      </c>
      <c r="H25" s="63">
        <f>+'Room Service'!H17</f>
        <v>0</v>
      </c>
      <c r="I25" s="63">
        <f>+'Room Service'!I17</f>
        <v>0</v>
      </c>
      <c r="J25" s="63">
        <f>+'Room Service'!J17</f>
        <v>0</v>
      </c>
      <c r="K25" s="63">
        <f>+'Room Service'!K17</f>
        <v>0</v>
      </c>
      <c r="L25" s="63">
        <f>+'Room Service'!L17</f>
        <v>0</v>
      </c>
      <c r="M25" s="63">
        <f>+'Room Service'!M17</f>
        <v>0</v>
      </c>
      <c r="N25" s="63">
        <f>+'Room Service'!N17</f>
        <v>0</v>
      </c>
      <c r="O25" s="63">
        <f>+'Room Service'!O17</f>
        <v>0</v>
      </c>
      <c r="P25" s="63">
        <f>+'Room Service'!P17</f>
        <v>0</v>
      </c>
      <c r="Q25" s="142">
        <f t="shared" si="1"/>
        <v>0</v>
      </c>
      <c r="R25" s="142">
        <v>606306.66</v>
      </c>
      <c r="U25" s="157"/>
      <c r="V25" s="40">
        <f t="shared" si="0"/>
        <v>0</v>
      </c>
    </row>
    <row r="26" spans="1:22" s="19" customFormat="1" ht="24.95" customHeight="1">
      <c r="A26" s="50" t="s">
        <v>379</v>
      </c>
      <c r="B26" s="3" t="s">
        <v>407</v>
      </c>
      <c r="D26" s="26" t="s">
        <v>408</v>
      </c>
      <c r="E26" s="63">
        <f>+Banquet!E17</f>
        <v>290000</v>
      </c>
      <c r="F26" s="63">
        <f>+Banquet!F17</f>
        <v>180000</v>
      </c>
      <c r="G26" s="63">
        <f>+Banquet!G17</f>
        <v>240000</v>
      </c>
      <c r="H26" s="63">
        <f>+Banquet!H17</f>
        <v>320000</v>
      </c>
      <c r="I26" s="63">
        <f>+Banquet!I17</f>
        <v>370000</v>
      </c>
      <c r="J26" s="63">
        <f>+Banquet!J17</f>
        <v>310000</v>
      </c>
      <c r="K26" s="63">
        <f>+Banquet!K17</f>
        <v>370000</v>
      </c>
      <c r="L26" s="63">
        <f>+Banquet!L17</f>
        <v>390000</v>
      </c>
      <c r="M26" s="63">
        <f>+Banquet!M17</f>
        <v>470000</v>
      </c>
      <c r="N26" s="63">
        <f>+Banquet!N17</f>
        <v>420000</v>
      </c>
      <c r="O26" s="63">
        <f>+Banquet!O17</f>
        <v>250000</v>
      </c>
      <c r="P26" s="63">
        <f>+Banquet!P17</f>
        <v>230000</v>
      </c>
      <c r="Q26" s="142">
        <f t="shared" si="1"/>
        <v>3840000</v>
      </c>
      <c r="R26" s="61">
        <v>7292693.96</v>
      </c>
      <c r="U26" s="157"/>
      <c r="V26" s="40" t="e">
        <f t="shared" si="0"/>
        <v>#DIV/0!</v>
      </c>
    </row>
    <row r="27" spans="1:22" s="84" customFormat="1" ht="24.95" customHeight="1">
      <c r="A27" s="3"/>
      <c r="B27" s="3"/>
      <c r="C27" s="3"/>
      <c r="D27" s="21" t="s">
        <v>409</v>
      </c>
      <c r="E27" s="45">
        <f>SUM(E12:E26)</f>
        <v>686860</v>
      </c>
      <c r="F27" s="45">
        <f t="shared" ref="F27:Q27" si="2">SUM(F12:F26)</f>
        <v>484320</v>
      </c>
      <c r="G27" s="45">
        <f t="shared" si="2"/>
        <v>607480</v>
      </c>
      <c r="H27" s="45">
        <f t="shared" si="2"/>
        <v>751080</v>
      </c>
      <c r="I27" s="45">
        <f t="shared" si="2"/>
        <v>853840</v>
      </c>
      <c r="J27" s="45">
        <f t="shared" si="2"/>
        <v>744880</v>
      </c>
      <c r="K27" s="45">
        <f t="shared" si="2"/>
        <v>829880</v>
      </c>
      <c r="L27" s="45">
        <f t="shared" si="2"/>
        <v>852280</v>
      </c>
      <c r="M27" s="45">
        <f t="shared" si="2"/>
        <v>944680</v>
      </c>
      <c r="N27" s="45">
        <f t="shared" si="2"/>
        <v>925280</v>
      </c>
      <c r="O27" s="45">
        <f t="shared" si="2"/>
        <v>724880</v>
      </c>
      <c r="P27" s="45">
        <f t="shared" si="2"/>
        <v>705280</v>
      </c>
      <c r="Q27" s="45">
        <f t="shared" si="2"/>
        <v>9110740</v>
      </c>
      <c r="R27" s="45">
        <v>31495049.960000001</v>
      </c>
      <c r="U27" s="157"/>
      <c r="V27" s="40" t="e">
        <f t="shared" si="0"/>
        <v>#DIV/0!</v>
      </c>
    </row>
    <row r="28" spans="1:22" s="84" customFormat="1" ht="24.95" customHeight="1">
      <c r="A28" s="3"/>
      <c r="B28" s="3"/>
      <c r="C28" s="3"/>
      <c r="D28" s="26"/>
      <c r="E28" s="113"/>
      <c r="F28" s="113"/>
      <c r="G28" s="113"/>
      <c r="H28" s="113"/>
      <c r="I28" s="113"/>
      <c r="J28" s="113"/>
      <c r="K28" s="113"/>
      <c r="L28" s="113"/>
      <c r="M28" s="113"/>
      <c r="N28" s="113"/>
      <c r="O28" s="113"/>
      <c r="P28" s="113"/>
      <c r="U28" s="157"/>
      <c r="V28" s="40"/>
    </row>
    <row r="29" spans="1:22" s="84" customFormat="1" ht="24.95" customHeight="1">
      <c r="A29" s="3"/>
      <c r="B29" s="3"/>
      <c r="C29" s="3"/>
      <c r="D29" s="21" t="s">
        <v>410</v>
      </c>
      <c r="E29" s="113"/>
      <c r="F29" s="63"/>
      <c r="G29" s="63"/>
      <c r="H29" s="63"/>
      <c r="I29" s="63"/>
      <c r="J29" s="3"/>
      <c r="K29" s="3"/>
      <c r="L29" s="161"/>
      <c r="U29" s="157"/>
      <c r="V29" s="40"/>
    </row>
    <row r="30" spans="1:22" s="84" customFormat="1" ht="24.95" customHeight="1">
      <c r="A30" s="50" t="s">
        <v>411</v>
      </c>
      <c r="B30" s="3" t="s">
        <v>380</v>
      </c>
      <c r="C30" s="3"/>
      <c r="D30" s="26" t="s">
        <v>412</v>
      </c>
      <c r="E30" s="63">
        <f>+'Lobby Lounge'!E25</f>
        <v>0</v>
      </c>
      <c r="F30" s="63">
        <f>+'Lobby Lounge'!F25</f>
        <v>0</v>
      </c>
      <c r="G30" s="63">
        <f>+'Lobby Lounge'!G25</f>
        <v>0</v>
      </c>
      <c r="H30" s="63">
        <f>+'Lobby Lounge'!H25</f>
        <v>0</v>
      </c>
      <c r="I30" s="63">
        <f>+'Lobby Lounge'!I25</f>
        <v>0</v>
      </c>
      <c r="J30" s="63">
        <f>+'Lobby Lounge'!J25</f>
        <v>0</v>
      </c>
      <c r="K30" s="63">
        <f>+'Lobby Lounge'!K25</f>
        <v>0</v>
      </c>
      <c r="L30" s="63">
        <f>+'Lobby Lounge'!L25</f>
        <v>0</v>
      </c>
      <c r="M30" s="63">
        <f>+'Lobby Lounge'!M25</f>
        <v>0</v>
      </c>
      <c r="N30" s="63">
        <f>+'Lobby Lounge'!N25</f>
        <v>0</v>
      </c>
      <c r="O30" s="63">
        <f>+'Lobby Lounge'!O25</f>
        <v>0</v>
      </c>
      <c r="P30" s="63">
        <f>+'Lobby Lounge'!P25</f>
        <v>0</v>
      </c>
      <c r="Q30" s="142">
        <f>SUM(E30:P30)</f>
        <v>0</v>
      </c>
      <c r="R30" s="142">
        <v>228172.83</v>
      </c>
      <c r="U30" s="157"/>
      <c r="V30" s="40">
        <f t="shared" ref="V30:V50" si="3">IF(Q30-U30=0,0,(Q30-U30)/U30)</f>
        <v>0</v>
      </c>
    </row>
    <row r="31" spans="1:22" s="84" customFormat="1" ht="24.95" customHeight="1">
      <c r="A31" s="50" t="s">
        <v>411</v>
      </c>
      <c r="B31" s="3" t="s">
        <v>382</v>
      </c>
      <c r="C31" s="3"/>
      <c r="D31" s="26" t="s">
        <v>383</v>
      </c>
      <c r="E31" s="63">
        <f>+'ADD-Mhub lounge'!E25</f>
        <v>3500</v>
      </c>
      <c r="F31" s="63">
        <f>+'ADD-Mhub lounge'!F25</f>
        <v>1500</v>
      </c>
      <c r="G31" s="63">
        <f>+'ADD-Mhub lounge'!G25</f>
        <v>3500</v>
      </c>
      <c r="H31" s="63">
        <f>+'ADD-Mhub lounge'!H25</f>
        <v>4500</v>
      </c>
      <c r="I31" s="63">
        <f>+'ADD-Mhub lounge'!I25</f>
        <v>7000</v>
      </c>
      <c r="J31" s="63">
        <f>+'ADD-Mhub lounge'!J25</f>
        <v>5800</v>
      </c>
      <c r="K31" s="63">
        <f>+'ADD-Mhub lounge'!K25</f>
        <v>5800</v>
      </c>
      <c r="L31" s="63">
        <f>+'ADD-Mhub lounge'!L25</f>
        <v>5800</v>
      </c>
      <c r="M31" s="63">
        <f>+'ADD-Mhub lounge'!M25</f>
        <v>5800</v>
      </c>
      <c r="N31" s="63">
        <f>+'ADD-Mhub lounge'!N25</f>
        <v>9500</v>
      </c>
      <c r="O31" s="63">
        <f>+'ADD-Mhub lounge'!O25</f>
        <v>5800</v>
      </c>
      <c r="P31" s="63">
        <f>+'ADD-Mhub lounge'!P25</f>
        <v>6800</v>
      </c>
      <c r="Q31" s="142">
        <f>SUM(E31:P31)</f>
        <v>65300</v>
      </c>
      <c r="R31" s="142">
        <v>658292.18000000005</v>
      </c>
      <c r="U31" s="157"/>
      <c r="V31" s="40" t="e">
        <f t="shared" si="3"/>
        <v>#DIV/0!</v>
      </c>
    </row>
    <row r="32" spans="1:22" s="84" customFormat="1" ht="24.95" hidden="1" customHeight="1">
      <c r="A32" s="50" t="s">
        <v>411</v>
      </c>
      <c r="B32" s="3" t="s">
        <v>384</v>
      </c>
      <c r="C32" s="3"/>
      <c r="D32" s="26" t="s">
        <v>385</v>
      </c>
      <c r="E32" s="63">
        <f>+'Royal Court'!E25</f>
        <v>0</v>
      </c>
      <c r="F32" s="63">
        <f>+'Royal Court'!F25</f>
        <v>0</v>
      </c>
      <c r="G32" s="63">
        <f>+'Royal Court'!G25</f>
        <v>0</v>
      </c>
      <c r="H32" s="63">
        <f>+'Royal Court'!H25</f>
        <v>0</v>
      </c>
      <c r="I32" s="63">
        <f>+'Royal Court'!I25</f>
        <v>0</v>
      </c>
      <c r="J32" s="63">
        <f>+'Royal Court'!J25</f>
        <v>0</v>
      </c>
      <c r="K32" s="63">
        <f>+'Royal Court'!K25</f>
        <v>0</v>
      </c>
      <c r="L32" s="63">
        <f>+'Royal Court'!L25</f>
        <v>0</v>
      </c>
      <c r="M32" s="63">
        <f>+'Royal Court'!M25</f>
        <v>0</v>
      </c>
      <c r="N32" s="63">
        <f>+'Royal Court'!N25</f>
        <v>0</v>
      </c>
      <c r="O32" s="63">
        <f>+'Royal Court'!O25</f>
        <v>0</v>
      </c>
      <c r="P32" s="63">
        <f>+'Royal Court'!P25</f>
        <v>0</v>
      </c>
      <c r="Q32" s="142">
        <f>SUM(E32:P32)</f>
        <v>0</v>
      </c>
      <c r="R32" s="142">
        <v>408784.9</v>
      </c>
      <c r="U32" s="157"/>
      <c r="V32" s="40">
        <f t="shared" si="3"/>
        <v>0</v>
      </c>
    </row>
    <row r="33" spans="1:22" s="84" customFormat="1" ht="24.95" hidden="1" customHeight="1">
      <c r="A33" s="50" t="s">
        <v>411</v>
      </c>
      <c r="B33" s="3" t="s">
        <v>386</v>
      </c>
      <c r="C33" s="3"/>
      <c r="D33" s="26" t="s">
        <v>387</v>
      </c>
      <c r="E33" s="63">
        <f>+'MP Cafe'!E25</f>
        <v>0</v>
      </c>
      <c r="F33" s="63">
        <f>+'MP Cafe'!F25</f>
        <v>0</v>
      </c>
      <c r="G33" s="63">
        <f>+'MP Cafe'!G25</f>
        <v>0</v>
      </c>
      <c r="H33" s="63">
        <f>+'MP Cafe'!H25</f>
        <v>0</v>
      </c>
      <c r="I33" s="63">
        <f>+'MP Cafe'!I25</f>
        <v>0</v>
      </c>
      <c r="J33" s="63">
        <f>+'MP Cafe'!J25</f>
        <v>0</v>
      </c>
      <c r="K33" s="63">
        <f>+'MP Cafe'!K25</f>
        <v>0</v>
      </c>
      <c r="L33" s="63">
        <f>+'MP Cafe'!L25</f>
        <v>0</v>
      </c>
      <c r="M33" s="63">
        <f>+'MP Cafe'!M25</f>
        <v>0</v>
      </c>
      <c r="N33" s="63">
        <f>+'MP Cafe'!N25</f>
        <v>0</v>
      </c>
      <c r="O33" s="63">
        <f>+'MP Cafe'!O25</f>
        <v>0</v>
      </c>
      <c r="P33" s="63">
        <f>+'MP Cafe'!P25</f>
        <v>0</v>
      </c>
      <c r="Q33" s="142">
        <f>SUM(E33:P33)</f>
        <v>0</v>
      </c>
      <c r="R33" s="142">
        <v>117880</v>
      </c>
      <c r="U33" s="157"/>
      <c r="V33" s="40"/>
    </row>
    <row r="34" spans="1:22" s="84" customFormat="1" ht="24.95" hidden="1" customHeight="1">
      <c r="A34" s="50" t="s">
        <v>411</v>
      </c>
      <c r="B34" s="3" t="s">
        <v>388</v>
      </c>
      <c r="C34" s="3"/>
      <c r="D34" s="26" t="s">
        <v>389</v>
      </c>
      <c r="E34" s="63">
        <f>+'MP Dining'!E25</f>
        <v>0</v>
      </c>
      <c r="F34" s="63">
        <f>+'MP Dining'!F25</f>
        <v>0</v>
      </c>
      <c r="G34" s="63">
        <f>+'MP Dining'!G25</f>
        <v>0</v>
      </c>
      <c r="H34" s="63">
        <f>+'MP Dining'!H25</f>
        <v>0</v>
      </c>
      <c r="I34" s="63">
        <f>+'MP Dining'!I25</f>
        <v>0</v>
      </c>
      <c r="J34" s="63">
        <f>+'MP Dining'!J25</f>
        <v>0</v>
      </c>
      <c r="K34" s="63">
        <f>+'MP Dining'!K25</f>
        <v>0</v>
      </c>
      <c r="L34" s="63">
        <f>+'MP Dining'!L25</f>
        <v>0</v>
      </c>
      <c r="M34" s="63">
        <f>+'MP Dining'!M25</f>
        <v>0</v>
      </c>
      <c r="N34" s="63">
        <f>+'MP Dining'!N25</f>
        <v>0</v>
      </c>
      <c r="O34" s="63">
        <f>+'MP Dining'!O25</f>
        <v>0</v>
      </c>
      <c r="P34" s="63">
        <f>+'MP Dining'!P25</f>
        <v>0</v>
      </c>
      <c r="Q34" s="142">
        <f>SUM(E34:P34)</f>
        <v>0</v>
      </c>
      <c r="R34" s="142">
        <v>114975</v>
      </c>
      <c r="U34" s="157"/>
      <c r="V34" s="40">
        <f t="shared" si="3"/>
        <v>0</v>
      </c>
    </row>
    <row r="35" spans="1:22" s="84" customFormat="1" ht="24.95" hidden="1" customHeight="1">
      <c r="A35" s="50" t="s">
        <v>411</v>
      </c>
      <c r="B35" s="3" t="s">
        <v>390</v>
      </c>
      <c r="C35" s="3"/>
      <c r="D35" s="26" t="s">
        <v>391</v>
      </c>
      <c r="E35" s="63">
        <v>0</v>
      </c>
      <c r="F35" s="63">
        <v>0</v>
      </c>
      <c r="G35" s="63">
        <v>0</v>
      </c>
      <c r="H35" s="63">
        <v>0</v>
      </c>
      <c r="I35" s="63">
        <v>0</v>
      </c>
      <c r="J35" s="63">
        <v>0</v>
      </c>
      <c r="K35" s="63">
        <v>0</v>
      </c>
      <c r="L35" s="63">
        <v>0</v>
      </c>
      <c r="M35" s="63">
        <v>0</v>
      </c>
      <c r="N35" s="63">
        <v>0</v>
      </c>
      <c r="O35" s="63">
        <v>0</v>
      </c>
      <c r="P35" s="63">
        <v>0</v>
      </c>
      <c r="Q35" s="142">
        <f t="shared" ref="Q35:Q44" si="4">SUM(E35:P35)</f>
        <v>0</v>
      </c>
      <c r="R35" s="142">
        <v>0</v>
      </c>
      <c r="U35" s="157"/>
      <c r="V35" s="40">
        <f t="shared" si="3"/>
        <v>0</v>
      </c>
    </row>
    <row r="36" spans="1:22" s="84" customFormat="1" ht="24.95" hidden="1" customHeight="1">
      <c r="A36" s="50" t="s">
        <v>411</v>
      </c>
      <c r="B36" s="3" t="s">
        <v>392</v>
      </c>
      <c r="C36" s="3"/>
      <c r="D36" s="26" t="s">
        <v>393</v>
      </c>
      <c r="E36" s="63">
        <v>0</v>
      </c>
      <c r="F36" s="63">
        <v>0</v>
      </c>
      <c r="G36" s="63">
        <v>0</v>
      </c>
      <c r="H36" s="63">
        <v>0</v>
      </c>
      <c r="I36" s="63">
        <v>0</v>
      </c>
      <c r="J36" s="63">
        <v>0</v>
      </c>
      <c r="K36" s="63">
        <v>0</v>
      </c>
      <c r="L36" s="63">
        <v>0</v>
      </c>
      <c r="M36" s="63">
        <v>0</v>
      </c>
      <c r="N36" s="63">
        <v>0</v>
      </c>
      <c r="O36" s="63">
        <v>0</v>
      </c>
      <c r="P36" s="63">
        <v>0</v>
      </c>
      <c r="Q36" s="142">
        <f t="shared" si="4"/>
        <v>0</v>
      </c>
      <c r="R36" s="142">
        <v>0</v>
      </c>
      <c r="U36" s="157"/>
      <c r="V36" s="40">
        <f t="shared" si="3"/>
        <v>0</v>
      </c>
    </row>
    <row r="37" spans="1:22" s="84" customFormat="1" ht="24.95" hidden="1" customHeight="1">
      <c r="A37" s="50" t="s">
        <v>411</v>
      </c>
      <c r="B37" s="3" t="s">
        <v>394</v>
      </c>
      <c r="C37" s="3"/>
      <c r="D37" s="26" t="s">
        <v>395</v>
      </c>
      <c r="E37" s="63">
        <v>0</v>
      </c>
      <c r="F37" s="63">
        <v>0</v>
      </c>
      <c r="G37" s="63">
        <v>0</v>
      </c>
      <c r="H37" s="63">
        <v>0</v>
      </c>
      <c r="I37" s="63">
        <v>0</v>
      </c>
      <c r="J37" s="63">
        <v>0</v>
      </c>
      <c r="K37" s="63">
        <v>0</v>
      </c>
      <c r="L37" s="63">
        <v>0</v>
      </c>
      <c r="M37" s="63">
        <v>0</v>
      </c>
      <c r="N37" s="63">
        <v>0</v>
      </c>
      <c r="O37" s="63">
        <v>0</v>
      </c>
      <c r="P37" s="63">
        <v>0</v>
      </c>
      <c r="Q37" s="142">
        <f t="shared" si="4"/>
        <v>0</v>
      </c>
      <c r="R37" s="142">
        <v>0</v>
      </c>
      <c r="U37" s="157"/>
      <c r="V37" s="40">
        <f t="shared" si="3"/>
        <v>0</v>
      </c>
    </row>
    <row r="38" spans="1:22" s="84" customFormat="1" ht="24.95" hidden="1" customHeight="1">
      <c r="A38" s="50" t="s">
        <v>411</v>
      </c>
      <c r="B38" s="3" t="s">
        <v>396</v>
      </c>
      <c r="C38" s="3"/>
      <c r="D38" s="26" t="s">
        <v>397</v>
      </c>
      <c r="E38" s="63">
        <v>0</v>
      </c>
      <c r="F38" s="63">
        <v>0</v>
      </c>
      <c r="G38" s="63">
        <v>0</v>
      </c>
      <c r="H38" s="63">
        <v>0</v>
      </c>
      <c r="I38" s="63">
        <v>0</v>
      </c>
      <c r="J38" s="63">
        <v>0</v>
      </c>
      <c r="K38" s="63">
        <v>0</v>
      </c>
      <c r="L38" s="63">
        <v>0</v>
      </c>
      <c r="M38" s="63">
        <v>0</v>
      </c>
      <c r="N38" s="63">
        <v>0</v>
      </c>
      <c r="O38" s="63">
        <v>0</v>
      </c>
      <c r="P38" s="63">
        <v>0</v>
      </c>
      <c r="Q38" s="142">
        <f t="shared" si="4"/>
        <v>0</v>
      </c>
      <c r="R38" s="142">
        <v>0</v>
      </c>
      <c r="U38" s="157"/>
      <c r="V38" s="40">
        <f t="shared" si="3"/>
        <v>0</v>
      </c>
    </row>
    <row r="39" spans="1:22" s="84" customFormat="1" ht="24.95" hidden="1" customHeight="1">
      <c r="A39" s="50" t="s">
        <v>411</v>
      </c>
      <c r="B39" s="3" t="s">
        <v>398</v>
      </c>
      <c r="C39" s="3"/>
      <c r="D39" s="26" t="s">
        <v>381</v>
      </c>
      <c r="E39" s="63">
        <v>0</v>
      </c>
      <c r="F39" s="63">
        <v>0</v>
      </c>
      <c r="G39" s="63">
        <v>0</v>
      </c>
      <c r="H39" s="63">
        <v>0</v>
      </c>
      <c r="I39" s="63">
        <v>0</v>
      </c>
      <c r="J39" s="63">
        <v>0</v>
      </c>
      <c r="K39" s="63">
        <v>0</v>
      </c>
      <c r="L39" s="63">
        <v>0</v>
      </c>
      <c r="M39" s="63">
        <v>0</v>
      </c>
      <c r="N39" s="63">
        <v>0</v>
      </c>
      <c r="O39" s="63">
        <v>0</v>
      </c>
      <c r="P39" s="63">
        <v>0</v>
      </c>
      <c r="Q39" s="142">
        <f t="shared" si="4"/>
        <v>0</v>
      </c>
      <c r="R39" s="142">
        <v>0</v>
      </c>
      <c r="U39" s="157"/>
      <c r="V39" s="40">
        <f t="shared" si="3"/>
        <v>0</v>
      </c>
    </row>
    <row r="40" spans="1:22" s="84" customFormat="1" ht="24.95" hidden="1" customHeight="1">
      <c r="A40" s="50" t="s">
        <v>411</v>
      </c>
      <c r="B40" s="3" t="s">
        <v>399</v>
      </c>
      <c r="C40" s="3"/>
      <c r="D40" s="26" t="s">
        <v>400</v>
      </c>
      <c r="E40" s="63">
        <v>0</v>
      </c>
      <c r="F40" s="63">
        <v>0</v>
      </c>
      <c r="G40" s="63">
        <v>0</v>
      </c>
      <c r="H40" s="63">
        <v>0</v>
      </c>
      <c r="I40" s="63">
        <v>0</v>
      </c>
      <c r="J40" s="63">
        <v>0</v>
      </c>
      <c r="K40" s="63">
        <v>0</v>
      </c>
      <c r="L40" s="63">
        <v>0</v>
      </c>
      <c r="M40" s="63">
        <v>0</v>
      </c>
      <c r="N40" s="63">
        <v>0</v>
      </c>
      <c r="O40" s="63">
        <v>0</v>
      </c>
      <c r="P40" s="63">
        <v>0</v>
      </c>
      <c r="Q40" s="142">
        <f t="shared" si="4"/>
        <v>0</v>
      </c>
      <c r="R40" s="142">
        <v>0</v>
      </c>
      <c r="U40" s="157"/>
      <c r="V40" s="40">
        <f t="shared" si="3"/>
        <v>0</v>
      </c>
    </row>
    <row r="41" spans="1:22" s="84" customFormat="1" ht="24.95" hidden="1" customHeight="1">
      <c r="A41" s="50" t="s">
        <v>411</v>
      </c>
      <c r="B41" s="3" t="s">
        <v>401</v>
      </c>
      <c r="C41" s="3"/>
      <c r="D41" s="26" t="s">
        <v>402</v>
      </c>
      <c r="E41" s="63">
        <v>0</v>
      </c>
      <c r="F41" s="63">
        <v>0</v>
      </c>
      <c r="G41" s="63">
        <v>0</v>
      </c>
      <c r="H41" s="63">
        <v>0</v>
      </c>
      <c r="I41" s="63">
        <v>0</v>
      </c>
      <c r="J41" s="63">
        <v>0</v>
      </c>
      <c r="K41" s="63">
        <v>0</v>
      </c>
      <c r="L41" s="63">
        <v>0</v>
      </c>
      <c r="M41" s="63">
        <v>0</v>
      </c>
      <c r="N41" s="63">
        <v>0</v>
      </c>
      <c r="O41" s="63">
        <v>0</v>
      </c>
      <c r="P41" s="63">
        <v>0</v>
      </c>
      <c r="Q41" s="142">
        <f t="shared" si="4"/>
        <v>0</v>
      </c>
      <c r="R41" s="142">
        <v>0</v>
      </c>
      <c r="U41" s="157"/>
      <c r="V41" s="40">
        <f t="shared" si="3"/>
        <v>0</v>
      </c>
    </row>
    <row r="42" spans="1:22" s="84" customFormat="1" ht="24.95" hidden="1" customHeight="1">
      <c r="A42" s="50" t="s">
        <v>411</v>
      </c>
      <c r="B42" s="3" t="s">
        <v>403</v>
      </c>
      <c r="C42" s="3"/>
      <c r="D42" s="26" t="s">
        <v>404</v>
      </c>
      <c r="E42" s="63">
        <v>0</v>
      </c>
      <c r="F42" s="63">
        <v>0</v>
      </c>
      <c r="G42" s="63">
        <v>0</v>
      </c>
      <c r="H42" s="63">
        <v>0</v>
      </c>
      <c r="I42" s="63">
        <v>0</v>
      </c>
      <c r="J42" s="63">
        <v>0</v>
      </c>
      <c r="K42" s="63">
        <v>0</v>
      </c>
      <c r="L42" s="63">
        <v>0</v>
      </c>
      <c r="M42" s="63">
        <v>0</v>
      </c>
      <c r="N42" s="63">
        <v>0</v>
      </c>
      <c r="O42" s="63">
        <v>0</v>
      </c>
      <c r="P42" s="63">
        <v>0</v>
      </c>
      <c r="Q42" s="142">
        <f t="shared" si="4"/>
        <v>0</v>
      </c>
      <c r="R42" s="142">
        <v>0</v>
      </c>
      <c r="U42" s="157"/>
      <c r="V42" s="40">
        <f t="shared" si="3"/>
        <v>0</v>
      </c>
    </row>
    <row r="43" spans="1:22" s="84" customFormat="1" ht="24.95" customHeight="1">
      <c r="A43" s="50" t="s">
        <v>411</v>
      </c>
      <c r="B43" s="3" t="s">
        <v>405</v>
      </c>
      <c r="C43" s="3"/>
      <c r="D43" s="26" t="s">
        <v>406</v>
      </c>
      <c r="E43" s="63">
        <f>+'Room Service'!E25</f>
        <v>0</v>
      </c>
      <c r="F43" s="63">
        <f>+'Room Service'!F25</f>
        <v>0</v>
      </c>
      <c r="G43" s="63">
        <f>+'Room Service'!G25</f>
        <v>0</v>
      </c>
      <c r="H43" s="63">
        <f>+'Room Service'!H25</f>
        <v>0</v>
      </c>
      <c r="I43" s="63">
        <f>+'Room Service'!I25</f>
        <v>0</v>
      </c>
      <c r="J43" s="63">
        <f>+'Room Service'!J25</f>
        <v>0</v>
      </c>
      <c r="K43" s="63">
        <f>+'Room Service'!K25</f>
        <v>0</v>
      </c>
      <c r="L43" s="63">
        <f>+'Room Service'!L25</f>
        <v>0</v>
      </c>
      <c r="M43" s="63">
        <f>+'Room Service'!M25</f>
        <v>0</v>
      </c>
      <c r="N43" s="63">
        <f>+'Room Service'!N25</f>
        <v>0</v>
      </c>
      <c r="O43" s="63">
        <f>+'Room Service'!O25</f>
        <v>0</v>
      </c>
      <c r="P43" s="63">
        <f>+'Room Service'!P25</f>
        <v>0</v>
      </c>
      <c r="Q43" s="142">
        <f t="shared" si="4"/>
        <v>0</v>
      </c>
      <c r="R43" s="142">
        <v>54631.05</v>
      </c>
      <c r="U43" s="157"/>
      <c r="V43" s="40">
        <f t="shared" si="3"/>
        <v>0</v>
      </c>
    </row>
    <row r="44" spans="1:22" s="84" customFormat="1" ht="24.95" customHeight="1">
      <c r="A44" s="50" t="s">
        <v>411</v>
      </c>
      <c r="B44" s="3" t="s">
        <v>407</v>
      </c>
      <c r="C44" s="3"/>
      <c r="D44" s="26" t="s">
        <v>408</v>
      </c>
      <c r="E44" s="63">
        <f>+Banquet!E25</f>
        <v>0</v>
      </c>
      <c r="F44" s="63">
        <f>+Banquet!F25</f>
        <v>0</v>
      </c>
      <c r="G44" s="63">
        <f>+Banquet!G25</f>
        <v>0</v>
      </c>
      <c r="H44" s="63">
        <f>+Banquet!H25</f>
        <v>0</v>
      </c>
      <c r="I44" s="63">
        <f>+Banquet!I25</f>
        <v>0</v>
      </c>
      <c r="J44" s="63">
        <f>+Banquet!J25</f>
        <v>0</v>
      </c>
      <c r="K44" s="63">
        <f>+Banquet!K25</f>
        <v>0</v>
      </c>
      <c r="L44" s="63">
        <f>+Banquet!L25</f>
        <v>0</v>
      </c>
      <c r="M44" s="63">
        <f>+Banquet!M25</f>
        <v>0</v>
      </c>
      <c r="N44" s="63">
        <f>+Banquet!N25</f>
        <v>0</v>
      </c>
      <c r="O44" s="63">
        <f>+Banquet!O25</f>
        <v>0</v>
      </c>
      <c r="P44" s="63">
        <f>+Banquet!P25</f>
        <v>0</v>
      </c>
      <c r="Q44" s="142">
        <f t="shared" si="4"/>
        <v>0</v>
      </c>
      <c r="R44" s="142">
        <v>450880.85</v>
      </c>
      <c r="U44" s="157"/>
      <c r="V44" s="40">
        <f t="shared" si="3"/>
        <v>0</v>
      </c>
    </row>
    <row r="45" spans="1:22" s="84" customFormat="1" ht="24.95" customHeight="1">
      <c r="A45" s="3"/>
      <c r="B45" s="3"/>
      <c r="C45" s="3"/>
      <c r="D45" s="21" t="s">
        <v>413</v>
      </c>
      <c r="E45" s="45">
        <f>SUM(E30:E44)</f>
        <v>3500</v>
      </c>
      <c r="F45" s="45">
        <f t="shared" ref="F45:Q45" si="5">SUM(F30:F44)</f>
        <v>1500</v>
      </c>
      <c r="G45" s="45">
        <f t="shared" si="5"/>
        <v>3500</v>
      </c>
      <c r="H45" s="45">
        <f t="shared" si="5"/>
        <v>4500</v>
      </c>
      <c r="I45" s="45">
        <f t="shared" si="5"/>
        <v>7000</v>
      </c>
      <c r="J45" s="45">
        <f t="shared" si="5"/>
        <v>5800</v>
      </c>
      <c r="K45" s="45">
        <f t="shared" si="5"/>
        <v>5800</v>
      </c>
      <c r="L45" s="45">
        <f t="shared" si="5"/>
        <v>5800</v>
      </c>
      <c r="M45" s="45">
        <f t="shared" si="5"/>
        <v>5800</v>
      </c>
      <c r="N45" s="45">
        <f t="shared" si="5"/>
        <v>9500</v>
      </c>
      <c r="O45" s="45">
        <f t="shared" si="5"/>
        <v>5800</v>
      </c>
      <c r="P45" s="45">
        <f t="shared" si="5"/>
        <v>6800</v>
      </c>
      <c r="Q45" s="45">
        <f t="shared" si="5"/>
        <v>65300</v>
      </c>
      <c r="R45" s="45">
        <v>2033616.81</v>
      </c>
      <c r="U45" s="157"/>
      <c r="V45" s="40" t="e">
        <f t="shared" si="3"/>
        <v>#DIV/0!</v>
      </c>
    </row>
    <row r="46" spans="1:22" s="84" customFormat="1" ht="24.95" customHeight="1">
      <c r="A46" s="50" t="s">
        <v>414</v>
      </c>
      <c r="B46" s="3" t="s">
        <v>415</v>
      </c>
      <c r="C46" s="3"/>
      <c r="D46" s="26" t="s">
        <v>416</v>
      </c>
      <c r="E46" s="63">
        <f>+Banquet!E26</f>
        <v>60000</v>
      </c>
      <c r="F46" s="63">
        <f>+Banquet!F26</f>
        <v>50000</v>
      </c>
      <c r="G46" s="63">
        <f>+Banquet!G26</f>
        <v>40000</v>
      </c>
      <c r="H46" s="63">
        <f>+Banquet!H26</f>
        <v>100000</v>
      </c>
      <c r="I46" s="63">
        <f>+Banquet!I26</f>
        <v>70000</v>
      </c>
      <c r="J46" s="63">
        <f>+Banquet!J26</f>
        <v>60000</v>
      </c>
      <c r="K46" s="63">
        <f>+Banquet!K26</f>
        <v>80000</v>
      </c>
      <c r="L46" s="63">
        <f>+Banquet!L26</f>
        <v>80000</v>
      </c>
      <c r="M46" s="63">
        <f>+Banquet!M26</f>
        <v>50000</v>
      </c>
      <c r="N46" s="63">
        <f>+Banquet!N26</f>
        <v>60000</v>
      </c>
      <c r="O46" s="63">
        <f>+Banquet!O26</f>
        <v>100000</v>
      </c>
      <c r="P46" s="63">
        <f>+Banquet!P26</f>
        <v>60000</v>
      </c>
      <c r="Q46" s="142">
        <f>SUM(E46:P46)</f>
        <v>810000</v>
      </c>
      <c r="R46" s="142">
        <v>1850324.31</v>
      </c>
      <c r="U46" s="157"/>
      <c r="V46" s="40" t="e">
        <f t="shared" si="3"/>
        <v>#DIV/0!</v>
      </c>
    </row>
    <row r="47" spans="1:22" s="84" customFormat="1" ht="24.95" customHeight="1">
      <c r="A47" s="50" t="s">
        <v>417</v>
      </c>
      <c r="B47" s="3" t="s">
        <v>415</v>
      </c>
      <c r="C47" s="3"/>
      <c r="D47" s="26" t="s">
        <v>418</v>
      </c>
      <c r="E47" s="63">
        <f>Minibar!E16</f>
        <v>0</v>
      </c>
      <c r="F47" s="63">
        <f>Minibar!F16</f>
        <v>0</v>
      </c>
      <c r="G47" s="63">
        <f>Minibar!G16</f>
        <v>0</v>
      </c>
      <c r="H47" s="63">
        <f>Minibar!H16</f>
        <v>0</v>
      </c>
      <c r="I47" s="63">
        <f>Minibar!I16</f>
        <v>0</v>
      </c>
      <c r="J47" s="63">
        <f>Minibar!J16</f>
        <v>0</v>
      </c>
      <c r="K47" s="63">
        <f>Minibar!K16</f>
        <v>0</v>
      </c>
      <c r="L47" s="63">
        <f>Minibar!L16</f>
        <v>0</v>
      </c>
      <c r="M47" s="63">
        <f>Minibar!M16</f>
        <v>0</v>
      </c>
      <c r="N47" s="63">
        <f>Minibar!N16</f>
        <v>0</v>
      </c>
      <c r="O47" s="63">
        <f>Minibar!O16</f>
        <v>0</v>
      </c>
      <c r="P47" s="63">
        <f>Minibar!P16</f>
        <v>0</v>
      </c>
      <c r="Q47" s="142">
        <f>SUM(E47:P47)</f>
        <v>0</v>
      </c>
      <c r="R47" s="142">
        <v>144257.51999999999</v>
      </c>
      <c r="U47" s="157"/>
      <c r="V47" s="40">
        <f t="shared" si="3"/>
        <v>0</v>
      </c>
    </row>
    <row r="48" spans="1:22" s="84" customFormat="1" ht="24.95" customHeight="1">
      <c r="A48" s="50" t="s">
        <v>419</v>
      </c>
      <c r="B48" s="3" t="s">
        <v>415</v>
      </c>
      <c r="C48" s="3"/>
      <c r="D48" s="26" t="s">
        <v>420</v>
      </c>
      <c r="E48" s="63">
        <f>+'Lobby Lounge'!E26+'ADD-Mhub lounge'!E26+'Royal Court'!E26+'MP Cafe'!E26+'MP Dining'!E26+'Room Service'!E26+Banquet!E27</f>
        <v>60000</v>
      </c>
      <c r="F48" s="63">
        <f>+'Lobby Lounge'!F26+'ADD-Mhub lounge'!F26+'Royal Court'!F26+'MP Cafe'!F26+'MP Dining'!F26+'Room Service'!F26+Banquet!F27</f>
        <v>0</v>
      </c>
      <c r="G48" s="63">
        <f>+'Lobby Lounge'!G26+'ADD-Mhub lounge'!G26+'Royal Court'!G26+'MP Cafe'!G26+'MP Dining'!G26+'Room Service'!G26+Banquet!G27</f>
        <v>0</v>
      </c>
      <c r="H48" s="63">
        <f>+'Lobby Lounge'!H26+'ADD-Mhub lounge'!H26+'Royal Court'!H26+'MP Cafe'!H26+'MP Dining'!H26+'Room Service'!H26+Banquet!H27</f>
        <v>0</v>
      </c>
      <c r="I48" s="63">
        <f>+'Lobby Lounge'!I26+'ADD-Mhub lounge'!I26+'Royal Court'!I26+'MP Cafe'!I26+'MP Dining'!I26+'Room Service'!I26+Banquet!I27</f>
        <v>150000</v>
      </c>
      <c r="J48" s="63">
        <f>+'Lobby Lounge'!J26+'ADD-Mhub lounge'!J26+'Royal Court'!J26+'MP Cafe'!J26+'MP Dining'!J26+'Room Service'!J26+Banquet!J27</f>
        <v>0</v>
      </c>
      <c r="K48" s="63">
        <f>+'Lobby Lounge'!K26+'ADD-Mhub lounge'!K26+'Royal Court'!K26+'MP Cafe'!K26+'MP Dining'!K26+'Room Service'!K26+Banquet!K27</f>
        <v>0</v>
      </c>
      <c r="L48" s="63">
        <f>+'Lobby Lounge'!L26+'ADD-Mhub lounge'!L26+'Royal Court'!L26+'MP Cafe'!L26+'MP Dining'!L26+'Room Service'!L26+Banquet!L27</f>
        <v>0</v>
      </c>
      <c r="M48" s="63">
        <f>+'Lobby Lounge'!M26+'ADD-Mhub lounge'!M26+'Royal Court'!M26+'MP Cafe'!M26+'MP Dining'!M26+'Room Service'!M26+Banquet!M27</f>
        <v>0</v>
      </c>
      <c r="N48" s="63">
        <f>+'Lobby Lounge'!N26+'ADD-Mhub lounge'!N26+'Royal Court'!N26+'MP Cafe'!N26+'MP Dining'!N26+'Room Service'!N26+Banquet!N27</f>
        <v>250000</v>
      </c>
      <c r="O48" s="63">
        <f>+'Lobby Lounge'!O26+'ADD-Mhub lounge'!O26+'Royal Court'!O26+'MP Cafe'!O26+'MP Dining'!O26+'Room Service'!O26+Banquet!O27</f>
        <v>0</v>
      </c>
      <c r="P48" s="63">
        <f>+'Lobby Lounge'!P26+'ADD-Mhub lounge'!P26+'Royal Court'!P26+'MP Cafe'!P26+'MP Dining'!P26+'Room Service'!P26+Banquet!P27</f>
        <v>0</v>
      </c>
      <c r="Q48" s="142">
        <f>SUM(E48:P48)</f>
        <v>460000</v>
      </c>
      <c r="R48" s="142">
        <v>985568.42</v>
      </c>
      <c r="U48" s="157"/>
      <c r="V48" s="40" t="e">
        <f t="shared" si="3"/>
        <v>#DIV/0!</v>
      </c>
    </row>
    <row r="49" spans="1:22" s="84" customFormat="1" ht="24.95" customHeight="1">
      <c r="A49" s="50" t="s">
        <v>126</v>
      </c>
      <c r="B49" s="3" t="s">
        <v>415</v>
      </c>
      <c r="C49" s="3"/>
      <c r="D49" s="26" t="s">
        <v>421</v>
      </c>
      <c r="E49" s="63">
        <f>+'Lobby Lounge'!E27+'ADD-Mhub lounge'!E27+'Royal Court'!E27+'MP Cafe'!E27+'MP Dining'!E27+'Room Service'!E27+Banquet!E28</f>
        <v>12336</v>
      </c>
      <c r="F49" s="63">
        <f>+'Lobby Lounge'!F27+'ADD-Mhub lounge'!F27+'Royal Court'!F27+'MP Cafe'!F27+'MP Dining'!F27+'Room Service'!F27+Banquet!F28</f>
        <v>11232</v>
      </c>
      <c r="G49" s="63">
        <f>+'Lobby Lounge'!G27+'ADD-Mhub lounge'!G27+'Royal Court'!G27+'MP Cafe'!G27+'MP Dining'!G27+'Room Service'!G27+Banquet!G28</f>
        <v>15048</v>
      </c>
      <c r="H49" s="63">
        <f>+'Lobby Lounge'!H27+'ADD-Mhub lounge'!H27+'Royal Court'!H27+'MP Cafe'!H27+'MP Dining'!H27+'Room Service'!H27+Banquet!H28</f>
        <v>17208</v>
      </c>
      <c r="I49" s="63">
        <f>+'Lobby Lounge'!I27+'ADD-Mhub lounge'!I27+'Royal Court'!I27+'MP Cafe'!I27+'MP Dining'!I27+'Room Service'!I27+Banquet!I28</f>
        <v>17784</v>
      </c>
      <c r="J49" s="63">
        <f>+'Lobby Lounge'!J27+'ADD-Mhub lounge'!J27+'Royal Court'!J27+'MP Cafe'!J27+'MP Dining'!J27+'Room Service'!J27+Banquet!J28</f>
        <v>16488</v>
      </c>
      <c r="K49" s="63">
        <f>+'Lobby Lounge'!K27+'ADD-Mhub lounge'!K27+'Royal Court'!K27+'MP Cafe'!K27+'MP Dining'!K27+'Room Service'!K27+Banquet!K28</f>
        <v>18888</v>
      </c>
      <c r="L49" s="63">
        <f>+'Lobby Lounge'!L27+'ADD-Mhub lounge'!L27+'Royal Court'!L27+'MP Cafe'!L27+'MP Dining'!L27+'Room Service'!L27+Banquet!L28</f>
        <v>19128</v>
      </c>
      <c r="M49" s="63">
        <f>+'Lobby Lounge'!M27+'ADD-Mhub lounge'!M27+'Royal Court'!M27+'MP Cafe'!M27+'MP Dining'!M27+'Room Service'!M27+Banquet!M28</f>
        <v>19368</v>
      </c>
      <c r="N49" s="63">
        <f>+'Lobby Lounge'!N27+'ADD-Mhub lounge'!N27+'Royal Court'!N27+'MP Cafe'!N27+'MP Dining'!N27+'Room Service'!N27+Banquet!N28</f>
        <v>19728</v>
      </c>
      <c r="O49" s="63">
        <f>+'Lobby Lounge'!O27+'ADD-Mhub lounge'!O27+'Royal Court'!O27+'MP Cafe'!O27+'MP Dining'!O27+'Room Service'!O27+Banquet!O28</f>
        <v>18888</v>
      </c>
      <c r="P49" s="63">
        <f>+'Lobby Lounge'!P27+'ADD-Mhub lounge'!P27+'Royal Court'!P27+'MP Cafe'!P27+'MP Dining'!P27+'Room Service'!P27+Banquet!P28</f>
        <v>17928</v>
      </c>
      <c r="Q49" s="142">
        <f>SUM(E49:P49)</f>
        <v>204024</v>
      </c>
      <c r="R49" s="142">
        <v>3248563.8810000001</v>
      </c>
      <c r="S49" s="84">
        <f>Q49/Q50</f>
        <v>1.915706797630512E-2</v>
      </c>
      <c r="U49" s="157"/>
      <c r="V49" s="40" t="e">
        <f t="shared" si="3"/>
        <v>#DIV/0!</v>
      </c>
    </row>
    <row r="50" spans="1:22" s="84" customFormat="1" ht="24.95" customHeight="1">
      <c r="A50" s="50"/>
      <c r="B50" s="3"/>
      <c r="C50" s="3"/>
      <c r="D50" s="21" t="s">
        <v>422</v>
      </c>
      <c r="E50" s="45">
        <f>E27+E45+E46+E47+E48+E49</f>
        <v>822696</v>
      </c>
      <c r="F50" s="45">
        <f t="shared" ref="F50:Q50" si="6">F27+F45+F46+F47+F48+F49</f>
        <v>547052</v>
      </c>
      <c r="G50" s="45">
        <f t="shared" si="6"/>
        <v>666028</v>
      </c>
      <c r="H50" s="45">
        <f t="shared" si="6"/>
        <v>872788</v>
      </c>
      <c r="I50" s="45">
        <f t="shared" si="6"/>
        <v>1098624</v>
      </c>
      <c r="J50" s="45">
        <f t="shared" si="6"/>
        <v>827168</v>
      </c>
      <c r="K50" s="45">
        <f t="shared" si="6"/>
        <v>934568</v>
      </c>
      <c r="L50" s="45">
        <f t="shared" si="6"/>
        <v>957208</v>
      </c>
      <c r="M50" s="45">
        <f t="shared" si="6"/>
        <v>1019848</v>
      </c>
      <c r="N50" s="45">
        <f t="shared" si="6"/>
        <v>1264508</v>
      </c>
      <c r="O50" s="45">
        <f t="shared" si="6"/>
        <v>849568</v>
      </c>
      <c r="P50" s="45">
        <f t="shared" si="6"/>
        <v>790008</v>
      </c>
      <c r="Q50" s="45">
        <f t="shared" si="6"/>
        <v>10650064</v>
      </c>
      <c r="R50" s="45">
        <v>39757380.901000001</v>
      </c>
      <c r="U50" s="157"/>
      <c r="V50" s="40" t="e">
        <f t="shared" si="3"/>
        <v>#DIV/0!</v>
      </c>
    </row>
    <row r="51" spans="1:22" s="84" customFormat="1" ht="24.95" customHeight="1">
      <c r="A51" s="50"/>
      <c r="B51" s="3"/>
      <c r="C51" s="3"/>
      <c r="D51" s="26"/>
      <c r="E51" s="63"/>
      <c r="F51" s="63"/>
      <c r="G51" s="63"/>
      <c r="H51" s="63"/>
      <c r="I51" s="63"/>
      <c r="J51" s="63"/>
      <c r="K51" s="63"/>
      <c r="L51" s="63"/>
      <c r="M51" s="63"/>
      <c r="N51" s="63"/>
      <c r="O51" s="63"/>
      <c r="P51" s="63"/>
      <c r="U51" s="157"/>
      <c r="V51" s="40"/>
    </row>
    <row r="52" spans="1:22" s="84" customFormat="1" ht="24.95" customHeight="1">
      <c r="A52" s="50"/>
      <c r="B52" s="3"/>
      <c r="C52" s="3"/>
      <c r="D52" s="21" t="s">
        <v>423</v>
      </c>
      <c r="E52" s="63"/>
      <c r="F52" s="63"/>
      <c r="G52" s="63"/>
      <c r="H52" s="63"/>
      <c r="I52" s="63"/>
      <c r="J52" s="63"/>
      <c r="K52" s="63"/>
      <c r="L52" s="63"/>
      <c r="M52" s="63"/>
      <c r="N52" s="63"/>
      <c r="O52" s="63"/>
      <c r="P52" s="63"/>
      <c r="U52" s="157"/>
      <c r="V52" s="40"/>
    </row>
    <row r="53" spans="1:22" s="84" customFormat="1" ht="24.95" customHeight="1">
      <c r="A53" s="50" t="s">
        <v>424</v>
      </c>
      <c r="B53" s="3" t="s">
        <v>415</v>
      </c>
      <c r="C53" s="3"/>
      <c r="D53" s="26" t="s">
        <v>425</v>
      </c>
      <c r="E53" s="63">
        <f>+'Lobby Lounge'!E31+'ADD-Mhub lounge'!E31+'Royal Court'!E31+'MP Cafe'!E31+'MP Dining'!E31+'Room Service'!E31+Banquet!E32</f>
        <v>274362.59999999998</v>
      </c>
      <c r="F53" s="63">
        <f>+'Lobby Lounge'!F31+'ADD-Mhub lounge'!F31+'Royal Court'!F31+'MP Cafe'!F31+'MP Dining'!F31+'Room Service'!F31+Banquet!F32</f>
        <v>194071.2</v>
      </c>
      <c r="G53" s="63">
        <f>+'Lobby Lounge'!G31+'ADD-Mhub lounge'!G31+'Royal Court'!G31+'MP Cafe'!G31+'MP Dining'!G31+'Room Service'!G31+Banquet!G32</f>
        <v>243066.8</v>
      </c>
      <c r="H53" s="63">
        <f>+'Lobby Lounge'!H31+'ADD-Mhub lounge'!H31+'Royal Court'!H31+'MP Cafe'!H31+'MP Dining'!H31+'Room Service'!H31+Banquet!H32</f>
        <v>299942.8</v>
      </c>
      <c r="I53" s="63">
        <f>+'Lobby Lounge'!I31+'ADD-Mhub lounge'!I31+'Royal Court'!I31+'MP Cafe'!I31+'MP Dining'!I31+'Room Service'!I31+Banquet!I32</f>
        <v>340824.4</v>
      </c>
      <c r="J53" s="63">
        <f>+'Lobby Lounge'!J31+'ADD-Mhub lounge'!J31+'Royal Court'!J31+'MP Cafe'!J31+'MP Dining'!J31+'Room Service'!J31+Banquet!J32</f>
        <v>297650.8</v>
      </c>
      <c r="K53" s="63">
        <f>+'Lobby Lounge'!K31+'ADD-Mhub lounge'!K31+'Royal Court'!K31+'MP Cafe'!K31+'MP Dining'!K31+'Room Service'!K31+Banquet!K32</f>
        <v>331000.8</v>
      </c>
      <c r="L53" s="63">
        <f>+'Lobby Lounge'!L31+'ADD-Mhub lounge'!L31+'Royal Court'!L31+'MP Cafe'!L31+'MP Dining'!L31+'Room Service'!L31+Banquet!L32</f>
        <v>339684.8</v>
      </c>
      <c r="M53" s="63">
        <f>+'Lobby Lounge'!M31+'ADD-Mhub lounge'!M31+'Royal Court'!M31+'MP Cafe'!M31+'MP Dining'!M31+'Room Service'!M31+Banquet!M32</f>
        <v>375568.8</v>
      </c>
      <c r="N53" s="63">
        <f>+'Lobby Lounge'!N31+'ADD-Mhub lounge'!N31+'Royal Court'!N31+'MP Cafe'!N31+'MP Dining'!N31+'Room Service'!N31+Banquet!N32</f>
        <v>368864.8</v>
      </c>
      <c r="O53" s="63">
        <f>+'Lobby Lounge'!O31+'ADD-Mhub lounge'!O31+'Royal Court'!O31+'MP Cafe'!O31+'MP Dining'!O31+'Room Service'!O31+Banquet!O32</f>
        <v>290950.8</v>
      </c>
      <c r="P53" s="63">
        <f>+'Lobby Lounge'!P31+'ADD-Mhub lounge'!P31+'Royal Court'!P31+'MP Cafe'!P31+'MP Dining'!P31+'Room Service'!P31+Banquet!P32</f>
        <v>283414.8</v>
      </c>
      <c r="Q53" s="142">
        <f>SUM(E53:P53)</f>
        <v>3639403.399999999</v>
      </c>
      <c r="R53" s="142">
        <v>10992235.045499999</v>
      </c>
      <c r="S53" s="168">
        <f>Q53/Q27</f>
        <v>0.3994629854435533</v>
      </c>
      <c r="T53" s="168"/>
      <c r="U53" s="157"/>
      <c r="V53" s="40" t="e">
        <f>-IF(Q53-U53=0,0,(Q53-U53)/U53)</f>
        <v>#DIV/0!</v>
      </c>
    </row>
    <row r="54" spans="1:22" s="84" customFormat="1" ht="24.95" customHeight="1">
      <c r="A54" s="3" t="s">
        <v>426</v>
      </c>
      <c r="B54" s="3" t="s">
        <v>415</v>
      </c>
      <c r="C54" s="3"/>
      <c r="D54" s="26" t="s">
        <v>427</v>
      </c>
      <c r="E54" s="63">
        <f>+'Lobby Lounge'!E32+'ADD-Mhub lounge'!E32+'Royal Court'!E32+'MP Cafe'!E32+'MP Dining'!E32+'Room Service'!E32+Banquet!E33</f>
        <v>1225</v>
      </c>
      <c r="F54" s="63">
        <f>+'Lobby Lounge'!F32+'ADD-Mhub lounge'!F32+'Royal Court'!F32+'MP Cafe'!F32+'MP Dining'!F32+'Room Service'!F32+Banquet!F33</f>
        <v>525</v>
      </c>
      <c r="G54" s="63">
        <f>+'Lobby Lounge'!G32+'ADD-Mhub lounge'!G32+'Royal Court'!G32+'MP Cafe'!G32+'MP Dining'!G32+'Room Service'!G32+Banquet!G33</f>
        <v>1225</v>
      </c>
      <c r="H54" s="63">
        <f>+'Lobby Lounge'!H32+'ADD-Mhub lounge'!H32+'Royal Court'!H32+'MP Cafe'!H32+'MP Dining'!H32+'Room Service'!H32+Banquet!H33</f>
        <v>1575</v>
      </c>
      <c r="I54" s="63">
        <f>+'Lobby Lounge'!I32+'ADD-Mhub lounge'!I32+'Royal Court'!I32+'MP Cafe'!I32+'MP Dining'!I32+'Room Service'!I32+Banquet!I33</f>
        <v>2450</v>
      </c>
      <c r="J54" s="63">
        <f>+'Lobby Lounge'!J32+'ADD-Mhub lounge'!J32+'Royal Court'!J32+'MP Cafe'!J32+'MP Dining'!J32+'Room Service'!J32+Banquet!J33</f>
        <v>2030</v>
      </c>
      <c r="K54" s="63">
        <f>+'Lobby Lounge'!K32+'ADD-Mhub lounge'!K32+'Royal Court'!K32+'MP Cafe'!K32+'MP Dining'!K32+'Room Service'!K32+Banquet!K33</f>
        <v>2030</v>
      </c>
      <c r="L54" s="63">
        <f>+'Lobby Lounge'!L32+'ADD-Mhub lounge'!L32+'Royal Court'!L32+'MP Cafe'!L32+'MP Dining'!L32+'Room Service'!L32+Banquet!L33</f>
        <v>2030</v>
      </c>
      <c r="M54" s="63">
        <f>+'Lobby Lounge'!M32+'ADD-Mhub lounge'!M32+'Royal Court'!M32+'MP Cafe'!M32+'MP Dining'!M32+'Room Service'!M32+Banquet!M33</f>
        <v>2030</v>
      </c>
      <c r="N54" s="63">
        <f>+'Lobby Lounge'!N32+'ADD-Mhub lounge'!N32+'Royal Court'!N32+'MP Cafe'!N32+'MP Dining'!N32+'Room Service'!N32+Banquet!N33</f>
        <v>3325</v>
      </c>
      <c r="O54" s="63">
        <f>+'Lobby Lounge'!O32+'ADD-Mhub lounge'!O32+'Royal Court'!O32+'MP Cafe'!O32+'MP Dining'!O32+'Room Service'!O32+Banquet!O33</f>
        <v>2030</v>
      </c>
      <c r="P54" s="63">
        <f>+'Lobby Lounge'!P32+'ADD-Mhub lounge'!P32+'Royal Court'!P32+'MP Cafe'!P32+'MP Dining'!P32+'Room Service'!P32+Banquet!P33</f>
        <v>2380</v>
      </c>
      <c r="Q54" s="142">
        <f>SUM(E54:P54)</f>
        <v>22855</v>
      </c>
      <c r="R54" s="142">
        <v>404486.364</v>
      </c>
      <c r="S54" s="168">
        <f>Q54/Q45</f>
        <v>0.35</v>
      </c>
      <c r="T54" s="168"/>
      <c r="U54" s="157"/>
      <c r="V54" s="40" t="e">
        <f t="shared" ref="V54:V57" si="7">-IF(Q54-U54=0,0,(Q54-U54)/U54)</f>
        <v>#DIV/0!</v>
      </c>
    </row>
    <row r="55" spans="1:22" s="84" customFormat="1" ht="24.95" customHeight="1">
      <c r="A55" s="3" t="s">
        <v>428</v>
      </c>
      <c r="B55" s="3" t="s">
        <v>415</v>
      </c>
      <c r="C55" s="3"/>
      <c r="D55" s="26" t="s">
        <v>429</v>
      </c>
      <c r="E55" s="63">
        <f>Minibar!E22</f>
        <v>0</v>
      </c>
      <c r="F55" s="63">
        <f>Minibar!F22</f>
        <v>0</v>
      </c>
      <c r="G55" s="63">
        <f>Minibar!G22</f>
        <v>0</v>
      </c>
      <c r="H55" s="63">
        <f>Minibar!H22</f>
        <v>0</v>
      </c>
      <c r="I55" s="63">
        <f>Minibar!I22</f>
        <v>0</v>
      </c>
      <c r="J55" s="63">
        <f>Minibar!J22</f>
        <v>0</v>
      </c>
      <c r="K55" s="63">
        <f>Minibar!K22</f>
        <v>0</v>
      </c>
      <c r="L55" s="63">
        <f>Minibar!L22</f>
        <v>0</v>
      </c>
      <c r="M55" s="63">
        <f>Minibar!M22</f>
        <v>0</v>
      </c>
      <c r="N55" s="63">
        <f>Minibar!N22</f>
        <v>0</v>
      </c>
      <c r="O55" s="63">
        <f>Minibar!O22</f>
        <v>0</v>
      </c>
      <c r="P55" s="63">
        <f>Minibar!P22</f>
        <v>0</v>
      </c>
      <c r="Q55" s="142">
        <f>SUM(E55:P55)</f>
        <v>0</v>
      </c>
      <c r="R55" s="142">
        <v>36353.360000000001</v>
      </c>
      <c r="S55" s="168">
        <f>IF(Q47=0,0,Q55/Q47)</f>
        <v>0</v>
      </c>
      <c r="T55" s="168"/>
      <c r="U55" s="157"/>
      <c r="V55" s="40">
        <f t="shared" si="7"/>
        <v>0</v>
      </c>
    </row>
    <row r="56" spans="1:22" s="84" customFormat="1" ht="24.95" customHeight="1">
      <c r="A56" s="3" t="s">
        <v>430</v>
      </c>
      <c r="B56" s="3" t="s">
        <v>415</v>
      </c>
      <c r="C56" s="3"/>
      <c r="D56" s="26" t="s">
        <v>431</v>
      </c>
      <c r="E56" s="63">
        <f>+'Lobby Lounge'!E33+'ADD-Mhub lounge'!E33+'Royal Court'!E33+'MP Cafe'!E33+'MP Dining'!E33+'Room Service'!E33+Banquet!E34</f>
        <v>36000</v>
      </c>
      <c r="F56" s="63">
        <f>+'Lobby Lounge'!F33+'ADD-Mhub lounge'!F33+'Royal Court'!F33+'MP Cafe'!F33+'MP Dining'!F33+'Room Service'!F33+Banquet!F34</f>
        <v>0</v>
      </c>
      <c r="G56" s="63">
        <f>+'Lobby Lounge'!G33+'ADD-Mhub lounge'!G33+'Royal Court'!G33+'MP Cafe'!G33+'MP Dining'!G33+'Room Service'!G33+Banquet!G34</f>
        <v>0</v>
      </c>
      <c r="H56" s="63">
        <f>+'Lobby Lounge'!H33+'ADD-Mhub lounge'!H33+'Royal Court'!H33+'MP Cafe'!H33+'MP Dining'!H33+'Room Service'!H33+Banquet!H34</f>
        <v>0</v>
      </c>
      <c r="I56" s="63">
        <f>+'Lobby Lounge'!I33+'ADD-Mhub lounge'!I33+'Royal Court'!I33+'MP Cafe'!I33+'MP Dining'!I33+'Room Service'!I33+Banquet!I34</f>
        <v>90000</v>
      </c>
      <c r="J56" s="63">
        <f>+'Lobby Lounge'!J33+'ADD-Mhub lounge'!J33+'Royal Court'!J33+'MP Cafe'!J33+'MP Dining'!J33+'Room Service'!J33+Banquet!J34</f>
        <v>0</v>
      </c>
      <c r="K56" s="63">
        <f>+'Lobby Lounge'!K33+'ADD-Mhub lounge'!K33+'Royal Court'!K33+'MP Cafe'!K33+'MP Dining'!K33+'Room Service'!K33+Banquet!K34</f>
        <v>0</v>
      </c>
      <c r="L56" s="63">
        <f>+'Lobby Lounge'!L33+'ADD-Mhub lounge'!L33+'Royal Court'!L33+'MP Cafe'!L33+'MP Dining'!L33+'Room Service'!L33+Banquet!L34</f>
        <v>0</v>
      </c>
      <c r="M56" s="63">
        <f>+'Lobby Lounge'!M33+'ADD-Mhub lounge'!M33+'Royal Court'!M33+'MP Cafe'!M33+'MP Dining'!M33+'Room Service'!M33+Banquet!M34</f>
        <v>0</v>
      </c>
      <c r="N56" s="63">
        <f>+'Lobby Lounge'!N33+'ADD-Mhub lounge'!N33+'Royal Court'!N33+'MP Cafe'!N33+'MP Dining'!N33+'Room Service'!N33+Banquet!N34</f>
        <v>150000</v>
      </c>
      <c r="O56" s="63">
        <f>+'Lobby Lounge'!O33+'ADD-Mhub lounge'!O33+'Royal Court'!O33+'MP Cafe'!O33+'MP Dining'!O33+'Room Service'!O33+Banquet!O34</f>
        <v>0</v>
      </c>
      <c r="P56" s="63">
        <f>+'Lobby Lounge'!P33+'ADD-Mhub lounge'!P33+'Royal Court'!P33+'MP Cafe'!P33+'MP Dining'!P33+'Room Service'!P33+Banquet!P34</f>
        <v>0</v>
      </c>
      <c r="Q56" s="142">
        <f>SUM(E56:P56)</f>
        <v>276000</v>
      </c>
      <c r="R56" s="142">
        <v>172340.09</v>
      </c>
      <c r="S56" s="168">
        <f>Q56/Q48</f>
        <v>0.6</v>
      </c>
      <c r="T56" s="168"/>
      <c r="U56" s="157"/>
      <c r="V56" s="40" t="e">
        <f t="shared" si="7"/>
        <v>#DIV/0!</v>
      </c>
    </row>
    <row r="57" spans="1:22" s="84" customFormat="1" ht="24.95" customHeight="1">
      <c r="A57" s="3"/>
      <c r="B57" s="3"/>
      <c r="C57" s="3"/>
      <c r="D57" s="21" t="s">
        <v>432</v>
      </c>
      <c r="E57" s="45">
        <f>+SUM(E53:E56)</f>
        <v>311587.59999999998</v>
      </c>
      <c r="F57" s="45">
        <f t="shared" ref="F57:P57" si="8">+SUM(F53:F56)</f>
        <v>194596.2</v>
      </c>
      <c r="G57" s="45">
        <f t="shared" si="8"/>
        <v>244291.8</v>
      </c>
      <c r="H57" s="45">
        <f t="shared" si="8"/>
        <v>301517.8</v>
      </c>
      <c r="I57" s="45">
        <f t="shared" si="8"/>
        <v>433274.4</v>
      </c>
      <c r="J57" s="45">
        <f t="shared" si="8"/>
        <v>299680.8</v>
      </c>
      <c r="K57" s="45">
        <f t="shared" si="8"/>
        <v>333030.8</v>
      </c>
      <c r="L57" s="45">
        <f t="shared" si="8"/>
        <v>341714.8</v>
      </c>
      <c r="M57" s="45">
        <f t="shared" si="8"/>
        <v>377598.8</v>
      </c>
      <c r="N57" s="45">
        <f t="shared" si="8"/>
        <v>522189.8</v>
      </c>
      <c r="O57" s="45">
        <f t="shared" si="8"/>
        <v>292980.8</v>
      </c>
      <c r="P57" s="45">
        <f t="shared" si="8"/>
        <v>285794.8</v>
      </c>
      <c r="Q57" s="45">
        <f>SUM(Q53:Q56)</f>
        <v>3938258.399999999</v>
      </c>
      <c r="R57" s="45">
        <v>11605414.8595</v>
      </c>
      <c r="S57" s="168">
        <f>Q57/$Q$50</f>
        <v>0.36978729893078566</v>
      </c>
      <c r="T57" s="168"/>
      <c r="U57" s="157"/>
      <c r="V57" s="40" t="e">
        <f t="shared" si="7"/>
        <v>#DIV/0!</v>
      </c>
    </row>
    <row r="58" spans="1:22" s="84" customFormat="1" ht="24.95" customHeight="1">
      <c r="A58" s="3"/>
      <c r="B58" s="3"/>
      <c r="C58" s="3"/>
      <c r="D58" s="26"/>
      <c r="E58" s="63"/>
      <c r="F58" s="63"/>
      <c r="G58" s="63"/>
      <c r="H58" s="63"/>
      <c r="I58" s="63"/>
      <c r="J58" s="3"/>
      <c r="K58" s="3"/>
      <c r="L58" s="161"/>
      <c r="Q58" s="159"/>
      <c r="U58" s="157"/>
      <c r="V58" s="40"/>
    </row>
    <row r="59" spans="1:22" s="84" customFormat="1" ht="24.95" customHeight="1">
      <c r="A59" s="3" t="s">
        <v>103</v>
      </c>
      <c r="B59" s="3" t="s">
        <v>415</v>
      </c>
      <c r="C59" s="3"/>
      <c r="D59" s="21" t="s">
        <v>137</v>
      </c>
      <c r="E59" s="45">
        <f>+E203</f>
        <v>399060.52999999997</v>
      </c>
      <c r="F59" s="45">
        <f t="shared" ref="F59:P59" si="9">+F203</f>
        <v>415698.32</v>
      </c>
      <c r="G59" s="45">
        <f t="shared" si="9"/>
        <v>376304.68999999994</v>
      </c>
      <c r="H59" s="45">
        <f t="shared" si="9"/>
        <v>399024.41</v>
      </c>
      <c r="I59" s="45">
        <f t="shared" si="9"/>
        <v>409559.42</v>
      </c>
      <c r="J59" s="45">
        <f t="shared" si="9"/>
        <v>398300.69</v>
      </c>
      <c r="K59" s="45">
        <f t="shared" si="9"/>
        <v>385701.46</v>
      </c>
      <c r="L59" s="45">
        <f t="shared" si="9"/>
        <v>386017.3</v>
      </c>
      <c r="M59" s="45">
        <f t="shared" si="9"/>
        <v>404300.24</v>
      </c>
      <c r="N59" s="45">
        <f t="shared" si="9"/>
        <v>434222.41000000003</v>
      </c>
      <c r="O59" s="45">
        <f t="shared" si="9"/>
        <v>382291.46</v>
      </c>
      <c r="P59" s="45">
        <f t="shared" si="9"/>
        <v>379394.1</v>
      </c>
      <c r="Q59" s="45">
        <f>SUM(E59:P59)</f>
        <v>4769875.0299999993</v>
      </c>
      <c r="R59" s="45">
        <v>15324928.66</v>
      </c>
      <c r="S59" s="168">
        <f>Q59/$Q$50</f>
        <v>0.44787289822859272</v>
      </c>
      <c r="T59" s="168"/>
      <c r="U59" s="157"/>
      <c r="V59" s="40" t="e">
        <f>-IF(Q59-U59=0,0,(Q59-U59)/U59)</f>
        <v>#DIV/0!</v>
      </c>
    </row>
    <row r="60" spans="1:22" s="84" customFormat="1" ht="24.95" customHeight="1">
      <c r="A60" s="3"/>
      <c r="B60" s="3"/>
      <c r="C60" s="3"/>
      <c r="D60" s="26"/>
      <c r="S60" s="383"/>
      <c r="U60" s="157"/>
      <c r="V60" s="40"/>
    </row>
    <row r="61" spans="1:22" s="84" customFormat="1" ht="24.95" customHeight="1">
      <c r="A61" s="3"/>
      <c r="B61" s="3"/>
      <c r="C61" s="3"/>
      <c r="D61" s="21" t="s">
        <v>138</v>
      </c>
      <c r="E61" s="63"/>
      <c r="F61" s="63"/>
      <c r="G61" s="63"/>
      <c r="H61" s="63"/>
      <c r="I61" s="63"/>
      <c r="J61" s="63"/>
      <c r="K61" s="63"/>
      <c r="L61" s="63"/>
      <c r="M61" s="63"/>
      <c r="N61" s="63"/>
      <c r="O61" s="63"/>
      <c r="P61" s="63"/>
      <c r="S61" s="34" t="s">
        <v>433</v>
      </c>
      <c r="T61" s="34"/>
      <c r="U61" s="157"/>
      <c r="V61" s="40"/>
    </row>
    <row r="62" spans="1:22" s="84" customFormat="1" ht="24.95" customHeight="1">
      <c r="A62" s="3" t="s">
        <v>140</v>
      </c>
      <c r="B62" s="3" t="s">
        <v>415</v>
      </c>
      <c r="C62" s="3"/>
      <c r="D62" s="26" t="s">
        <v>141</v>
      </c>
      <c r="E62" s="63">
        <f>'Lobby Lounge'!E39+'ADD-Mhub lounge'!E39+'Royal Court'!E39+'MP Cafe'!E39+'MP Dining'!E39+'Room Service'!E39+Banquet!E40+Minibar!E27+STW!E15+'Main Kitchen'!E15+'F&amp;B Admin'!E15</f>
        <v>2100</v>
      </c>
      <c r="F62" s="63">
        <f>'Lobby Lounge'!F39+'ADD-Mhub lounge'!F39+'Royal Court'!F39+'MP Cafe'!F39+'MP Dining'!F39+'Room Service'!F39+Banquet!F40+Minibar!F27+STW!F15+'Main Kitchen'!F15+'F&amp;B Admin'!F15</f>
        <v>1380</v>
      </c>
      <c r="G62" s="63">
        <f>'Lobby Lounge'!G39+'ADD-Mhub lounge'!G39+'Royal Court'!G39+'MP Cafe'!G39+'MP Dining'!G39+'Room Service'!G39+Banquet!G40+Minibar!G27+STW!G15+'Main Kitchen'!G15+'F&amp;B Admin'!G15</f>
        <v>1680</v>
      </c>
      <c r="H62" s="63">
        <f>'Lobby Lounge'!H39+'ADD-Mhub lounge'!H39+'Royal Court'!H39+'MP Cafe'!H39+'MP Dining'!H39+'Room Service'!H39+Banquet!H40+Minibar!H27+STW!H15+'Main Kitchen'!H15+'F&amp;B Admin'!H15</f>
        <v>2520</v>
      </c>
      <c r="I62" s="63">
        <f>'Lobby Lounge'!I39+'ADD-Mhub lounge'!I39+'Royal Court'!I39+'MP Cafe'!I39+'MP Dining'!I39+'Room Service'!I39+Banquet!I40+Minibar!I27+STW!I15+'Main Kitchen'!I15+'F&amp;B Admin'!I15</f>
        <v>2640</v>
      </c>
      <c r="J62" s="63">
        <f>'Lobby Lounge'!J39+'ADD-Mhub lounge'!J39+'Royal Court'!J39+'MP Cafe'!J39+'MP Dining'!J39+'Room Service'!J39+Banquet!J40+Minibar!J27+STW!J15+'Main Kitchen'!J15+'F&amp;B Admin'!J15</f>
        <v>2220</v>
      </c>
      <c r="K62" s="63">
        <f>'Lobby Lounge'!K39+'ADD-Mhub lounge'!K39+'Royal Court'!K39+'MP Cafe'!K39+'MP Dining'!K39+'Room Service'!K39+Banquet!K40+Minibar!K27+STW!K15+'Main Kitchen'!K15+'F&amp;B Admin'!K15</f>
        <v>2700</v>
      </c>
      <c r="L62" s="63">
        <f>'Lobby Lounge'!L39+'ADD-Mhub lounge'!L39+'Royal Court'!L39+'MP Cafe'!L39+'MP Dining'!L39+'Room Service'!L39+Banquet!L40+Minibar!L27+STW!L15+'Main Kitchen'!L15+'F&amp;B Admin'!L15</f>
        <v>2820</v>
      </c>
      <c r="M62" s="63">
        <f>'Lobby Lounge'!M39+'ADD-Mhub lounge'!M39+'Royal Court'!M39+'MP Cafe'!M39+'MP Dining'!M39+'Room Service'!M39+Banquet!M40+Minibar!M27+STW!M15+'Main Kitchen'!M15+'F&amp;B Admin'!M15</f>
        <v>3120</v>
      </c>
      <c r="N62" s="63">
        <f>'Lobby Lounge'!N39+'ADD-Mhub lounge'!N39+'Royal Court'!N39+'MP Cafe'!N39+'MP Dining'!N39+'Room Service'!N39+Banquet!N40+Minibar!N27+STW!N15+'Main Kitchen'!N15+'F&amp;B Admin'!N15</f>
        <v>2880</v>
      </c>
      <c r="O62" s="63">
        <f>'Lobby Lounge'!O39+'ADD-Mhub lounge'!O39+'Royal Court'!O39+'MP Cafe'!O39+'MP Dining'!O39+'Room Service'!O39+Banquet!O40+Minibar!O27+STW!O15+'Main Kitchen'!O15+'F&amp;B Admin'!O15</f>
        <v>2100</v>
      </c>
      <c r="P62" s="63">
        <f>'Lobby Lounge'!P39+'ADD-Mhub lounge'!P39+'Royal Court'!P39+'MP Cafe'!P39+'MP Dining'!P39+'Room Service'!P39+Banquet!P40+Minibar!P27+STW!P15+'Main Kitchen'!P15+'F&amp;B Admin'!P15</f>
        <v>1740</v>
      </c>
      <c r="Q62" s="142">
        <f>SUM(E62:P62)</f>
        <v>27900</v>
      </c>
      <c r="R62" s="142">
        <v>0</v>
      </c>
      <c r="S62" s="142">
        <f>Q62/$Q$148</f>
        <v>0.32036997133704659</v>
      </c>
      <c r="U62" s="157"/>
      <c r="V62" s="40" t="e">
        <f t="shared" ref="V62:V69" si="10">(Q62-U62)/U62</f>
        <v>#DIV/0!</v>
      </c>
    </row>
    <row r="63" spans="1:22" s="84" customFormat="1" ht="24.95" customHeight="1">
      <c r="A63" s="3" t="s">
        <v>142</v>
      </c>
      <c r="B63" s="3" t="s">
        <v>415</v>
      </c>
      <c r="C63" s="3"/>
      <c r="D63" s="26" t="s">
        <v>143</v>
      </c>
      <c r="E63" s="63">
        <f>'Lobby Lounge'!E40+'ADD-Mhub lounge'!E40+'Royal Court'!E40+'MP Cafe'!E40+'MP Dining'!E40+'Room Service'!E40+Banquet!E41+Minibar!E28+STW!E16+'Main Kitchen'!E16+'F&amp;B Admin'!E16</f>
        <v>0</v>
      </c>
      <c r="F63" s="63">
        <f>'Lobby Lounge'!F40+'ADD-Mhub lounge'!F40+'Royal Court'!F40+'MP Cafe'!F40+'MP Dining'!F40+'Room Service'!F40+Banquet!F41+Minibar!F28+STW!F16+'Main Kitchen'!F16+'F&amp;B Admin'!F16</f>
        <v>0</v>
      </c>
      <c r="G63" s="63">
        <f>'Lobby Lounge'!G40+'ADD-Mhub lounge'!G40+'Royal Court'!G40+'MP Cafe'!G40+'MP Dining'!G40+'Room Service'!G40+Banquet!G41+Minibar!G28+STW!G16+'Main Kitchen'!G16+'F&amp;B Admin'!G16</f>
        <v>0</v>
      </c>
      <c r="H63" s="63">
        <f>'Lobby Lounge'!H40+'ADD-Mhub lounge'!H40+'Royal Court'!H40+'MP Cafe'!H40+'MP Dining'!H40+'Room Service'!H40+Banquet!H41+Minibar!H28+STW!H16+'Main Kitchen'!H16+'F&amp;B Admin'!H16</f>
        <v>0</v>
      </c>
      <c r="I63" s="63">
        <f>'Lobby Lounge'!I40+'ADD-Mhub lounge'!I40+'Royal Court'!I40+'MP Cafe'!I40+'MP Dining'!I40+'Room Service'!I40+Banquet!I41+Minibar!I28+STW!I16+'Main Kitchen'!I16+'F&amp;B Admin'!I16</f>
        <v>0</v>
      </c>
      <c r="J63" s="63">
        <f>'Lobby Lounge'!J40+'ADD-Mhub lounge'!J40+'Royal Court'!J40+'MP Cafe'!J40+'MP Dining'!J40+'Room Service'!J40+Banquet!J41+Minibar!J28+STW!J16+'Main Kitchen'!J16+'F&amp;B Admin'!J16</f>
        <v>0</v>
      </c>
      <c r="K63" s="63">
        <f>'Lobby Lounge'!K40+'ADD-Mhub lounge'!K40+'Royal Court'!K40+'MP Cafe'!K40+'MP Dining'!K40+'Room Service'!K40+Banquet!K41+Minibar!K28+STW!K16+'Main Kitchen'!K16+'F&amp;B Admin'!K16</f>
        <v>0</v>
      </c>
      <c r="L63" s="63">
        <f>'Lobby Lounge'!L40+'ADD-Mhub lounge'!L40+'Royal Court'!L40+'MP Cafe'!L40+'MP Dining'!L40+'Room Service'!L40+Banquet!L41+Minibar!L28+STW!L16+'Main Kitchen'!L16+'F&amp;B Admin'!L16</f>
        <v>0</v>
      </c>
      <c r="M63" s="63">
        <f>'Lobby Lounge'!M40+'ADD-Mhub lounge'!M40+'Royal Court'!M40+'MP Cafe'!M40+'MP Dining'!M40+'Room Service'!M40+Banquet!M41+Minibar!M28+STW!M16+'Main Kitchen'!M16+'F&amp;B Admin'!M16</f>
        <v>0</v>
      </c>
      <c r="N63" s="63">
        <f>'Lobby Lounge'!N40+'ADD-Mhub lounge'!N40+'Royal Court'!N40+'MP Cafe'!N40+'MP Dining'!N40+'Room Service'!N40+Banquet!N41+Minibar!N28+STW!N16+'Main Kitchen'!N16+'F&amp;B Admin'!N16</f>
        <v>0</v>
      </c>
      <c r="O63" s="63">
        <f>'Lobby Lounge'!O40+'ADD-Mhub lounge'!O40+'Royal Court'!O40+'MP Cafe'!O40+'MP Dining'!O40+'Room Service'!O40+Banquet!O41+Minibar!O28+STW!O16+'Main Kitchen'!O16+'F&amp;B Admin'!O16</f>
        <v>0</v>
      </c>
      <c r="P63" s="63">
        <f>'Lobby Lounge'!P40+'ADD-Mhub lounge'!P40+'Royal Court'!P40+'MP Cafe'!P40+'MP Dining'!P40+'Room Service'!P40+Banquet!P41+Minibar!P28+STW!P16+'Main Kitchen'!P16+'F&amp;B Admin'!P16</f>
        <v>0</v>
      </c>
      <c r="Q63" s="142">
        <f t="shared" ref="Q63:Q126" si="11">SUM(E63:P63)</f>
        <v>0</v>
      </c>
      <c r="R63" s="142">
        <v>0</v>
      </c>
      <c r="S63" s="142">
        <f t="shared" ref="S63:S126" si="12">Q63/$Q$148</f>
        <v>0</v>
      </c>
      <c r="U63" s="157"/>
      <c r="V63" s="40" t="e">
        <f t="shared" si="10"/>
        <v>#DIV/0!</v>
      </c>
    </row>
    <row r="64" spans="1:22" s="84" customFormat="1" ht="24.95" customHeight="1">
      <c r="A64" s="3" t="s">
        <v>144</v>
      </c>
      <c r="B64" s="3" t="s">
        <v>415</v>
      </c>
      <c r="C64" s="3"/>
      <c r="D64" s="26" t="s">
        <v>145</v>
      </c>
      <c r="E64" s="63">
        <f>'Lobby Lounge'!E41+'ADD-Mhub lounge'!E41+'Royal Court'!E41+'MP Cafe'!E41+'MP Dining'!E41+'Room Service'!E41+Banquet!E42+Minibar!E29+STW!E17+'Main Kitchen'!E17+'F&amp;B Admin'!E17</f>
        <v>0</v>
      </c>
      <c r="F64" s="63">
        <f>'Lobby Lounge'!F41+'ADD-Mhub lounge'!F41+'Royal Court'!F41+'MP Cafe'!F41+'MP Dining'!F41+'Room Service'!F41+Banquet!F42+Minibar!F29+STW!F17+'Main Kitchen'!F17+'F&amp;B Admin'!F17</f>
        <v>0</v>
      </c>
      <c r="G64" s="63">
        <f>'Lobby Lounge'!G41+'ADD-Mhub lounge'!G41+'Royal Court'!G41+'MP Cafe'!G41+'MP Dining'!G41+'Room Service'!G41+Banquet!G42+Minibar!G29+STW!G17+'Main Kitchen'!G17+'F&amp;B Admin'!G17</f>
        <v>0</v>
      </c>
      <c r="H64" s="63">
        <f>'Lobby Lounge'!H41+'ADD-Mhub lounge'!H41+'Royal Court'!H41+'MP Cafe'!H41+'MP Dining'!H41+'Room Service'!H41+Banquet!H42+Minibar!H29+STW!H17+'Main Kitchen'!H17+'F&amp;B Admin'!H17</f>
        <v>0</v>
      </c>
      <c r="I64" s="63">
        <f>'Lobby Lounge'!I41+'ADD-Mhub lounge'!I41+'Royal Court'!I41+'MP Cafe'!I41+'MP Dining'!I41+'Room Service'!I41+Banquet!I42+Minibar!I29+STW!I17+'Main Kitchen'!I17+'F&amp;B Admin'!I17</f>
        <v>0</v>
      </c>
      <c r="J64" s="63">
        <f>'Lobby Lounge'!J41+'ADD-Mhub lounge'!J41+'Royal Court'!J41+'MP Cafe'!J41+'MP Dining'!J41+'Room Service'!J41+Banquet!J42+Minibar!J29+STW!J17+'Main Kitchen'!J17+'F&amp;B Admin'!J17</f>
        <v>0</v>
      </c>
      <c r="K64" s="63">
        <f>'Lobby Lounge'!K41+'ADD-Mhub lounge'!K41+'Royal Court'!K41+'MP Cafe'!K41+'MP Dining'!K41+'Room Service'!K41+Banquet!K42+Minibar!K29+STW!K17+'Main Kitchen'!K17+'F&amp;B Admin'!K17</f>
        <v>0</v>
      </c>
      <c r="L64" s="63">
        <f>'Lobby Lounge'!L41+'ADD-Mhub lounge'!L41+'Royal Court'!L41+'MP Cafe'!L41+'MP Dining'!L41+'Room Service'!L41+Banquet!L42+Minibar!L29+STW!L17+'Main Kitchen'!L17+'F&amp;B Admin'!L17</f>
        <v>0</v>
      </c>
      <c r="M64" s="63">
        <f>'Lobby Lounge'!M41+'ADD-Mhub lounge'!M41+'Royal Court'!M41+'MP Cafe'!M41+'MP Dining'!M41+'Room Service'!M41+Banquet!M42+Minibar!M29+STW!M17+'Main Kitchen'!M17+'F&amp;B Admin'!M17</f>
        <v>0</v>
      </c>
      <c r="N64" s="63">
        <f>'Lobby Lounge'!N41+'ADD-Mhub lounge'!N41+'Royal Court'!N41+'MP Cafe'!N41+'MP Dining'!N41+'Room Service'!N41+Banquet!N42+Minibar!N29+STW!N17+'Main Kitchen'!N17+'F&amp;B Admin'!N17</f>
        <v>0</v>
      </c>
      <c r="O64" s="63">
        <f>'Lobby Lounge'!O41+'ADD-Mhub lounge'!O41+'Royal Court'!O41+'MP Cafe'!O41+'MP Dining'!O41+'Room Service'!O41+Banquet!O42+Minibar!O29+STW!O17+'Main Kitchen'!O17+'F&amp;B Admin'!O17</f>
        <v>0</v>
      </c>
      <c r="P64" s="63">
        <f>'Lobby Lounge'!P41+'ADD-Mhub lounge'!P41+'Royal Court'!P41+'MP Cafe'!P41+'MP Dining'!P41+'Room Service'!P41+Banquet!P42+Minibar!P29+STW!P17+'Main Kitchen'!P17+'F&amp;B Admin'!P17</f>
        <v>0</v>
      </c>
      <c r="Q64" s="142">
        <f t="shared" si="11"/>
        <v>0</v>
      </c>
      <c r="R64" s="142">
        <v>0</v>
      </c>
      <c r="S64" s="142">
        <f t="shared" si="12"/>
        <v>0</v>
      </c>
      <c r="U64" s="157"/>
      <c r="V64" s="40" t="e">
        <f t="shared" si="10"/>
        <v>#DIV/0!</v>
      </c>
    </row>
    <row r="65" spans="1:22" s="84" customFormat="1" ht="24.95" customHeight="1">
      <c r="A65" s="3" t="s">
        <v>146</v>
      </c>
      <c r="B65" s="3" t="s">
        <v>415</v>
      </c>
      <c r="C65" s="3"/>
      <c r="D65" s="26" t="s">
        <v>147</v>
      </c>
      <c r="E65" s="63">
        <f>'Lobby Lounge'!E42+'ADD-Mhub lounge'!E42+'Royal Court'!E42+'MP Cafe'!E42+'MP Dining'!E42+'Room Service'!E42+Banquet!E43+Minibar!E30+STW!E18+'Main Kitchen'!E18+'F&amp;B Admin'!E18</f>
        <v>3500</v>
      </c>
      <c r="F65" s="63">
        <f>'Lobby Lounge'!F42+'ADD-Mhub lounge'!F42+'Royal Court'!F42+'MP Cafe'!F42+'MP Dining'!F42+'Room Service'!F42+Banquet!F43+Minibar!F30+STW!F18+'Main Kitchen'!F18+'F&amp;B Admin'!F18</f>
        <v>3500</v>
      </c>
      <c r="G65" s="63">
        <f>'Lobby Lounge'!G42+'ADD-Mhub lounge'!G42+'Royal Court'!G42+'MP Cafe'!G42+'MP Dining'!G42+'Room Service'!G42+Banquet!G43+Minibar!G30+STW!G18+'Main Kitchen'!G18+'F&amp;B Admin'!G18</f>
        <v>3500</v>
      </c>
      <c r="H65" s="63">
        <f>'Lobby Lounge'!H42+'ADD-Mhub lounge'!H42+'Royal Court'!H42+'MP Cafe'!H42+'MP Dining'!H42+'Room Service'!H42+Banquet!H43+Minibar!H30+STW!H18+'Main Kitchen'!H18+'F&amp;B Admin'!H18</f>
        <v>3500</v>
      </c>
      <c r="I65" s="63">
        <f>'Lobby Lounge'!I42+'ADD-Mhub lounge'!I42+'Royal Court'!I42+'MP Cafe'!I42+'MP Dining'!I42+'Room Service'!I42+Banquet!I43+Minibar!I30+STW!I18+'Main Kitchen'!I18+'F&amp;B Admin'!I18</f>
        <v>3500</v>
      </c>
      <c r="J65" s="63">
        <f>'Lobby Lounge'!J42+'ADD-Mhub lounge'!J42+'Royal Court'!J42+'MP Cafe'!J42+'MP Dining'!J42+'Room Service'!J42+Banquet!J43+Minibar!J30+STW!J18+'Main Kitchen'!J18+'F&amp;B Admin'!J18</f>
        <v>3500</v>
      </c>
      <c r="K65" s="63">
        <f>'Lobby Lounge'!K42+'ADD-Mhub lounge'!K42+'Royal Court'!K42+'MP Cafe'!K42+'MP Dining'!K42+'Room Service'!K42+Banquet!K43+Minibar!K30+STW!K18+'Main Kitchen'!K18+'F&amp;B Admin'!K18</f>
        <v>3500</v>
      </c>
      <c r="L65" s="63">
        <f>'Lobby Lounge'!L42+'ADD-Mhub lounge'!L42+'Royal Court'!L42+'MP Cafe'!L42+'MP Dining'!L42+'Room Service'!L42+Banquet!L43+Minibar!L30+STW!L18+'Main Kitchen'!L18+'F&amp;B Admin'!L18</f>
        <v>3500</v>
      </c>
      <c r="M65" s="63">
        <f>'Lobby Lounge'!M42+'ADD-Mhub lounge'!M42+'Royal Court'!M42+'MP Cafe'!M42+'MP Dining'!M42+'Room Service'!M42+Banquet!M43+Minibar!M30+STW!M18+'Main Kitchen'!M18+'F&amp;B Admin'!M18</f>
        <v>3500</v>
      </c>
      <c r="N65" s="63">
        <f>'Lobby Lounge'!N42+'ADD-Mhub lounge'!N42+'Royal Court'!N42+'MP Cafe'!N42+'MP Dining'!N42+'Room Service'!N42+Banquet!N43+Minibar!N30+STW!N18+'Main Kitchen'!N18+'F&amp;B Admin'!N18</f>
        <v>3500</v>
      </c>
      <c r="O65" s="63">
        <f>'Lobby Lounge'!O42+'ADD-Mhub lounge'!O42+'Royal Court'!O42+'MP Cafe'!O42+'MP Dining'!O42+'Room Service'!O42+Banquet!O43+Minibar!O30+STW!O18+'Main Kitchen'!O18+'F&amp;B Admin'!O18</f>
        <v>3500</v>
      </c>
      <c r="P65" s="63">
        <f>'Lobby Lounge'!P42+'ADD-Mhub lounge'!P42+'Royal Court'!P42+'MP Cafe'!P42+'MP Dining'!P42+'Room Service'!P42+Banquet!P43+Minibar!P30+STW!P18+'Main Kitchen'!P18+'F&amp;B Admin'!P18</f>
        <v>3500</v>
      </c>
      <c r="Q65" s="142">
        <f t="shared" si="11"/>
        <v>42000</v>
      </c>
      <c r="R65" s="142">
        <v>3812.44</v>
      </c>
      <c r="S65" s="142">
        <f t="shared" si="12"/>
        <v>0.48227737620630667</v>
      </c>
      <c r="U65" s="157"/>
      <c r="V65" s="40" t="e">
        <f t="shared" si="10"/>
        <v>#DIV/0!</v>
      </c>
    </row>
    <row r="66" spans="1:22" s="84" customFormat="1" ht="24.95" customHeight="1">
      <c r="A66" s="3" t="s">
        <v>148</v>
      </c>
      <c r="B66" s="3" t="s">
        <v>415</v>
      </c>
      <c r="C66" s="3"/>
      <c r="D66" s="26" t="s">
        <v>149</v>
      </c>
      <c r="E66" s="63">
        <f>'Lobby Lounge'!E43+'ADD-Mhub lounge'!E43+'Royal Court'!E43+'MP Cafe'!E43+'MP Dining'!E43+'Room Service'!E43+Banquet!E44+Minibar!E31+STW!E19+'Main Kitchen'!E19+'F&amp;B Admin'!E19</f>
        <v>0</v>
      </c>
      <c r="F66" s="63">
        <f>'Lobby Lounge'!F43+'ADD-Mhub lounge'!F43+'Royal Court'!F43+'MP Cafe'!F43+'MP Dining'!F43+'Room Service'!F43+Banquet!F44+Minibar!F31+STW!F19+'Main Kitchen'!F19+'F&amp;B Admin'!F19</f>
        <v>0</v>
      </c>
      <c r="G66" s="63">
        <f>'Lobby Lounge'!G43+'ADD-Mhub lounge'!G43+'Royal Court'!G43+'MP Cafe'!G43+'MP Dining'!G43+'Room Service'!G43+Banquet!G44+Minibar!G31+STW!G19+'Main Kitchen'!G19+'F&amp;B Admin'!G19</f>
        <v>0</v>
      </c>
      <c r="H66" s="63">
        <f>'Lobby Lounge'!H43+'ADD-Mhub lounge'!H43+'Royal Court'!H43+'MP Cafe'!H43+'MP Dining'!H43+'Room Service'!H43+Banquet!H44+Minibar!H31+STW!H19+'Main Kitchen'!H19+'F&amp;B Admin'!H19</f>
        <v>0</v>
      </c>
      <c r="I66" s="63">
        <f>'Lobby Lounge'!I43+'ADD-Mhub lounge'!I43+'Royal Court'!I43+'MP Cafe'!I43+'MP Dining'!I43+'Room Service'!I43+Banquet!I44+Minibar!I31+STW!I19+'Main Kitchen'!I19+'F&amp;B Admin'!I19</f>
        <v>0</v>
      </c>
      <c r="J66" s="63">
        <f>'Lobby Lounge'!J43+'ADD-Mhub lounge'!J43+'Royal Court'!J43+'MP Cafe'!J43+'MP Dining'!J43+'Room Service'!J43+Banquet!J44+Minibar!J31+STW!J19+'Main Kitchen'!J19+'F&amp;B Admin'!J19</f>
        <v>0</v>
      </c>
      <c r="K66" s="63">
        <f>'Lobby Lounge'!K43+'ADD-Mhub lounge'!K43+'Royal Court'!K43+'MP Cafe'!K43+'MP Dining'!K43+'Room Service'!K43+Banquet!K44+Minibar!K31+STW!K19+'Main Kitchen'!K19+'F&amp;B Admin'!K19</f>
        <v>0</v>
      </c>
      <c r="L66" s="63">
        <f>'Lobby Lounge'!L43+'ADD-Mhub lounge'!L43+'Royal Court'!L43+'MP Cafe'!L43+'MP Dining'!L43+'Room Service'!L43+Banquet!L44+Minibar!L31+STW!L19+'Main Kitchen'!L19+'F&amp;B Admin'!L19</f>
        <v>0</v>
      </c>
      <c r="M66" s="63">
        <f>'Lobby Lounge'!M43+'ADD-Mhub lounge'!M43+'Royal Court'!M43+'MP Cafe'!M43+'MP Dining'!M43+'Room Service'!M43+Banquet!M44+Minibar!M31+STW!M19+'Main Kitchen'!M19+'F&amp;B Admin'!M19</f>
        <v>0</v>
      </c>
      <c r="N66" s="63">
        <f>'Lobby Lounge'!N43+'ADD-Mhub lounge'!N43+'Royal Court'!N43+'MP Cafe'!N43+'MP Dining'!N43+'Room Service'!N43+Banquet!N44+Minibar!N31+STW!N19+'Main Kitchen'!N19+'F&amp;B Admin'!N19</f>
        <v>0</v>
      </c>
      <c r="O66" s="63">
        <f>'Lobby Lounge'!O43+'ADD-Mhub lounge'!O43+'Royal Court'!O43+'MP Cafe'!O43+'MP Dining'!O43+'Room Service'!O43+Banquet!O44+Minibar!O31+STW!O19+'Main Kitchen'!O19+'F&amp;B Admin'!O19</f>
        <v>0</v>
      </c>
      <c r="P66" s="63">
        <f>'Lobby Lounge'!P43+'ADD-Mhub lounge'!P43+'Royal Court'!P43+'MP Cafe'!P43+'MP Dining'!P43+'Room Service'!P43+Banquet!P44+Minibar!P31+STW!P19+'Main Kitchen'!P19+'F&amp;B Admin'!P19</f>
        <v>0</v>
      </c>
      <c r="Q66" s="142">
        <f t="shared" si="11"/>
        <v>0</v>
      </c>
      <c r="R66" s="142">
        <v>0</v>
      </c>
      <c r="S66" s="142">
        <f t="shared" si="12"/>
        <v>0</v>
      </c>
      <c r="U66" s="157"/>
      <c r="V66" s="40" t="e">
        <f t="shared" si="10"/>
        <v>#DIV/0!</v>
      </c>
    </row>
    <row r="67" spans="1:22" s="84" customFormat="1" ht="24.95" customHeight="1">
      <c r="A67" s="3" t="s">
        <v>150</v>
      </c>
      <c r="B67" s="3" t="s">
        <v>415</v>
      </c>
      <c r="C67" s="3"/>
      <c r="D67" s="26" t="s">
        <v>151</v>
      </c>
      <c r="E67" s="63">
        <f>'Lobby Lounge'!E44+'ADD-Mhub lounge'!E44+'Royal Court'!E44+'MP Cafe'!E44+'MP Dining'!E44+'Room Service'!E44+Banquet!E45+Minibar!E32+STW!E20+'Main Kitchen'!E20+'F&amp;B Admin'!E20</f>
        <v>0</v>
      </c>
      <c r="F67" s="63">
        <f>'Lobby Lounge'!F44+'ADD-Mhub lounge'!F44+'Royal Court'!F44+'MP Cafe'!F44+'MP Dining'!F44+'Room Service'!F44+Banquet!F45+Minibar!F32+STW!F20+'Main Kitchen'!F20+'F&amp;B Admin'!F20</f>
        <v>0</v>
      </c>
      <c r="G67" s="63">
        <f>'Lobby Lounge'!G44+'ADD-Mhub lounge'!G44+'Royal Court'!G44+'MP Cafe'!G44+'MP Dining'!G44+'Room Service'!G44+Banquet!G45+Minibar!G32+STW!G20+'Main Kitchen'!G20+'F&amp;B Admin'!G20</f>
        <v>0</v>
      </c>
      <c r="H67" s="63">
        <f>'Lobby Lounge'!H44+'ADD-Mhub lounge'!H44+'Royal Court'!H44+'MP Cafe'!H44+'MP Dining'!H44+'Room Service'!H44+Banquet!H45+Minibar!H32+STW!H20+'Main Kitchen'!H20+'F&amp;B Admin'!H20</f>
        <v>0</v>
      </c>
      <c r="I67" s="63">
        <f>'Lobby Lounge'!I44+'ADD-Mhub lounge'!I44+'Royal Court'!I44+'MP Cafe'!I44+'MP Dining'!I44+'Room Service'!I44+Banquet!I45+Minibar!I32+STW!I20+'Main Kitchen'!I20+'F&amp;B Admin'!I20</f>
        <v>0</v>
      </c>
      <c r="J67" s="63">
        <f>'Lobby Lounge'!J44+'ADD-Mhub lounge'!J44+'Royal Court'!J44+'MP Cafe'!J44+'MP Dining'!J44+'Room Service'!J44+Banquet!J45+Minibar!J32+STW!J20+'Main Kitchen'!J20+'F&amp;B Admin'!J20</f>
        <v>0</v>
      </c>
      <c r="K67" s="63">
        <f>'Lobby Lounge'!K44+'ADD-Mhub lounge'!K44+'Royal Court'!K44+'MP Cafe'!K44+'MP Dining'!K44+'Room Service'!K44+Banquet!K45+Minibar!K32+STW!K20+'Main Kitchen'!K20+'F&amp;B Admin'!K20</f>
        <v>0</v>
      </c>
      <c r="L67" s="63">
        <f>'Lobby Lounge'!L44+'ADD-Mhub lounge'!L44+'Royal Court'!L44+'MP Cafe'!L44+'MP Dining'!L44+'Room Service'!L44+Banquet!L45+Minibar!L32+STW!L20+'Main Kitchen'!L20+'F&amp;B Admin'!L20</f>
        <v>0</v>
      </c>
      <c r="M67" s="63">
        <f>'Lobby Lounge'!M44+'ADD-Mhub lounge'!M44+'Royal Court'!M44+'MP Cafe'!M44+'MP Dining'!M44+'Room Service'!M44+Banquet!M45+Minibar!M32+STW!M20+'Main Kitchen'!M20+'F&amp;B Admin'!M20</f>
        <v>0</v>
      </c>
      <c r="N67" s="63">
        <f>'Lobby Lounge'!N44+'ADD-Mhub lounge'!N44+'Royal Court'!N44+'MP Cafe'!N44+'MP Dining'!N44+'Room Service'!N44+Banquet!N45+Minibar!N32+STW!N20+'Main Kitchen'!N20+'F&amp;B Admin'!N20</f>
        <v>0</v>
      </c>
      <c r="O67" s="63">
        <f>'Lobby Lounge'!O44+'ADD-Mhub lounge'!O44+'Royal Court'!O44+'MP Cafe'!O44+'MP Dining'!O44+'Room Service'!O44+Banquet!O45+Minibar!O32+STW!O20+'Main Kitchen'!O20+'F&amp;B Admin'!O20</f>
        <v>0</v>
      </c>
      <c r="P67" s="63">
        <f>'Lobby Lounge'!P44+'ADD-Mhub lounge'!P44+'Royal Court'!P44+'MP Cafe'!P44+'MP Dining'!P44+'Room Service'!P44+Banquet!P45+Minibar!P32+STW!P20+'Main Kitchen'!P20+'F&amp;B Admin'!P20</f>
        <v>0</v>
      </c>
      <c r="Q67" s="142">
        <f t="shared" si="11"/>
        <v>0</v>
      </c>
      <c r="R67" s="142">
        <v>0</v>
      </c>
      <c r="S67" s="142">
        <f t="shared" si="12"/>
        <v>0</v>
      </c>
      <c r="U67" s="157"/>
      <c r="V67" s="40" t="e">
        <f t="shared" si="10"/>
        <v>#DIV/0!</v>
      </c>
    </row>
    <row r="68" spans="1:22" s="84" customFormat="1" ht="24.95" customHeight="1">
      <c r="A68" s="3" t="s">
        <v>152</v>
      </c>
      <c r="B68" s="3" t="s">
        <v>415</v>
      </c>
      <c r="C68" s="3"/>
      <c r="D68" s="26" t="s">
        <v>153</v>
      </c>
      <c r="E68" s="63">
        <f>'Lobby Lounge'!E45+'ADD-Mhub lounge'!E45+'Royal Court'!E45+'MP Cafe'!E45+'MP Dining'!E45+'Room Service'!E45+Banquet!E46+Minibar!E33+STW!E21+'Main Kitchen'!E21+'F&amp;B Admin'!E21</f>
        <v>0</v>
      </c>
      <c r="F68" s="63">
        <f>'Lobby Lounge'!F45+'ADD-Mhub lounge'!F45+'Royal Court'!F45+'MP Cafe'!F45+'MP Dining'!F45+'Room Service'!F45+Banquet!F46+Minibar!F33+STW!F21+'Main Kitchen'!F21+'F&amp;B Admin'!F21</f>
        <v>0</v>
      </c>
      <c r="G68" s="63">
        <f>'Lobby Lounge'!G45+'ADD-Mhub lounge'!G45+'Royal Court'!G45+'MP Cafe'!G45+'MP Dining'!G45+'Room Service'!G45+Banquet!G46+Minibar!G33+STW!G21+'Main Kitchen'!G21+'F&amp;B Admin'!G21</f>
        <v>0</v>
      </c>
      <c r="H68" s="63">
        <f>'Lobby Lounge'!H45+'ADD-Mhub lounge'!H45+'Royal Court'!H45+'MP Cafe'!H45+'MP Dining'!H45+'Room Service'!H45+Banquet!H46+Minibar!H33+STW!H21+'Main Kitchen'!H21+'F&amp;B Admin'!H21</f>
        <v>600</v>
      </c>
      <c r="I68" s="63">
        <f>'Lobby Lounge'!I45+'ADD-Mhub lounge'!I45+'Royal Court'!I45+'MP Cafe'!I45+'MP Dining'!I45+'Room Service'!I45+Banquet!I46+Minibar!I33+STW!I21+'Main Kitchen'!I21+'F&amp;B Admin'!I21</f>
        <v>600</v>
      </c>
      <c r="J68" s="63">
        <f>'Lobby Lounge'!J45+'ADD-Mhub lounge'!J45+'Royal Court'!J45+'MP Cafe'!J45+'MP Dining'!J45+'Room Service'!J45+Banquet!J46+Minibar!J33+STW!J21+'Main Kitchen'!J21+'F&amp;B Admin'!J21</f>
        <v>600</v>
      </c>
      <c r="K68" s="63">
        <f>'Lobby Lounge'!K45+'ADD-Mhub lounge'!K45+'Royal Court'!K45+'MP Cafe'!K45+'MP Dining'!K45+'Room Service'!K45+Banquet!K46+Minibar!K33+STW!K21+'Main Kitchen'!K21+'F&amp;B Admin'!K21</f>
        <v>300</v>
      </c>
      <c r="L68" s="63">
        <f>'Lobby Lounge'!L45+'ADD-Mhub lounge'!L45+'Royal Court'!L45+'MP Cafe'!L45+'MP Dining'!L45+'Room Service'!L45+Banquet!L46+Minibar!L33+STW!L21+'Main Kitchen'!L21+'F&amp;B Admin'!L21</f>
        <v>300</v>
      </c>
      <c r="M68" s="63">
        <f>'Lobby Lounge'!M45+'ADD-Mhub lounge'!M45+'Royal Court'!M45+'MP Cafe'!M45+'MP Dining'!M45+'Room Service'!M45+Banquet!M46+Minibar!M33+STW!M21+'Main Kitchen'!M21+'F&amp;B Admin'!M21</f>
        <v>300</v>
      </c>
      <c r="N68" s="63">
        <f>'Lobby Lounge'!N45+'ADD-Mhub lounge'!N45+'Royal Court'!N45+'MP Cafe'!N45+'MP Dining'!N45+'Room Service'!N45+Banquet!N46+Minibar!N33+STW!N21+'Main Kitchen'!N21+'F&amp;B Admin'!N21</f>
        <v>300</v>
      </c>
      <c r="O68" s="63">
        <f>'Lobby Lounge'!O45+'ADD-Mhub lounge'!O45+'Royal Court'!O45+'MP Cafe'!O45+'MP Dining'!O45+'Room Service'!O45+Banquet!O46+Minibar!O33+STW!O21+'Main Kitchen'!O21+'F&amp;B Admin'!O21</f>
        <v>300</v>
      </c>
      <c r="P68" s="63">
        <f>'Lobby Lounge'!P45+'ADD-Mhub lounge'!P45+'Royal Court'!P45+'MP Cafe'!P45+'MP Dining'!P45+'Room Service'!P45+Banquet!P46+Minibar!P33+STW!P21+'Main Kitchen'!P21+'F&amp;B Admin'!P21</f>
        <v>300</v>
      </c>
      <c r="Q68" s="142">
        <f t="shared" si="11"/>
        <v>3600</v>
      </c>
      <c r="R68" s="142">
        <v>3813.29</v>
      </c>
      <c r="S68" s="142">
        <f t="shared" si="12"/>
        <v>4.1338060817683431E-2</v>
      </c>
      <c r="U68" s="157"/>
      <c r="V68" s="40" t="e">
        <f t="shared" si="10"/>
        <v>#DIV/0!</v>
      </c>
    </row>
    <row r="69" spans="1:22" s="84" customFormat="1" ht="24.95" customHeight="1">
      <c r="A69" s="3" t="s">
        <v>154</v>
      </c>
      <c r="B69" s="3" t="s">
        <v>415</v>
      </c>
      <c r="C69" s="3"/>
      <c r="D69" s="26" t="s">
        <v>155</v>
      </c>
      <c r="E69" s="63">
        <f>'Lobby Lounge'!E46+'ADD-Mhub lounge'!E46+'Royal Court'!E46+'MP Cafe'!E46+'MP Dining'!E46+'Room Service'!E46+Banquet!E47+Minibar!E34+STW!E22+'Main Kitchen'!E22+'F&amp;B Admin'!E22</f>
        <v>9115.7799999999988</v>
      </c>
      <c r="F69" s="63">
        <f>'Lobby Lounge'!F46+'ADD-Mhub lounge'!F46+'Royal Court'!F46+'MP Cafe'!F46+'MP Dining'!F46+'Room Service'!F46+Banquet!F47+Minibar!F34+STW!F22+'Main Kitchen'!F22+'F&amp;B Admin'!F22</f>
        <v>8073.21</v>
      </c>
      <c r="G69" s="63">
        <f>'Lobby Lounge'!G46+'ADD-Mhub lounge'!G46+'Royal Court'!G46+'MP Cafe'!G46+'MP Dining'!G46+'Room Service'!G46+Banquet!G47+Minibar!G34+STW!G22+'Main Kitchen'!G22+'F&amp;B Admin'!G22</f>
        <v>8524.11</v>
      </c>
      <c r="H69" s="63">
        <f>'Lobby Lounge'!H46+'ADD-Mhub lounge'!H46+'Royal Court'!H46+'MP Cafe'!H46+'MP Dining'!H46+'Room Service'!H46+Banquet!H47+Minibar!H34+STW!H22+'Main Kitchen'!H22+'F&amp;B Admin'!H22</f>
        <v>9281.15</v>
      </c>
      <c r="I69" s="63">
        <f>'Lobby Lounge'!I46+'ADD-Mhub lounge'!I46+'Royal Court'!I46+'MP Cafe'!I46+'MP Dining'!I46+'Room Service'!I46+Banquet!I47+Minibar!I34+STW!I22+'Main Kitchen'!I22+'F&amp;B Admin'!I22</f>
        <v>10174.5</v>
      </c>
      <c r="J69" s="63">
        <f>'Lobby Lounge'!J46+'ADD-Mhub lounge'!J46+'Royal Court'!J46+'MP Cafe'!J46+'MP Dining'!J46+'Room Service'!J46+Banquet!J47+Minibar!J34+STW!J22+'Main Kitchen'!J22+'F&amp;B Admin'!J22</f>
        <v>9123.67</v>
      </c>
      <c r="K69" s="63">
        <f>'Lobby Lounge'!K46+'ADD-Mhub lounge'!K46+'Royal Court'!K46+'MP Cafe'!K46+'MP Dining'!K46+'Room Service'!K46+Banquet!K47+Minibar!K34+STW!K22+'Main Kitchen'!K22+'F&amp;B Admin'!K22</f>
        <v>9513.27</v>
      </c>
      <c r="L69" s="63">
        <f>'Lobby Lounge'!L46+'ADD-Mhub lounge'!L46+'Royal Court'!L46+'MP Cafe'!L46+'MP Dining'!L46+'Room Service'!L46+Banquet!L47+Minibar!L34+STW!L22+'Main Kitchen'!L22+'F&amp;B Admin'!L22</f>
        <v>9593.83</v>
      </c>
      <c r="M69" s="63">
        <f>'Lobby Lounge'!M46+'ADD-Mhub lounge'!M46+'Royal Court'!M46+'MP Cafe'!M46+'MP Dining'!M46+'Room Service'!M46+Banquet!M47+Minibar!M34+STW!M22+'Main Kitchen'!M22+'F&amp;B Admin'!M22</f>
        <v>9819.39</v>
      </c>
      <c r="N69" s="63">
        <f>'Lobby Lounge'!N46+'ADD-Mhub lounge'!N46+'Royal Court'!N46+'MP Cafe'!N46+'MP Dining'!N46+'Room Service'!N46+Banquet!N47+Minibar!N34+STW!N22+'Main Kitchen'!N22+'F&amp;B Admin'!N22</f>
        <v>10818.03</v>
      </c>
      <c r="O69" s="63">
        <f>'Lobby Lounge'!O46+'ADD-Mhub lounge'!O46+'Royal Court'!O46+'MP Cafe'!O46+'MP Dining'!O46+'Room Service'!O46+Banquet!O47+Minibar!O34+STW!O22+'Main Kitchen'!O22+'F&amp;B Admin'!O22</f>
        <v>9223.27</v>
      </c>
      <c r="P69" s="63">
        <f>'Lobby Lounge'!P46+'ADD-Mhub lounge'!P46+'Royal Court'!P46+'MP Cafe'!P46+'MP Dining'!P46+'Room Service'!P46+Banquet!P47+Minibar!P34+STW!P22+'Main Kitchen'!P22+'F&amp;B Admin'!P22</f>
        <v>9015.0299999999988</v>
      </c>
      <c r="Q69" s="142">
        <f>SUM(E69:P69)</f>
        <v>112275.24</v>
      </c>
      <c r="R69" s="142">
        <v>0</v>
      </c>
      <c r="S69" s="142">
        <f t="shared" si="12"/>
        <v>1.2892335276222231</v>
      </c>
      <c r="U69" s="157"/>
      <c r="V69" s="40" t="e">
        <f t="shared" si="10"/>
        <v>#DIV/0!</v>
      </c>
    </row>
    <row r="70" spans="1:22" s="84" customFormat="1" ht="24.95" customHeight="1">
      <c r="A70" s="3" t="s">
        <v>156</v>
      </c>
      <c r="B70" s="3" t="s">
        <v>415</v>
      </c>
      <c r="C70" s="3"/>
      <c r="D70" s="26" t="s">
        <v>157</v>
      </c>
      <c r="E70" s="63">
        <f>'Lobby Lounge'!E47+'ADD-Mhub lounge'!E47+'Royal Court'!E47+'MP Cafe'!E47+'MP Dining'!E47+'Room Service'!E47+Banquet!E48+Minibar!E35+STW!E23+'Main Kitchen'!E23+'F&amp;B Admin'!E23</f>
        <v>0</v>
      </c>
      <c r="F70" s="63">
        <f>'Lobby Lounge'!F47+'ADD-Mhub lounge'!F47+'Royal Court'!F47+'MP Cafe'!F47+'MP Dining'!F47+'Room Service'!F47+Banquet!F48+Minibar!F35+STW!F23+'Main Kitchen'!F23+'F&amp;B Admin'!F23</f>
        <v>0</v>
      </c>
      <c r="G70" s="63">
        <f>'Lobby Lounge'!G47+'ADD-Mhub lounge'!G47+'Royal Court'!G47+'MP Cafe'!G47+'MP Dining'!G47+'Room Service'!G47+Banquet!G48+Minibar!G35+STW!G23+'Main Kitchen'!G23+'F&amp;B Admin'!G23</f>
        <v>0</v>
      </c>
      <c r="H70" s="63">
        <f>'Lobby Lounge'!H47+'ADD-Mhub lounge'!H47+'Royal Court'!H47+'MP Cafe'!H47+'MP Dining'!H47+'Room Service'!H47+Banquet!H48+Minibar!H35+STW!H23+'Main Kitchen'!H23+'F&amp;B Admin'!H23</f>
        <v>0</v>
      </c>
      <c r="I70" s="63">
        <f>'Lobby Lounge'!I47+'ADD-Mhub lounge'!I47+'Royal Court'!I47+'MP Cafe'!I47+'MP Dining'!I47+'Room Service'!I47+Banquet!I48+Minibar!I35+STW!I23+'Main Kitchen'!I23+'F&amp;B Admin'!I23</f>
        <v>0</v>
      </c>
      <c r="J70" s="63">
        <f>'Lobby Lounge'!J47+'ADD-Mhub lounge'!J47+'Royal Court'!J47+'MP Cafe'!J47+'MP Dining'!J47+'Room Service'!J47+Banquet!J48+Minibar!J35+STW!J23+'Main Kitchen'!J23+'F&amp;B Admin'!J23</f>
        <v>0</v>
      </c>
      <c r="K70" s="63">
        <f>'Lobby Lounge'!K47+'ADD-Mhub lounge'!K47+'Royal Court'!K47+'MP Cafe'!K47+'MP Dining'!K47+'Room Service'!K47+Banquet!K48+Minibar!K35+STW!K23+'Main Kitchen'!K23+'F&amp;B Admin'!K23</f>
        <v>0</v>
      </c>
      <c r="L70" s="63">
        <f>'Lobby Lounge'!L47+'ADD-Mhub lounge'!L47+'Royal Court'!L47+'MP Cafe'!L47+'MP Dining'!L47+'Room Service'!L47+Banquet!L48+Minibar!L35+STW!L23+'Main Kitchen'!L23+'F&amp;B Admin'!L23</f>
        <v>0</v>
      </c>
      <c r="M70" s="63">
        <f>'Lobby Lounge'!M47+'ADD-Mhub lounge'!M47+'Royal Court'!M47+'MP Cafe'!M47+'MP Dining'!M47+'Room Service'!M47+Banquet!M48+Minibar!M35+STW!M23+'Main Kitchen'!M23+'F&amp;B Admin'!M23</f>
        <v>0</v>
      </c>
      <c r="N70" s="63">
        <f>'Lobby Lounge'!N47+'ADD-Mhub lounge'!N47+'Royal Court'!N47+'MP Cafe'!N47+'MP Dining'!N47+'Room Service'!N47+Banquet!N48+Minibar!N35+STW!N23+'Main Kitchen'!N23+'F&amp;B Admin'!N23</f>
        <v>0</v>
      </c>
      <c r="O70" s="63">
        <f>'Lobby Lounge'!O47+'ADD-Mhub lounge'!O47+'Royal Court'!O47+'MP Cafe'!O47+'MP Dining'!O47+'Room Service'!O47+Banquet!O48+Minibar!O35+STW!O23+'Main Kitchen'!O23+'F&amp;B Admin'!O23</f>
        <v>0</v>
      </c>
      <c r="P70" s="63">
        <f>'Lobby Lounge'!P47+'ADD-Mhub lounge'!P47+'Royal Court'!P47+'MP Cafe'!P47+'MP Dining'!P47+'Room Service'!P47+Banquet!P48+Minibar!P35+STW!P23+'Main Kitchen'!P23+'F&amp;B Admin'!P23</f>
        <v>0</v>
      </c>
      <c r="Q70" s="142">
        <f t="shared" si="11"/>
        <v>0</v>
      </c>
      <c r="R70" s="142">
        <v>1446021.64</v>
      </c>
      <c r="S70" s="142">
        <f t="shared" si="12"/>
        <v>0</v>
      </c>
      <c r="U70" s="157"/>
      <c r="V70" s="40">
        <f>-IF(Q70-U70=0,0,(Q70-U70)/U70)</f>
        <v>0</v>
      </c>
    </row>
    <row r="71" spans="1:22" s="84" customFormat="1" ht="24.95" customHeight="1">
      <c r="A71" s="3" t="s">
        <v>158</v>
      </c>
      <c r="B71" s="3" t="s">
        <v>415</v>
      </c>
      <c r="C71" s="3"/>
      <c r="D71" s="26" t="s">
        <v>159</v>
      </c>
      <c r="E71" s="63">
        <f>'Lobby Lounge'!E48+'ADD-Mhub lounge'!E48+'Royal Court'!E48+'MP Cafe'!E48+'MP Dining'!E48+'Room Service'!E48+Banquet!E49+Minibar!E36+STW!E24+'Main Kitchen'!E24+'F&amp;B Admin'!E24</f>
        <v>600</v>
      </c>
      <c r="F71" s="63">
        <f>'Lobby Lounge'!F48+'ADD-Mhub lounge'!F48+'Royal Court'!F48+'MP Cafe'!F48+'MP Dining'!F48+'Room Service'!F48+Banquet!F49+Minibar!F36+STW!F24+'Main Kitchen'!F24+'F&amp;B Admin'!F24</f>
        <v>0</v>
      </c>
      <c r="G71" s="63">
        <f>'Lobby Lounge'!G48+'ADD-Mhub lounge'!G48+'Royal Court'!G48+'MP Cafe'!G48+'MP Dining'!G48+'Room Service'!G48+Banquet!G49+Minibar!G36+STW!G24+'Main Kitchen'!G24+'F&amp;B Admin'!G24</f>
        <v>0</v>
      </c>
      <c r="H71" s="63">
        <f>'Lobby Lounge'!H48+'ADD-Mhub lounge'!H48+'Royal Court'!H48+'MP Cafe'!H48+'MP Dining'!H48+'Room Service'!H48+Banquet!H49+Minibar!H36+STW!H24+'Main Kitchen'!H24+'F&amp;B Admin'!H24</f>
        <v>200</v>
      </c>
      <c r="I71" s="63">
        <f>'Lobby Lounge'!I48+'ADD-Mhub lounge'!I48+'Royal Court'!I48+'MP Cafe'!I48+'MP Dining'!I48+'Room Service'!I48+Banquet!I49+Minibar!I36+STW!I24+'Main Kitchen'!I24+'F&amp;B Admin'!I24</f>
        <v>200</v>
      </c>
      <c r="J71" s="63">
        <f>'Lobby Lounge'!J48+'ADD-Mhub lounge'!J48+'Royal Court'!J48+'MP Cafe'!J48+'MP Dining'!J48+'Room Service'!J48+Banquet!J49+Minibar!J36+STW!J24+'Main Kitchen'!J24+'F&amp;B Admin'!J24</f>
        <v>200</v>
      </c>
      <c r="K71" s="63">
        <f>'Lobby Lounge'!K48+'ADD-Mhub lounge'!K48+'Royal Court'!K48+'MP Cafe'!K48+'MP Dining'!K48+'Room Service'!K48+Banquet!K49+Minibar!K36+STW!K24+'Main Kitchen'!K24+'F&amp;B Admin'!K24</f>
        <v>200</v>
      </c>
      <c r="L71" s="63">
        <f>'Lobby Lounge'!L48+'ADD-Mhub lounge'!L48+'Royal Court'!L48+'MP Cafe'!L48+'MP Dining'!L48+'Room Service'!L48+Banquet!L49+Minibar!L36+STW!L24+'Main Kitchen'!L24+'F&amp;B Admin'!L24</f>
        <v>200</v>
      </c>
      <c r="M71" s="63">
        <f>'Lobby Lounge'!M48+'ADD-Mhub lounge'!M48+'Royal Court'!M48+'MP Cafe'!M48+'MP Dining'!M48+'Room Service'!M48+Banquet!M49+Minibar!M36+STW!M24+'Main Kitchen'!M24+'F&amp;B Admin'!M24</f>
        <v>200</v>
      </c>
      <c r="N71" s="63">
        <f>'Lobby Lounge'!N48+'ADD-Mhub lounge'!N48+'Royal Court'!N48+'MP Cafe'!N48+'MP Dining'!N48+'Room Service'!N48+Banquet!N49+Minibar!N36+STW!N24+'Main Kitchen'!N24+'F&amp;B Admin'!N24</f>
        <v>200</v>
      </c>
      <c r="O71" s="63">
        <f>'Lobby Lounge'!O48+'ADD-Mhub lounge'!O48+'Royal Court'!O48+'MP Cafe'!O48+'MP Dining'!O48+'Room Service'!O48+Banquet!O49+Minibar!O36+STW!O24+'Main Kitchen'!O24+'F&amp;B Admin'!O24</f>
        <v>200</v>
      </c>
      <c r="P71" s="63">
        <f>'Lobby Lounge'!P48+'ADD-Mhub lounge'!P48+'Royal Court'!P48+'MP Cafe'!P48+'MP Dining'!P48+'Room Service'!P48+Banquet!P49+Minibar!P36+STW!P24+'Main Kitchen'!P24+'F&amp;B Admin'!P24</f>
        <v>200</v>
      </c>
      <c r="Q71" s="142">
        <f t="shared" si="11"/>
        <v>2400</v>
      </c>
      <c r="R71" s="142">
        <v>111726.98</v>
      </c>
      <c r="S71" s="142">
        <f t="shared" si="12"/>
        <v>2.7558707211788953E-2</v>
      </c>
      <c r="U71" s="157"/>
      <c r="V71" s="40" t="e">
        <f t="shared" ref="V71:V123" si="13">-IF(Q71-U71=0,0,(Q71-U71)/U71)</f>
        <v>#DIV/0!</v>
      </c>
    </row>
    <row r="72" spans="1:22" s="84" customFormat="1" ht="24.95" customHeight="1">
      <c r="A72" s="3" t="s">
        <v>160</v>
      </c>
      <c r="B72" s="3" t="s">
        <v>415</v>
      </c>
      <c r="C72" s="3"/>
      <c r="D72" s="26" t="s">
        <v>161</v>
      </c>
      <c r="E72" s="63">
        <f>'Lobby Lounge'!E49+'ADD-Mhub lounge'!E49+'Royal Court'!E49+'MP Cafe'!E49+'MP Dining'!E49+'Room Service'!E49+Banquet!E50+Minibar!E37+STW!E25+'Main Kitchen'!E25+'F&amp;B Admin'!E25</f>
        <v>0</v>
      </c>
      <c r="F72" s="63">
        <f>'Lobby Lounge'!F49+'ADD-Mhub lounge'!F49+'Royal Court'!F49+'MP Cafe'!F49+'MP Dining'!F49+'Room Service'!F49+Banquet!F50+Minibar!F37+STW!F25+'Main Kitchen'!F25+'F&amp;B Admin'!F25</f>
        <v>0</v>
      </c>
      <c r="G72" s="63">
        <f>'Lobby Lounge'!G49+'ADD-Mhub lounge'!G49+'Royal Court'!G49+'MP Cafe'!G49+'MP Dining'!G49+'Room Service'!G49+Banquet!G50+Minibar!G37+STW!G25+'Main Kitchen'!G25+'F&amp;B Admin'!G25</f>
        <v>0</v>
      </c>
      <c r="H72" s="63">
        <f>'Lobby Lounge'!H49+'ADD-Mhub lounge'!H49+'Royal Court'!H49+'MP Cafe'!H49+'MP Dining'!H49+'Room Service'!H49+Banquet!H50+Minibar!H37+STW!H25+'Main Kitchen'!H25+'F&amp;B Admin'!H25</f>
        <v>0</v>
      </c>
      <c r="I72" s="63">
        <f>'Lobby Lounge'!I49+'ADD-Mhub lounge'!I49+'Royal Court'!I49+'MP Cafe'!I49+'MP Dining'!I49+'Room Service'!I49+Banquet!I50+Minibar!I37+STW!I25+'Main Kitchen'!I25+'F&amp;B Admin'!I25</f>
        <v>0</v>
      </c>
      <c r="J72" s="63">
        <f>'Lobby Lounge'!J49+'ADD-Mhub lounge'!J49+'Royal Court'!J49+'MP Cafe'!J49+'MP Dining'!J49+'Room Service'!J49+Banquet!J50+Minibar!J37+STW!J25+'Main Kitchen'!J25+'F&amp;B Admin'!J25</f>
        <v>0</v>
      </c>
      <c r="K72" s="63">
        <f>'Lobby Lounge'!K49+'ADD-Mhub lounge'!K49+'Royal Court'!K49+'MP Cafe'!K49+'MP Dining'!K49+'Room Service'!K49+Banquet!K50+Minibar!K37+STW!K25+'Main Kitchen'!K25+'F&amp;B Admin'!K25</f>
        <v>0</v>
      </c>
      <c r="L72" s="63">
        <f>'Lobby Lounge'!L49+'ADD-Mhub lounge'!L49+'Royal Court'!L49+'MP Cafe'!L49+'MP Dining'!L49+'Room Service'!L49+Banquet!L50+Minibar!L37+STW!L25+'Main Kitchen'!L25+'F&amp;B Admin'!L25</f>
        <v>0</v>
      </c>
      <c r="M72" s="63">
        <f>'Lobby Lounge'!M49+'ADD-Mhub lounge'!M49+'Royal Court'!M49+'MP Cafe'!M49+'MP Dining'!M49+'Room Service'!M49+Banquet!M50+Minibar!M37+STW!M25+'Main Kitchen'!M25+'F&amp;B Admin'!M25</f>
        <v>0</v>
      </c>
      <c r="N72" s="63">
        <f>'Lobby Lounge'!N49+'ADD-Mhub lounge'!N49+'Royal Court'!N49+'MP Cafe'!N49+'MP Dining'!N49+'Room Service'!N49+Banquet!N50+Minibar!N37+STW!N25+'Main Kitchen'!N25+'F&amp;B Admin'!N25</f>
        <v>0</v>
      </c>
      <c r="O72" s="63">
        <f>'Lobby Lounge'!O49+'ADD-Mhub lounge'!O49+'Royal Court'!O49+'MP Cafe'!O49+'MP Dining'!O49+'Room Service'!O49+Banquet!O50+Minibar!O37+STW!O25+'Main Kitchen'!O25+'F&amp;B Admin'!O25</f>
        <v>0</v>
      </c>
      <c r="P72" s="63">
        <f>'Lobby Lounge'!P49+'ADD-Mhub lounge'!P49+'Royal Court'!P49+'MP Cafe'!P49+'MP Dining'!P49+'Room Service'!P49+Banquet!P50+Minibar!P37+STW!P25+'Main Kitchen'!P25+'F&amp;B Admin'!P25</f>
        <v>0</v>
      </c>
      <c r="Q72" s="142">
        <f t="shared" si="11"/>
        <v>0</v>
      </c>
      <c r="R72" s="142">
        <v>0</v>
      </c>
      <c r="S72" s="142">
        <f t="shared" si="12"/>
        <v>0</v>
      </c>
      <c r="U72" s="157"/>
      <c r="V72" s="40">
        <f t="shared" si="13"/>
        <v>0</v>
      </c>
    </row>
    <row r="73" spans="1:22" s="84" customFormat="1" ht="24.95" customHeight="1">
      <c r="A73" s="3" t="s">
        <v>162</v>
      </c>
      <c r="B73" s="3" t="s">
        <v>415</v>
      </c>
      <c r="C73" s="3"/>
      <c r="D73" s="26" t="s">
        <v>163</v>
      </c>
      <c r="E73" s="63">
        <f>'Lobby Lounge'!E50+'ADD-Mhub lounge'!E50+'Royal Court'!E50+'MP Cafe'!E50+'MP Dining'!E50+'Room Service'!E50+Banquet!E51+Minibar!E38+STW!E26+'Main Kitchen'!E26+'F&amp;B Admin'!E26</f>
        <v>500</v>
      </c>
      <c r="F73" s="63">
        <f>'Lobby Lounge'!F50+'ADD-Mhub lounge'!F50+'Royal Court'!F50+'MP Cafe'!F50+'MP Dining'!F50+'Room Service'!F50+Banquet!F51+Minibar!F38+STW!F26+'Main Kitchen'!F26+'F&amp;B Admin'!F26</f>
        <v>0</v>
      </c>
      <c r="G73" s="63">
        <f>'Lobby Lounge'!G50+'ADD-Mhub lounge'!G50+'Royal Court'!G50+'MP Cafe'!G50+'MP Dining'!G50+'Room Service'!G50+Banquet!G51+Minibar!G38+STW!G26+'Main Kitchen'!G26+'F&amp;B Admin'!G26</f>
        <v>0</v>
      </c>
      <c r="H73" s="63">
        <f>'Lobby Lounge'!H50+'ADD-Mhub lounge'!H50+'Royal Court'!H50+'MP Cafe'!H50+'MP Dining'!H50+'Room Service'!H50+Banquet!H51+Minibar!H38+STW!H26+'Main Kitchen'!H26+'F&amp;B Admin'!H26</f>
        <v>300</v>
      </c>
      <c r="I73" s="63">
        <f>'Lobby Lounge'!I50+'ADD-Mhub lounge'!I50+'Royal Court'!I50+'MP Cafe'!I50+'MP Dining'!I50+'Room Service'!I50+Banquet!I51+Minibar!I38+STW!I26+'Main Kitchen'!I26+'F&amp;B Admin'!I26</f>
        <v>500</v>
      </c>
      <c r="J73" s="63">
        <f>'Lobby Lounge'!J50+'ADD-Mhub lounge'!J50+'Royal Court'!J50+'MP Cafe'!J50+'MP Dining'!J50+'Room Service'!J50+Banquet!J51+Minibar!J38+STW!J26+'Main Kitchen'!J26+'F&amp;B Admin'!J26</f>
        <v>300</v>
      </c>
      <c r="K73" s="63">
        <f>'Lobby Lounge'!K50+'ADD-Mhub lounge'!K50+'Royal Court'!K50+'MP Cafe'!K50+'MP Dining'!K50+'Room Service'!K50+Banquet!K51+Minibar!K38+STW!K26+'Main Kitchen'!K26+'F&amp;B Admin'!K26</f>
        <v>300</v>
      </c>
      <c r="L73" s="63">
        <f>'Lobby Lounge'!L50+'ADD-Mhub lounge'!L50+'Royal Court'!L50+'MP Cafe'!L50+'MP Dining'!L50+'Room Service'!L50+Banquet!L51+Minibar!L38+STW!L26+'Main Kitchen'!L26+'F&amp;B Admin'!L26</f>
        <v>300</v>
      </c>
      <c r="M73" s="63">
        <f>'Lobby Lounge'!M50+'ADD-Mhub lounge'!M50+'Royal Court'!M50+'MP Cafe'!M50+'MP Dining'!M50+'Room Service'!M50+Banquet!M51+Minibar!M38+STW!M26+'Main Kitchen'!M26+'F&amp;B Admin'!M26</f>
        <v>300</v>
      </c>
      <c r="N73" s="63">
        <f>'Lobby Lounge'!N50+'ADD-Mhub lounge'!N50+'Royal Court'!N50+'MP Cafe'!N50+'MP Dining'!N50+'Room Service'!N50+Banquet!N51+Minibar!N38+STW!N26+'Main Kitchen'!N26+'F&amp;B Admin'!N26</f>
        <v>300</v>
      </c>
      <c r="O73" s="63">
        <f>'Lobby Lounge'!O50+'ADD-Mhub lounge'!O50+'Royal Court'!O50+'MP Cafe'!O50+'MP Dining'!O50+'Room Service'!O50+Banquet!O51+Minibar!O38+STW!O26+'Main Kitchen'!O26+'F&amp;B Admin'!O26</f>
        <v>300</v>
      </c>
      <c r="P73" s="63">
        <f>'Lobby Lounge'!P50+'ADD-Mhub lounge'!P50+'Royal Court'!P50+'MP Cafe'!P50+'MP Dining'!P50+'Room Service'!P50+Banquet!P51+Minibar!P38+STW!P26+'Main Kitchen'!P26+'F&amp;B Admin'!P26</f>
        <v>300</v>
      </c>
      <c r="Q73" s="142">
        <f t="shared" si="11"/>
        <v>3400</v>
      </c>
      <c r="R73" s="142">
        <v>88896.54</v>
      </c>
      <c r="S73" s="142">
        <f t="shared" si="12"/>
        <v>3.9041501883367684E-2</v>
      </c>
      <c r="U73" s="157"/>
      <c r="V73" s="40" t="e">
        <f t="shared" si="13"/>
        <v>#DIV/0!</v>
      </c>
    </row>
    <row r="74" spans="1:22" s="84" customFormat="1" ht="24.95" customHeight="1">
      <c r="A74" s="3" t="s">
        <v>164</v>
      </c>
      <c r="B74" s="3" t="s">
        <v>415</v>
      </c>
      <c r="C74" s="3"/>
      <c r="D74" s="26" t="s">
        <v>165</v>
      </c>
      <c r="E74" s="63">
        <f>'Lobby Lounge'!E51+'ADD-Mhub lounge'!E51+'Royal Court'!E51+'MP Cafe'!E51+'MP Dining'!E51+'Room Service'!E51+Banquet!E52+Minibar!E39+STW!E27+'Main Kitchen'!E27+'F&amp;B Admin'!E27</f>
        <v>0</v>
      </c>
      <c r="F74" s="63">
        <f>'Lobby Lounge'!F51+'ADD-Mhub lounge'!F51+'Royal Court'!F51+'MP Cafe'!F51+'MP Dining'!F51+'Room Service'!F51+Banquet!F52+Minibar!F39+STW!F27+'Main Kitchen'!F27+'F&amp;B Admin'!F27</f>
        <v>0</v>
      </c>
      <c r="G74" s="63">
        <f>'Lobby Lounge'!G51+'ADD-Mhub lounge'!G51+'Royal Court'!G51+'MP Cafe'!G51+'MP Dining'!G51+'Room Service'!G51+Banquet!G52+Minibar!G39+STW!G27+'Main Kitchen'!G27+'F&amp;B Admin'!G27</f>
        <v>0</v>
      </c>
      <c r="H74" s="63">
        <f>'Lobby Lounge'!H51+'ADD-Mhub lounge'!H51+'Royal Court'!H51+'MP Cafe'!H51+'MP Dining'!H51+'Room Service'!H51+Banquet!H52+Minibar!H39+STW!H27+'Main Kitchen'!H27+'F&amp;B Admin'!H27</f>
        <v>0</v>
      </c>
      <c r="I74" s="63">
        <f>'Lobby Lounge'!I51+'ADD-Mhub lounge'!I51+'Royal Court'!I51+'MP Cafe'!I51+'MP Dining'!I51+'Room Service'!I51+Banquet!I52+Minibar!I39+STW!I27+'Main Kitchen'!I27+'F&amp;B Admin'!I27</f>
        <v>0</v>
      </c>
      <c r="J74" s="63">
        <f>'Lobby Lounge'!J51+'ADD-Mhub lounge'!J51+'Royal Court'!J51+'MP Cafe'!J51+'MP Dining'!J51+'Room Service'!J51+Banquet!J52+Minibar!J39+STW!J27+'Main Kitchen'!J27+'F&amp;B Admin'!J27</f>
        <v>0</v>
      </c>
      <c r="K74" s="63">
        <f>'Lobby Lounge'!K51+'ADD-Mhub lounge'!K51+'Royal Court'!K51+'MP Cafe'!K51+'MP Dining'!K51+'Room Service'!K51+Banquet!K52+Minibar!K39+STW!K27+'Main Kitchen'!K27+'F&amp;B Admin'!K27</f>
        <v>0</v>
      </c>
      <c r="L74" s="63">
        <f>'Lobby Lounge'!L51+'ADD-Mhub lounge'!L51+'Royal Court'!L51+'MP Cafe'!L51+'MP Dining'!L51+'Room Service'!L51+Banquet!L52+Minibar!L39+STW!L27+'Main Kitchen'!L27+'F&amp;B Admin'!L27</f>
        <v>0</v>
      </c>
      <c r="M74" s="63">
        <f>'Lobby Lounge'!M51+'ADD-Mhub lounge'!M51+'Royal Court'!M51+'MP Cafe'!M51+'MP Dining'!M51+'Room Service'!M51+Banquet!M52+Minibar!M39+STW!M27+'Main Kitchen'!M27+'F&amp;B Admin'!M27</f>
        <v>0</v>
      </c>
      <c r="N74" s="63">
        <f>'Lobby Lounge'!N51+'ADD-Mhub lounge'!N51+'Royal Court'!N51+'MP Cafe'!N51+'MP Dining'!N51+'Room Service'!N51+Banquet!N52+Minibar!N39+STW!N27+'Main Kitchen'!N27+'F&amp;B Admin'!N27</f>
        <v>0</v>
      </c>
      <c r="O74" s="63">
        <f>'Lobby Lounge'!O51+'ADD-Mhub lounge'!O51+'Royal Court'!O51+'MP Cafe'!O51+'MP Dining'!O51+'Room Service'!O51+Banquet!O52+Minibar!O39+STW!O27+'Main Kitchen'!O27+'F&amp;B Admin'!O27</f>
        <v>0</v>
      </c>
      <c r="P74" s="63">
        <f>'Lobby Lounge'!P51+'ADD-Mhub lounge'!P51+'Royal Court'!P51+'MP Cafe'!P51+'MP Dining'!P51+'Room Service'!P51+Banquet!P52+Minibar!P39+STW!P27+'Main Kitchen'!P27+'F&amp;B Admin'!P27</f>
        <v>0</v>
      </c>
      <c r="Q74" s="142">
        <f t="shared" si="11"/>
        <v>0</v>
      </c>
      <c r="R74" s="142">
        <v>0</v>
      </c>
      <c r="S74" s="142">
        <f t="shared" si="12"/>
        <v>0</v>
      </c>
      <c r="U74" s="157"/>
      <c r="V74" s="40">
        <f t="shared" si="13"/>
        <v>0</v>
      </c>
    </row>
    <row r="75" spans="1:22" s="84" customFormat="1" ht="24.95" customHeight="1">
      <c r="A75" s="3" t="s">
        <v>166</v>
      </c>
      <c r="B75" s="3" t="s">
        <v>415</v>
      </c>
      <c r="C75" s="3"/>
      <c r="D75" s="26" t="s">
        <v>167</v>
      </c>
      <c r="E75" s="63">
        <f>'Lobby Lounge'!E52+'ADD-Mhub lounge'!E52+'Royal Court'!E52+'MP Cafe'!E52+'MP Dining'!E52+'Room Service'!E52+Banquet!E53+Minibar!E40+STW!E28+'Main Kitchen'!E28+'F&amp;B Admin'!E28</f>
        <v>0</v>
      </c>
      <c r="F75" s="63">
        <f>'Lobby Lounge'!F52+'ADD-Mhub lounge'!F52+'Royal Court'!F52+'MP Cafe'!F52+'MP Dining'!F52+'Room Service'!F52+Banquet!F53+Minibar!F40+STW!F28+'Main Kitchen'!F28+'F&amp;B Admin'!F28</f>
        <v>0</v>
      </c>
      <c r="G75" s="63">
        <f>'Lobby Lounge'!G52+'ADD-Mhub lounge'!G52+'Royal Court'!G52+'MP Cafe'!G52+'MP Dining'!G52+'Room Service'!G52+Banquet!G53+Minibar!G40+STW!G28+'Main Kitchen'!G28+'F&amp;B Admin'!G28</f>
        <v>0</v>
      </c>
      <c r="H75" s="63">
        <f>'Lobby Lounge'!H52+'ADD-Mhub lounge'!H52+'Royal Court'!H52+'MP Cafe'!H52+'MP Dining'!H52+'Room Service'!H52+Banquet!H53+Minibar!H40+STW!H28+'Main Kitchen'!H28+'F&amp;B Admin'!H28</f>
        <v>0</v>
      </c>
      <c r="I75" s="63">
        <f>'Lobby Lounge'!I52+'ADD-Mhub lounge'!I52+'Royal Court'!I52+'MP Cafe'!I52+'MP Dining'!I52+'Room Service'!I52+Banquet!I53+Minibar!I40+STW!I28+'Main Kitchen'!I28+'F&amp;B Admin'!I28</f>
        <v>0</v>
      </c>
      <c r="J75" s="63">
        <f>'Lobby Lounge'!J52+'ADD-Mhub lounge'!J52+'Royal Court'!J52+'MP Cafe'!J52+'MP Dining'!J52+'Room Service'!J52+Banquet!J53+Minibar!J40+STW!J28+'Main Kitchen'!J28+'F&amp;B Admin'!J28</f>
        <v>0</v>
      </c>
      <c r="K75" s="63">
        <f>'Lobby Lounge'!K52+'ADD-Mhub lounge'!K52+'Royal Court'!K52+'MP Cafe'!K52+'MP Dining'!K52+'Room Service'!K52+Banquet!K53+Minibar!K40+STW!K28+'Main Kitchen'!K28+'F&amp;B Admin'!K28</f>
        <v>0</v>
      </c>
      <c r="L75" s="63">
        <f>'Lobby Lounge'!L52+'ADD-Mhub lounge'!L52+'Royal Court'!L52+'MP Cafe'!L52+'MP Dining'!L52+'Room Service'!L52+Banquet!L53+Minibar!L40+STW!L28+'Main Kitchen'!L28+'F&amp;B Admin'!L28</f>
        <v>0</v>
      </c>
      <c r="M75" s="63">
        <f>'Lobby Lounge'!M52+'ADD-Mhub lounge'!M52+'Royal Court'!M52+'MP Cafe'!M52+'MP Dining'!M52+'Room Service'!M52+Banquet!M53+Minibar!M40+STW!M28+'Main Kitchen'!M28+'F&amp;B Admin'!M28</f>
        <v>0</v>
      </c>
      <c r="N75" s="63">
        <f>'Lobby Lounge'!N52+'ADD-Mhub lounge'!N52+'Royal Court'!N52+'MP Cafe'!N52+'MP Dining'!N52+'Room Service'!N52+Banquet!N53+Minibar!N40+STW!N28+'Main Kitchen'!N28+'F&amp;B Admin'!N28</f>
        <v>0</v>
      </c>
      <c r="O75" s="63">
        <f>'Lobby Lounge'!O52+'ADD-Mhub lounge'!O52+'Royal Court'!O52+'MP Cafe'!O52+'MP Dining'!O52+'Room Service'!O52+Banquet!O53+Minibar!O40+STW!O28+'Main Kitchen'!O28+'F&amp;B Admin'!O28</f>
        <v>0</v>
      </c>
      <c r="P75" s="63">
        <f>'Lobby Lounge'!P52+'ADD-Mhub lounge'!P52+'Royal Court'!P52+'MP Cafe'!P52+'MP Dining'!P52+'Room Service'!P52+Banquet!P53+Minibar!P40+STW!P28+'Main Kitchen'!P28+'F&amp;B Admin'!P28</f>
        <v>0</v>
      </c>
      <c r="Q75" s="142">
        <f t="shared" si="11"/>
        <v>0</v>
      </c>
      <c r="R75" s="142">
        <v>0</v>
      </c>
      <c r="S75" s="142">
        <f t="shared" si="12"/>
        <v>0</v>
      </c>
      <c r="U75" s="157"/>
      <c r="V75" s="40">
        <f t="shared" si="13"/>
        <v>0</v>
      </c>
    </row>
    <row r="76" spans="1:22" s="84" customFormat="1" ht="24.95" customHeight="1">
      <c r="A76" s="3" t="s">
        <v>168</v>
      </c>
      <c r="B76" s="3" t="s">
        <v>415</v>
      </c>
      <c r="C76" s="3"/>
      <c r="D76" s="26" t="s">
        <v>169</v>
      </c>
      <c r="E76" s="63">
        <f>'Lobby Lounge'!E53+'ADD-Mhub lounge'!E53+'Royal Court'!E53+'MP Cafe'!E53+'MP Dining'!E53+'Room Service'!E53+Banquet!E54+Minibar!E41+STW!E29+'Main Kitchen'!E29+'F&amp;B Admin'!E29</f>
        <v>0</v>
      </c>
      <c r="F76" s="63">
        <f>'Lobby Lounge'!F53+'ADD-Mhub lounge'!F53+'Royal Court'!F53+'MP Cafe'!F53+'MP Dining'!F53+'Room Service'!F53+Banquet!F54+Minibar!F41+STW!F29+'Main Kitchen'!F29+'F&amp;B Admin'!F29</f>
        <v>0</v>
      </c>
      <c r="G76" s="63">
        <f>'Lobby Lounge'!G53+'ADD-Mhub lounge'!G53+'Royal Court'!G53+'MP Cafe'!G53+'MP Dining'!G53+'Room Service'!G53+Banquet!G54+Minibar!G41+STW!G29+'Main Kitchen'!G29+'F&amp;B Admin'!G29</f>
        <v>0</v>
      </c>
      <c r="H76" s="63">
        <f>'Lobby Lounge'!H53+'ADD-Mhub lounge'!H53+'Royal Court'!H53+'MP Cafe'!H53+'MP Dining'!H53+'Room Service'!H53+Banquet!H54+Minibar!H41+STW!H29+'Main Kitchen'!H29+'F&amp;B Admin'!H29</f>
        <v>0</v>
      </c>
      <c r="I76" s="63">
        <f>'Lobby Lounge'!I53+'ADD-Mhub lounge'!I53+'Royal Court'!I53+'MP Cafe'!I53+'MP Dining'!I53+'Room Service'!I53+Banquet!I54+Minibar!I41+STW!I29+'Main Kitchen'!I29+'F&amp;B Admin'!I29</f>
        <v>0</v>
      </c>
      <c r="J76" s="63">
        <f>'Lobby Lounge'!J53+'ADD-Mhub lounge'!J53+'Royal Court'!J53+'MP Cafe'!J53+'MP Dining'!J53+'Room Service'!J53+Banquet!J54+Minibar!J41+STW!J29+'Main Kitchen'!J29+'F&amp;B Admin'!J29</f>
        <v>0</v>
      </c>
      <c r="K76" s="63">
        <f>'Lobby Lounge'!K53+'ADD-Mhub lounge'!K53+'Royal Court'!K53+'MP Cafe'!K53+'MP Dining'!K53+'Room Service'!K53+Banquet!K54+Minibar!K41+STW!K29+'Main Kitchen'!K29+'F&amp;B Admin'!K29</f>
        <v>0</v>
      </c>
      <c r="L76" s="63">
        <f>'Lobby Lounge'!L53+'ADD-Mhub lounge'!L53+'Royal Court'!L53+'MP Cafe'!L53+'MP Dining'!L53+'Room Service'!L53+Banquet!L54+Minibar!L41+STW!L29+'Main Kitchen'!L29+'F&amp;B Admin'!L29</f>
        <v>0</v>
      </c>
      <c r="M76" s="63">
        <f>'Lobby Lounge'!M53+'ADD-Mhub lounge'!M53+'Royal Court'!M53+'MP Cafe'!M53+'MP Dining'!M53+'Room Service'!M53+Banquet!M54+Minibar!M41+STW!M29+'Main Kitchen'!M29+'F&amp;B Admin'!M29</f>
        <v>0</v>
      </c>
      <c r="N76" s="63">
        <f>'Lobby Lounge'!N53+'ADD-Mhub lounge'!N53+'Royal Court'!N53+'MP Cafe'!N53+'MP Dining'!N53+'Room Service'!N53+Banquet!N54+Minibar!N41+STW!N29+'Main Kitchen'!N29+'F&amp;B Admin'!N29</f>
        <v>0</v>
      </c>
      <c r="O76" s="63">
        <f>'Lobby Lounge'!O53+'ADD-Mhub lounge'!O53+'Royal Court'!O53+'MP Cafe'!O53+'MP Dining'!O53+'Room Service'!O53+Banquet!O54+Minibar!O41+STW!O29+'Main Kitchen'!O29+'F&amp;B Admin'!O29</f>
        <v>0</v>
      </c>
      <c r="P76" s="63">
        <f>'Lobby Lounge'!P53+'ADD-Mhub lounge'!P53+'Royal Court'!P53+'MP Cafe'!P53+'MP Dining'!P53+'Room Service'!P53+Banquet!P54+Minibar!P41+STW!P29+'Main Kitchen'!P29+'F&amp;B Admin'!P29</f>
        <v>0</v>
      </c>
      <c r="Q76" s="142">
        <f t="shared" si="11"/>
        <v>0</v>
      </c>
      <c r="R76" s="142">
        <v>0</v>
      </c>
      <c r="S76" s="142">
        <f t="shared" si="12"/>
        <v>0</v>
      </c>
      <c r="U76" s="157"/>
      <c r="V76" s="40">
        <f t="shared" si="13"/>
        <v>0</v>
      </c>
    </row>
    <row r="77" spans="1:22" s="84" customFormat="1" ht="24.95" customHeight="1">
      <c r="A77" s="3" t="s">
        <v>170</v>
      </c>
      <c r="B77" s="3" t="s">
        <v>415</v>
      </c>
      <c r="C77" s="3"/>
      <c r="D77" s="26" t="s">
        <v>171</v>
      </c>
      <c r="E77" s="63">
        <f>'Lobby Lounge'!E54+'ADD-Mhub lounge'!E54+'Royal Court'!E54+'MP Cafe'!E54+'MP Dining'!E54+'Room Service'!E54+Banquet!E55+Minibar!E42+STW!E30+'Main Kitchen'!E30+'F&amp;B Admin'!E30</f>
        <v>2590.7799999999997</v>
      </c>
      <c r="F77" s="63">
        <f>'Lobby Lounge'!F54+'ADD-Mhub lounge'!F54+'Royal Court'!F54+'MP Cafe'!F54+'MP Dining'!F54+'Room Service'!F54+Banquet!F55+Minibar!F42+STW!F30+'Main Kitchen'!F30+'F&amp;B Admin'!F30</f>
        <v>1728.21</v>
      </c>
      <c r="G77" s="63">
        <f>'Lobby Lounge'!G54+'ADD-Mhub lounge'!G54+'Royal Court'!G54+'MP Cafe'!G54+'MP Dining'!G54+'Room Service'!G54+Banquet!G55+Minibar!G42+STW!G30+'Main Kitchen'!G30+'F&amp;B Admin'!G30</f>
        <v>2104.1099999999997</v>
      </c>
      <c r="H77" s="63">
        <f>'Lobby Lounge'!H54+'ADD-Mhub lounge'!H54+'Royal Court'!H54+'MP Cafe'!H54+'MP Dining'!H54+'Room Service'!H54+Banquet!H55+Minibar!H42+STW!H30+'Main Kitchen'!H30+'F&amp;B Admin'!H30</f>
        <v>2651.15</v>
      </c>
      <c r="I77" s="63">
        <f>'Lobby Lounge'!I54+'ADD-Mhub lounge'!I54+'Royal Court'!I54+'MP Cafe'!I54+'MP Dining'!I54+'Room Service'!I54+Banquet!I55+Minibar!I42+STW!I30+'Main Kitchen'!I30+'F&amp;B Admin'!I30</f>
        <v>3514.5</v>
      </c>
      <c r="J77" s="63">
        <f>'Lobby Lounge'!J54+'ADD-Mhub lounge'!J54+'Royal Court'!J54+'MP Cafe'!J54+'MP Dining'!J54+'Room Service'!J54+Banquet!J55+Minibar!J42+STW!J30+'Main Kitchen'!J30+'F&amp;B Admin'!J30</f>
        <v>2568.67</v>
      </c>
      <c r="K77" s="63">
        <f>'Lobby Lounge'!K54+'ADD-Mhub lounge'!K54+'Royal Court'!K54+'MP Cafe'!K54+'MP Dining'!K54+'Room Service'!K54+Banquet!K55+Minibar!K42+STW!K30+'Main Kitchen'!K30+'F&amp;B Admin'!K30</f>
        <v>2838.27</v>
      </c>
      <c r="L77" s="63">
        <f>'Lobby Lounge'!L54+'ADD-Mhub lounge'!L54+'Royal Court'!L54+'MP Cafe'!L54+'MP Dining'!L54+'Room Service'!L54+Banquet!L55+Minibar!L42+STW!L30+'Main Kitchen'!L30+'F&amp;B Admin'!L30</f>
        <v>2888.83</v>
      </c>
      <c r="M77" s="63">
        <f>'Lobby Lounge'!M54+'ADD-Mhub lounge'!M54+'Royal Court'!M54+'MP Cafe'!M54+'MP Dining'!M54+'Room Service'!M54+Banquet!M55+Minibar!M42+STW!M30+'Main Kitchen'!M30+'F&amp;B Admin'!M30</f>
        <v>3039.3900000000003</v>
      </c>
      <c r="N77" s="63">
        <f>'Lobby Lounge'!N54+'ADD-Mhub lounge'!N54+'Royal Court'!N54+'MP Cafe'!N54+'MP Dining'!N54+'Room Service'!N54+Banquet!N55+Minibar!N42+STW!N30+'Main Kitchen'!N30+'F&amp;B Admin'!N30</f>
        <v>4098.0300000000007</v>
      </c>
      <c r="O77" s="63">
        <f>'Lobby Lounge'!O54+'ADD-Mhub lounge'!O54+'Royal Court'!O54+'MP Cafe'!O54+'MP Dining'!O54+'Room Service'!O54+Banquet!O55+Minibar!O42+STW!O30+'Main Kitchen'!O30+'F&amp;B Admin'!O30</f>
        <v>2698.27</v>
      </c>
      <c r="P77" s="63">
        <f>'Lobby Lounge'!P54+'ADD-Mhub lounge'!P54+'Royal Court'!P54+'MP Cafe'!P54+'MP Dining'!P54+'Room Service'!P54+Banquet!P55+Minibar!P42+STW!P30+'Main Kitchen'!P30+'F&amp;B Admin'!P30</f>
        <v>2580.0299999999997</v>
      </c>
      <c r="Q77" s="142">
        <f t="shared" si="11"/>
        <v>33300.239999999998</v>
      </c>
      <c r="R77" s="142">
        <v>116388.44</v>
      </c>
      <c r="S77" s="142">
        <f t="shared" si="12"/>
        <v>0.38237981843429286</v>
      </c>
      <c r="U77" s="157"/>
      <c r="V77" s="40" t="e">
        <f t="shared" si="13"/>
        <v>#DIV/0!</v>
      </c>
    </row>
    <row r="78" spans="1:22" s="84" customFormat="1" ht="24.95" hidden="1" customHeight="1">
      <c r="A78" s="3" t="s">
        <v>172</v>
      </c>
      <c r="B78" s="3" t="s">
        <v>415</v>
      </c>
      <c r="C78" s="3"/>
      <c r="D78" s="26" t="s">
        <v>173</v>
      </c>
      <c r="E78" s="63">
        <f>'Lobby Lounge'!E55+'ADD-Mhub lounge'!E55+'Royal Court'!E55+'MP Cafe'!E55+'MP Dining'!E55+'Room Service'!E55+Banquet!E56+Minibar!E43+STW!E31+'Main Kitchen'!E31+'F&amp;B Admin'!E31</f>
        <v>0</v>
      </c>
      <c r="F78" s="63">
        <f>'Lobby Lounge'!F55+'ADD-Mhub lounge'!F55+'Royal Court'!F55+'MP Cafe'!F55+'MP Dining'!F55+'Room Service'!F55+Banquet!F56+Minibar!F43+STW!F31+'Main Kitchen'!F31+'F&amp;B Admin'!F31</f>
        <v>0</v>
      </c>
      <c r="G78" s="63">
        <f>'Lobby Lounge'!G55+'ADD-Mhub lounge'!G55+'Royal Court'!G55+'MP Cafe'!G55+'MP Dining'!G55+'Room Service'!G55+Banquet!G56+Minibar!G43+STW!G31+'Main Kitchen'!G31+'F&amp;B Admin'!G31</f>
        <v>0</v>
      </c>
      <c r="H78" s="63">
        <f>'Lobby Lounge'!H55+'ADD-Mhub lounge'!H55+'Royal Court'!H55+'MP Cafe'!H55+'MP Dining'!H55+'Room Service'!H55+Banquet!H56+Minibar!H43+STW!H31+'Main Kitchen'!H31+'F&amp;B Admin'!H31</f>
        <v>0</v>
      </c>
      <c r="I78" s="63">
        <f>'Lobby Lounge'!I55+'ADD-Mhub lounge'!I55+'Royal Court'!I55+'MP Cafe'!I55+'MP Dining'!I55+'Room Service'!I55+Banquet!I56+Minibar!I43+STW!I31+'Main Kitchen'!I31+'F&amp;B Admin'!I31</f>
        <v>0</v>
      </c>
      <c r="J78" s="63">
        <f>'Lobby Lounge'!J55+'ADD-Mhub lounge'!J55+'Royal Court'!J55+'MP Cafe'!J55+'MP Dining'!J55+'Room Service'!J55+Banquet!J56+Minibar!J43+STW!J31+'Main Kitchen'!J31+'F&amp;B Admin'!J31</f>
        <v>0</v>
      </c>
      <c r="K78" s="63">
        <f>'Lobby Lounge'!K55+'ADD-Mhub lounge'!K55+'Royal Court'!K55+'MP Cafe'!K55+'MP Dining'!K55+'Room Service'!K55+Banquet!K56+Minibar!K43+STW!K31+'Main Kitchen'!K31+'F&amp;B Admin'!K31</f>
        <v>0</v>
      </c>
      <c r="L78" s="63">
        <f>'Lobby Lounge'!L55+'ADD-Mhub lounge'!L55+'Royal Court'!L55+'MP Cafe'!L55+'MP Dining'!L55+'Room Service'!L55+Banquet!L56+Minibar!L43+STW!L31+'Main Kitchen'!L31+'F&amp;B Admin'!L31</f>
        <v>0</v>
      </c>
      <c r="M78" s="63">
        <f>'Lobby Lounge'!M55+'ADD-Mhub lounge'!M55+'Royal Court'!M55+'MP Cafe'!M55+'MP Dining'!M55+'Room Service'!M55+Banquet!M56+Minibar!M43+STW!M31+'Main Kitchen'!M31+'F&amp;B Admin'!M31</f>
        <v>0</v>
      </c>
      <c r="N78" s="63">
        <f>'Lobby Lounge'!N55+'ADD-Mhub lounge'!N55+'Royal Court'!N55+'MP Cafe'!N55+'MP Dining'!N55+'Room Service'!N55+Banquet!N56+Minibar!N43+STW!N31+'Main Kitchen'!N31+'F&amp;B Admin'!N31</f>
        <v>0</v>
      </c>
      <c r="O78" s="63">
        <f>'Lobby Lounge'!O55+'ADD-Mhub lounge'!O55+'Royal Court'!O55+'MP Cafe'!O55+'MP Dining'!O55+'Room Service'!O55+Banquet!O56+Minibar!O43+STW!O31+'Main Kitchen'!O31+'F&amp;B Admin'!O31</f>
        <v>0</v>
      </c>
      <c r="P78" s="63">
        <f>'Lobby Lounge'!P55+'ADD-Mhub lounge'!P55+'Royal Court'!P55+'MP Cafe'!P55+'MP Dining'!P55+'Room Service'!P55+Banquet!P56+Minibar!P43+STW!P31+'Main Kitchen'!P31+'F&amp;B Admin'!P31</f>
        <v>0</v>
      </c>
      <c r="Q78" s="142">
        <f t="shared" si="11"/>
        <v>0</v>
      </c>
      <c r="R78" s="142">
        <v>0</v>
      </c>
      <c r="S78" s="142">
        <f t="shared" si="12"/>
        <v>0</v>
      </c>
      <c r="U78" s="157"/>
      <c r="V78" s="40">
        <f t="shared" si="13"/>
        <v>0</v>
      </c>
    </row>
    <row r="79" spans="1:22" s="84" customFormat="1" ht="24.95" hidden="1" customHeight="1">
      <c r="A79" s="3" t="s">
        <v>174</v>
      </c>
      <c r="B79" s="3" t="s">
        <v>415</v>
      </c>
      <c r="C79" s="3"/>
      <c r="D79" s="26" t="s">
        <v>175</v>
      </c>
      <c r="E79" s="63">
        <f>'Lobby Lounge'!E56+'ADD-Mhub lounge'!E56+'Royal Court'!E56+'MP Cafe'!E56+'MP Dining'!E56+'Room Service'!E56+Banquet!E57+Minibar!E44+STW!E32+'Main Kitchen'!E32+'F&amp;B Admin'!E32</f>
        <v>0</v>
      </c>
      <c r="F79" s="63">
        <f>'Lobby Lounge'!F56+'ADD-Mhub lounge'!F56+'Royal Court'!F56+'MP Cafe'!F56+'MP Dining'!F56+'Room Service'!F56+Banquet!F57+Minibar!F44+STW!F32+'Main Kitchen'!F32+'F&amp;B Admin'!F32</f>
        <v>0</v>
      </c>
      <c r="G79" s="63">
        <f>'Lobby Lounge'!G56+'ADD-Mhub lounge'!G56+'Royal Court'!G56+'MP Cafe'!G56+'MP Dining'!G56+'Room Service'!G56+Banquet!G57+Minibar!G44+STW!G32+'Main Kitchen'!G32+'F&amp;B Admin'!G32</f>
        <v>0</v>
      </c>
      <c r="H79" s="63">
        <f>'Lobby Lounge'!H56+'ADD-Mhub lounge'!H56+'Royal Court'!H56+'MP Cafe'!H56+'MP Dining'!H56+'Room Service'!H56+Banquet!H57+Minibar!H44+STW!H32+'Main Kitchen'!H32+'F&amp;B Admin'!H32</f>
        <v>0</v>
      </c>
      <c r="I79" s="63">
        <f>'Lobby Lounge'!I56+'ADD-Mhub lounge'!I56+'Royal Court'!I56+'MP Cafe'!I56+'MP Dining'!I56+'Room Service'!I56+Banquet!I57+Minibar!I44+STW!I32+'Main Kitchen'!I32+'F&amp;B Admin'!I32</f>
        <v>0</v>
      </c>
      <c r="J79" s="63">
        <f>'Lobby Lounge'!J56+'ADD-Mhub lounge'!J56+'Royal Court'!J56+'MP Cafe'!J56+'MP Dining'!J56+'Room Service'!J56+Banquet!J57+Minibar!J44+STW!J32+'Main Kitchen'!J32+'F&amp;B Admin'!J32</f>
        <v>0</v>
      </c>
      <c r="K79" s="63">
        <f>'Lobby Lounge'!K56+'ADD-Mhub lounge'!K56+'Royal Court'!K56+'MP Cafe'!K56+'MP Dining'!K56+'Room Service'!K56+Banquet!K57+Minibar!K44+STW!K32+'Main Kitchen'!K32+'F&amp;B Admin'!K32</f>
        <v>0</v>
      </c>
      <c r="L79" s="63">
        <f>'Lobby Lounge'!L56+'ADD-Mhub lounge'!L56+'Royal Court'!L56+'MP Cafe'!L56+'MP Dining'!L56+'Room Service'!L56+Banquet!L57+Minibar!L44+STW!L32+'Main Kitchen'!L32+'F&amp;B Admin'!L32</f>
        <v>0</v>
      </c>
      <c r="M79" s="63">
        <f>'Lobby Lounge'!M56+'ADD-Mhub lounge'!M56+'Royal Court'!M56+'MP Cafe'!M56+'MP Dining'!M56+'Room Service'!M56+Banquet!M57+Minibar!M44+STW!M32+'Main Kitchen'!M32+'F&amp;B Admin'!M32</f>
        <v>0</v>
      </c>
      <c r="N79" s="63">
        <f>'Lobby Lounge'!N56+'ADD-Mhub lounge'!N56+'Royal Court'!N56+'MP Cafe'!N56+'MP Dining'!N56+'Room Service'!N56+Banquet!N57+Minibar!N44+STW!N32+'Main Kitchen'!N32+'F&amp;B Admin'!N32</f>
        <v>0</v>
      </c>
      <c r="O79" s="63">
        <f>'Lobby Lounge'!O56+'ADD-Mhub lounge'!O56+'Royal Court'!O56+'MP Cafe'!O56+'MP Dining'!O56+'Room Service'!O56+Banquet!O57+Minibar!O44+STW!O32+'Main Kitchen'!O32+'F&amp;B Admin'!O32</f>
        <v>0</v>
      </c>
      <c r="P79" s="63">
        <f>'Lobby Lounge'!P56+'ADD-Mhub lounge'!P56+'Royal Court'!P56+'MP Cafe'!P56+'MP Dining'!P56+'Room Service'!P56+Banquet!P57+Minibar!P44+STW!P32+'Main Kitchen'!P32+'F&amp;B Admin'!P32</f>
        <v>0</v>
      </c>
      <c r="Q79" s="142">
        <f t="shared" si="11"/>
        <v>0</v>
      </c>
      <c r="R79" s="142">
        <v>0</v>
      </c>
      <c r="S79" s="142">
        <f t="shared" si="12"/>
        <v>0</v>
      </c>
      <c r="U79" s="157"/>
      <c r="V79" s="40">
        <f t="shared" si="13"/>
        <v>0</v>
      </c>
    </row>
    <row r="80" spans="1:22" s="84" customFormat="1" ht="24.95" hidden="1" customHeight="1">
      <c r="A80" s="3" t="s">
        <v>176</v>
      </c>
      <c r="B80" s="3" t="s">
        <v>415</v>
      </c>
      <c r="C80" s="3"/>
      <c r="D80" s="26" t="s">
        <v>177</v>
      </c>
      <c r="E80" s="63">
        <f>'Lobby Lounge'!E57+'ADD-Mhub lounge'!E57+'Royal Court'!E57+'MP Cafe'!E57+'MP Dining'!E57+'Room Service'!E57+Banquet!E58+Minibar!E45+STW!E33+'Main Kitchen'!E33+'F&amp;B Admin'!E33</f>
        <v>0</v>
      </c>
      <c r="F80" s="63">
        <f>'Lobby Lounge'!F57+'ADD-Mhub lounge'!F57+'Royal Court'!F57+'MP Cafe'!F57+'MP Dining'!F57+'Room Service'!F57+Banquet!F58+Minibar!F45+STW!F33+'Main Kitchen'!F33+'F&amp;B Admin'!F33</f>
        <v>0</v>
      </c>
      <c r="G80" s="63">
        <f>'Lobby Lounge'!G57+'ADD-Mhub lounge'!G57+'Royal Court'!G57+'MP Cafe'!G57+'MP Dining'!G57+'Room Service'!G57+Banquet!G58+Minibar!G45+STW!G33+'Main Kitchen'!G33+'F&amp;B Admin'!G33</f>
        <v>0</v>
      </c>
      <c r="H80" s="63">
        <f>'Lobby Lounge'!H57+'ADD-Mhub lounge'!H57+'Royal Court'!H57+'MP Cafe'!H57+'MP Dining'!H57+'Room Service'!H57+Banquet!H58+Minibar!H45+STW!H33+'Main Kitchen'!H33+'F&amp;B Admin'!H33</f>
        <v>0</v>
      </c>
      <c r="I80" s="63">
        <f>'Lobby Lounge'!I57+'ADD-Mhub lounge'!I57+'Royal Court'!I57+'MP Cafe'!I57+'MP Dining'!I57+'Room Service'!I57+Banquet!I58+Minibar!I45+STW!I33+'Main Kitchen'!I33+'F&amp;B Admin'!I33</f>
        <v>0</v>
      </c>
      <c r="J80" s="63">
        <f>'Lobby Lounge'!J57+'ADD-Mhub lounge'!J57+'Royal Court'!J57+'MP Cafe'!J57+'MP Dining'!J57+'Room Service'!J57+Banquet!J58+Minibar!J45+STW!J33+'Main Kitchen'!J33+'F&amp;B Admin'!J33</f>
        <v>0</v>
      </c>
      <c r="K80" s="63">
        <f>'Lobby Lounge'!K57+'ADD-Mhub lounge'!K57+'Royal Court'!K57+'MP Cafe'!K57+'MP Dining'!K57+'Room Service'!K57+Banquet!K58+Minibar!K45+STW!K33+'Main Kitchen'!K33+'F&amp;B Admin'!K33</f>
        <v>0</v>
      </c>
      <c r="L80" s="63">
        <f>'Lobby Lounge'!L57+'ADD-Mhub lounge'!L57+'Royal Court'!L57+'MP Cafe'!L57+'MP Dining'!L57+'Room Service'!L57+Banquet!L58+Minibar!L45+STW!L33+'Main Kitchen'!L33+'F&amp;B Admin'!L33</f>
        <v>0</v>
      </c>
      <c r="M80" s="63">
        <f>'Lobby Lounge'!M57+'ADD-Mhub lounge'!M57+'Royal Court'!M57+'MP Cafe'!M57+'MP Dining'!M57+'Room Service'!M57+Banquet!M58+Minibar!M45+STW!M33+'Main Kitchen'!M33+'F&amp;B Admin'!M33</f>
        <v>0</v>
      </c>
      <c r="N80" s="63">
        <f>'Lobby Lounge'!N57+'ADD-Mhub lounge'!N57+'Royal Court'!N57+'MP Cafe'!N57+'MP Dining'!N57+'Room Service'!N57+Banquet!N58+Minibar!N45+STW!N33+'Main Kitchen'!N33+'F&amp;B Admin'!N33</f>
        <v>0</v>
      </c>
      <c r="O80" s="63">
        <f>'Lobby Lounge'!O57+'ADD-Mhub lounge'!O57+'Royal Court'!O57+'MP Cafe'!O57+'MP Dining'!O57+'Room Service'!O57+Banquet!O58+Minibar!O45+STW!O33+'Main Kitchen'!O33+'F&amp;B Admin'!O33</f>
        <v>0</v>
      </c>
      <c r="P80" s="63">
        <f>'Lobby Lounge'!P57+'ADD-Mhub lounge'!P57+'Royal Court'!P57+'MP Cafe'!P57+'MP Dining'!P57+'Room Service'!P57+Banquet!P58+Minibar!P45+STW!P33+'Main Kitchen'!P33+'F&amp;B Admin'!P33</f>
        <v>0</v>
      </c>
      <c r="Q80" s="142">
        <f t="shared" si="11"/>
        <v>0</v>
      </c>
      <c r="R80" s="142">
        <v>0</v>
      </c>
      <c r="S80" s="142">
        <f t="shared" si="12"/>
        <v>0</v>
      </c>
      <c r="U80" s="157"/>
      <c r="V80" s="40">
        <f t="shared" si="13"/>
        <v>0</v>
      </c>
    </row>
    <row r="81" spans="1:22" s="84" customFormat="1" ht="24.95" customHeight="1">
      <c r="A81" s="3" t="s">
        <v>178</v>
      </c>
      <c r="B81" s="3" t="s">
        <v>415</v>
      </c>
      <c r="C81" s="3"/>
      <c r="D81" s="26" t="s">
        <v>179</v>
      </c>
      <c r="E81" s="63">
        <f>'Lobby Lounge'!E58+'ADD-Mhub lounge'!E58+'Royal Court'!E58+'MP Cafe'!E58+'MP Dining'!E58+'Room Service'!E58+Banquet!E59+Minibar!E46+STW!E34+'Main Kitchen'!E34+'F&amp;B Admin'!E34</f>
        <v>0</v>
      </c>
      <c r="F81" s="63">
        <f>'Lobby Lounge'!F58+'ADD-Mhub lounge'!F58+'Royal Court'!F58+'MP Cafe'!F58+'MP Dining'!F58+'Room Service'!F58+Banquet!F59+Minibar!F46+STW!F34+'Main Kitchen'!F34+'F&amp;B Admin'!F34</f>
        <v>0</v>
      </c>
      <c r="G81" s="63">
        <f>'Lobby Lounge'!G58+'ADD-Mhub lounge'!G58+'Royal Court'!G58+'MP Cafe'!G58+'MP Dining'!G58+'Room Service'!G58+Banquet!G59+Minibar!G46+STW!G34+'Main Kitchen'!G34+'F&amp;B Admin'!G34</f>
        <v>0</v>
      </c>
      <c r="H81" s="63">
        <f>'Lobby Lounge'!H58+'ADD-Mhub lounge'!H58+'Royal Court'!H58+'MP Cafe'!H58+'MP Dining'!H58+'Room Service'!H58+Banquet!H59+Minibar!H46+STW!H34+'Main Kitchen'!H34+'F&amp;B Admin'!H34</f>
        <v>2048.5699999999997</v>
      </c>
      <c r="I81" s="63">
        <f>'Lobby Lounge'!I58+'ADD-Mhub lounge'!I58+'Royal Court'!I58+'MP Cafe'!I58+'MP Dining'!I58+'Room Service'!I58+Banquet!I59+Minibar!I46+STW!I34+'Main Kitchen'!I34+'F&amp;B Admin'!I34</f>
        <v>1098.6199999999999</v>
      </c>
      <c r="J81" s="63">
        <f>'Lobby Lounge'!J58+'ADD-Mhub lounge'!J58+'Royal Court'!J58+'MP Cafe'!J58+'MP Dining'!J58+'Room Service'!J58+Banquet!J59+Minibar!J46+STW!J34+'Main Kitchen'!J34+'F&amp;B Admin'!J34</f>
        <v>827.17000000000007</v>
      </c>
      <c r="K81" s="63">
        <f>'Lobby Lounge'!K58+'ADD-Mhub lounge'!K58+'Royal Court'!K58+'MP Cafe'!K58+'MP Dining'!K58+'Room Service'!K58+Banquet!K59+Minibar!K46+STW!K34+'Main Kitchen'!K34+'F&amp;B Admin'!K34</f>
        <v>934.56999999999994</v>
      </c>
      <c r="L81" s="63">
        <f>'Lobby Lounge'!L58+'ADD-Mhub lounge'!L58+'Royal Court'!L58+'MP Cafe'!L58+'MP Dining'!L58+'Room Service'!L58+Banquet!L59+Minibar!L46+STW!L34+'Main Kitchen'!L34+'F&amp;B Admin'!L34</f>
        <v>957.21</v>
      </c>
      <c r="M81" s="63">
        <f>'Lobby Lounge'!M58+'ADD-Mhub lounge'!M58+'Royal Court'!M58+'MP Cafe'!M58+'MP Dining'!M58+'Room Service'!M58+Banquet!M59+Minibar!M46+STW!M34+'Main Kitchen'!M34+'F&amp;B Admin'!M34</f>
        <v>1019.85</v>
      </c>
      <c r="N81" s="63">
        <f>'Lobby Lounge'!N58+'ADD-Mhub lounge'!N58+'Royal Court'!N58+'MP Cafe'!N58+'MP Dining'!N58+'Room Service'!N58+Banquet!N59+Minibar!N46+STW!N34+'Main Kitchen'!N34+'F&amp;B Admin'!N34</f>
        <v>1264.51</v>
      </c>
      <c r="O81" s="63">
        <f>'Lobby Lounge'!O58+'ADD-Mhub lounge'!O58+'Royal Court'!O58+'MP Cafe'!O58+'MP Dining'!O58+'Room Service'!O58+Banquet!O59+Minibar!O46+STW!O34+'Main Kitchen'!O34+'F&amp;B Admin'!O34</f>
        <v>849.56999999999994</v>
      </c>
      <c r="P81" s="63">
        <f>'Lobby Lounge'!P58+'ADD-Mhub lounge'!P58+'Royal Court'!P58+'MP Cafe'!P58+'MP Dining'!P58+'Room Service'!P58+Banquet!P59+Minibar!P46+STW!P34+'Main Kitchen'!P34+'F&amp;B Admin'!P34</f>
        <v>790.01</v>
      </c>
      <c r="Q81" s="142">
        <f t="shared" si="11"/>
        <v>9790.08</v>
      </c>
      <c r="R81" s="142">
        <v>52909.79</v>
      </c>
      <c r="S81" s="142">
        <f t="shared" si="12"/>
        <v>0.1124174784583295</v>
      </c>
      <c r="U81" s="157"/>
      <c r="V81" s="40" t="e">
        <f t="shared" si="13"/>
        <v>#DIV/0!</v>
      </c>
    </row>
    <row r="82" spans="1:22" s="84" customFormat="1" ht="24.95" customHeight="1">
      <c r="A82" s="3" t="s">
        <v>180</v>
      </c>
      <c r="B82" s="3" t="s">
        <v>415</v>
      </c>
      <c r="C82" s="3"/>
      <c r="D82" s="26" t="s">
        <v>181</v>
      </c>
      <c r="E82" s="63">
        <f>'Lobby Lounge'!E59+'ADD-Mhub lounge'!E59+'Royal Court'!E59+'MP Cafe'!E59+'MP Dining'!E59+'Room Service'!E59+Banquet!E60+Minibar!E47+STW!E35+'Main Kitchen'!E35+'F&amp;B Admin'!E35</f>
        <v>2700</v>
      </c>
      <c r="F82" s="63">
        <f>'Lobby Lounge'!F59+'ADD-Mhub lounge'!F59+'Royal Court'!F59+'MP Cafe'!F59+'MP Dining'!F59+'Room Service'!F59+Banquet!F60+Minibar!F47+STW!F35+'Main Kitchen'!F35+'F&amp;B Admin'!F35</f>
        <v>1700</v>
      </c>
      <c r="G82" s="63">
        <f>'Lobby Lounge'!G59+'ADD-Mhub lounge'!G59+'Royal Court'!G59+'MP Cafe'!G59+'MP Dining'!G59+'Room Service'!G59+Banquet!G60+Minibar!G47+STW!G35+'Main Kitchen'!G35+'F&amp;B Admin'!G35</f>
        <v>2200</v>
      </c>
      <c r="H82" s="63">
        <f>'Lobby Lounge'!H59+'ADD-Mhub lounge'!H59+'Royal Court'!H59+'MP Cafe'!H59+'MP Dining'!H59+'Room Service'!H59+Banquet!H60+Minibar!H47+STW!H35+'Main Kitchen'!H35+'F&amp;B Admin'!H35</f>
        <v>3000</v>
      </c>
      <c r="I82" s="63">
        <f>'Lobby Lounge'!I59+'ADD-Mhub lounge'!I59+'Royal Court'!I59+'MP Cafe'!I59+'MP Dining'!I59+'Room Service'!I59+Banquet!I60+Minibar!I47+STW!I35+'Main Kitchen'!I35+'F&amp;B Admin'!I35</f>
        <v>3300</v>
      </c>
      <c r="J82" s="63">
        <f>'Lobby Lounge'!J59+'ADD-Mhub lounge'!J59+'Royal Court'!J59+'MP Cafe'!J59+'MP Dining'!J59+'Room Service'!J59+Banquet!J60+Minibar!J47+STW!J35+'Main Kitchen'!J35+'F&amp;B Admin'!J35</f>
        <v>2700</v>
      </c>
      <c r="K82" s="63">
        <f>'Lobby Lounge'!K59+'ADD-Mhub lounge'!K59+'Royal Court'!K59+'MP Cafe'!K59+'MP Dining'!K59+'Room Service'!K59+Banquet!K60+Minibar!K47+STW!K35+'Main Kitchen'!K35+'F&amp;B Admin'!K35</f>
        <v>3300</v>
      </c>
      <c r="L82" s="63">
        <f>'Lobby Lounge'!L59+'ADD-Mhub lounge'!L59+'Royal Court'!L59+'MP Cafe'!L59+'MP Dining'!L59+'Room Service'!L59+Banquet!L60+Minibar!L47+STW!L35+'Main Kitchen'!L35+'F&amp;B Admin'!L35</f>
        <v>3300</v>
      </c>
      <c r="M82" s="63">
        <f>'Lobby Lounge'!M59+'ADD-Mhub lounge'!M59+'Royal Court'!M59+'MP Cafe'!M59+'MP Dining'!M59+'Room Service'!M59+Banquet!M60+Minibar!M47+STW!M35+'Main Kitchen'!M35+'F&amp;B Admin'!M35</f>
        <v>3300</v>
      </c>
      <c r="N82" s="63">
        <f>'Lobby Lounge'!N59+'ADD-Mhub lounge'!N59+'Royal Court'!N59+'MP Cafe'!N59+'MP Dining'!N59+'Room Service'!N59+Banquet!N60+Minibar!N47+STW!N35+'Main Kitchen'!N35+'F&amp;B Admin'!N35</f>
        <v>3300</v>
      </c>
      <c r="O82" s="63">
        <f>'Lobby Lounge'!O59+'ADD-Mhub lounge'!O59+'Royal Court'!O59+'MP Cafe'!O59+'MP Dining'!O59+'Room Service'!O59+Banquet!O60+Minibar!O47+STW!O35+'Main Kitchen'!O35+'F&amp;B Admin'!O35</f>
        <v>3000</v>
      </c>
      <c r="P82" s="63">
        <f>'Lobby Lounge'!P59+'ADD-Mhub lounge'!P59+'Royal Court'!P59+'MP Cafe'!P59+'MP Dining'!P59+'Room Service'!P59+Banquet!P60+Minibar!P47+STW!P35+'Main Kitchen'!P35+'F&amp;B Admin'!P35</f>
        <v>3000</v>
      </c>
      <c r="Q82" s="142">
        <f t="shared" si="11"/>
        <v>34800</v>
      </c>
      <c r="R82" s="142">
        <v>227190.2</v>
      </c>
      <c r="S82" s="142">
        <f t="shared" si="12"/>
        <v>0.39960125457093981</v>
      </c>
      <c r="U82" s="157"/>
      <c r="V82" s="40" t="e">
        <f t="shared" si="13"/>
        <v>#DIV/0!</v>
      </c>
    </row>
    <row r="83" spans="1:22" s="84" customFormat="1" ht="24.95" customHeight="1">
      <c r="A83" s="3" t="s">
        <v>182</v>
      </c>
      <c r="B83" s="3" t="s">
        <v>415</v>
      </c>
      <c r="C83" s="3"/>
      <c r="D83" s="26" t="s">
        <v>183</v>
      </c>
      <c r="E83" s="63">
        <f>'Lobby Lounge'!E60+'ADD-Mhub lounge'!E60+'Royal Court'!E60+'MP Cafe'!E60+'MP Dining'!E60+'Room Service'!E60+Banquet!E61+Minibar!E48+STW!E36+'Main Kitchen'!E36+'F&amp;B Admin'!E36</f>
        <v>0</v>
      </c>
      <c r="F83" s="63">
        <f>'Lobby Lounge'!F60+'ADD-Mhub lounge'!F60+'Royal Court'!F60+'MP Cafe'!F60+'MP Dining'!F60+'Room Service'!F60+Banquet!F61+Minibar!F48+STW!F36+'Main Kitchen'!F36+'F&amp;B Admin'!F36</f>
        <v>0</v>
      </c>
      <c r="G83" s="63">
        <f>'Lobby Lounge'!G60+'ADD-Mhub lounge'!G60+'Royal Court'!G60+'MP Cafe'!G60+'MP Dining'!G60+'Room Service'!G60+Banquet!G61+Minibar!G48+STW!G36+'Main Kitchen'!G36+'F&amp;B Admin'!G36</f>
        <v>0</v>
      </c>
      <c r="H83" s="63">
        <f>'Lobby Lounge'!H60+'ADD-Mhub lounge'!H60+'Royal Court'!H60+'MP Cafe'!H60+'MP Dining'!H60+'Room Service'!H60+Banquet!H61+Minibar!H48+STW!H36+'Main Kitchen'!H36+'F&amp;B Admin'!H36</f>
        <v>2048.5699999999997</v>
      </c>
      <c r="I83" s="63">
        <f>'Lobby Lounge'!I60+'ADD-Mhub lounge'!I60+'Royal Court'!I60+'MP Cafe'!I60+'MP Dining'!I60+'Room Service'!I60+Banquet!I61+Minibar!I48+STW!I36+'Main Kitchen'!I36+'F&amp;B Admin'!I36</f>
        <v>1098.6199999999999</v>
      </c>
      <c r="J83" s="63">
        <f>'Lobby Lounge'!J60+'ADD-Mhub lounge'!J60+'Royal Court'!J60+'MP Cafe'!J60+'MP Dining'!J60+'Room Service'!J60+Banquet!J61+Minibar!J48+STW!J36+'Main Kitchen'!J36+'F&amp;B Admin'!J36</f>
        <v>827.17000000000007</v>
      </c>
      <c r="K83" s="63">
        <f>'Lobby Lounge'!K60+'ADD-Mhub lounge'!K60+'Royal Court'!K60+'MP Cafe'!K60+'MP Dining'!K60+'Room Service'!K60+Banquet!K61+Minibar!K48+STW!K36+'Main Kitchen'!K36+'F&amp;B Admin'!K36</f>
        <v>934.56999999999994</v>
      </c>
      <c r="L83" s="63">
        <f>'Lobby Lounge'!L60+'ADD-Mhub lounge'!L60+'Royal Court'!L60+'MP Cafe'!L60+'MP Dining'!L60+'Room Service'!L60+Banquet!L61+Minibar!L48+STW!L36+'Main Kitchen'!L36+'F&amp;B Admin'!L36</f>
        <v>957.21</v>
      </c>
      <c r="M83" s="63">
        <f>'Lobby Lounge'!M60+'ADD-Mhub lounge'!M60+'Royal Court'!M60+'MP Cafe'!M60+'MP Dining'!M60+'Room Service'!M60+Banquet!M61+Minibar!M48+STW!M36+'Main Kitchen'!M36+'F&amp;B Admin'!M36</f>
        <v>1019.85</v>
      </c>
      <c r="N83" s="63">
        <f>'Lobby Lounge'!N60+'ADD-Mhub lounge'!N60+'Royal Court'!N60+'MP Cafe'!N60+'MP Dining'!N60+'Room Service'!N60+Banquet!N61+Minibar!N48+STW!N36+'Main Kitchen'!N36+'F&amp;B Admin'!N36</f>
        <v>1264.51</v>
      </c>
      <c r="O83" s="63">
        <f>'Lobby Lounge'!O60+'ADD-Mhub lounge'!O60+'Royal Court'!O60+'MP Cafe'!O60+'MP Dining'!O60+'Room Service'!O60+Banquet!O61+Minibar!O48+STW!O36+'Main Kitchen'!O36+'F&amp;B Admin'!O36</f>
        <v>849.56999999999994</v>
      </c>
      <c r="P83" s="63">
        <f>'Lobby Lounge'!P60+'ADD-Mhub lounge'!P60+'Royal Court'!P60+'MP Cafe'!P60+'MP Dining'!P60+'Room Service'!P60+Banquet!P61+Minibar!P48+STW!P36+'Main Kitchen'!P36+'F&amp;B Admin'!P36</f>
        <v>790.01</v>
      </c>
      <c r="Q83" s="142">
        <f t="shared" si="11"/>
        <v>9790.08</v>
      </c>
      <c r="R83" s="142">
        <v>0</v>
      </c>
      <c r="S83" s="142">
        <f t="shared" si="12"/>
        <v>0.1124174784583295</v>
      </c>
      <c r="U83" s="157"/>
      <c r="V83" s="40" t="e">
        <f t="shared" si="13"/>
        <v>#DIV/0!</v>
      </c>
    </row>
    <row r="84" spans="1:22" s="84" customFormat="1" ht="24.95" customHeight="1">
      <c r="A84" s="3" t="s">
        <v>184</v>
      </c>
      <c r="B84" s="3" t="s">
        <v>415</v>
      </c>
      <c r="C84" s="3"/>
      <c r="D84" s="26" t="s">
        <v>185</v>
      </c>
      <c r="E84" s="63">
        <f>'Lobby Lounge'!E61+'ADD-Mhub lounge'!E61+'Royal Court'!E61+'MP Cafe'!E61+'MP Dining'!E61+'Room Service'!E61+Banquet!E62+Minibar!E49+STW!E37+'Main Kitchen'!E37+'F&amp;B Admin'!E37</f>
        <v>0</v>
      </c>
      <c r="F84" s="63">
        <f>'Lobby Lounge'!F61+'ADD-Mhub lounge'!F61+'Royal Court'!F61+'MP Cafe'!F61+'MP Dining'!F61+'Room Service'!F61+Banquet!F62+Minibar!F49+STW!F37+'Main Kitchen'!F37+'F&amp;B Admin'!F37</f>
        <v>0</v>
      </c>
      <c r="G84" s="63">
        <f>'Lobby Lounge'!G61+'ADD-Mhub lounge'!G61+'Royal Court'!G61+'MP Cafe'!G61+'MP Dining'!G61+'Room Service'!G61+Banquet!G62+Minibar!G49+STW!G37+'Main Kitchen'!G37+'F&amp;B Admin'!G37</f>
        <v>0</v>
      </c>
      <c r="H84" s="63">
        <f>'Lobby Lounge'!H61+'ADD-Mhub lounge'!H61+'Royal Court'!H61+'MP Cafe'!H61+'MP Dining'!H61+'Room Service'!H61+Banquet!H62+Minibar!H49+STW!H37+'Main Kitchen'!H37+'F&amp;B Admin'!H37</f>
        <v>2048.5699999999997</v>
      </c>
      <c r="I84" s="63">
        <f>'Lobby Lounge'!I61+'ADD-Mhub lounge'!I61+'Royal Court'!I61+'MP Cafe'!I61+'MP Dining'!I61+'Room Service'!I61+Banquet!I62+Minibar!I49+STW!I37+'Main Kitchen'!I37+'F&amp;B Admin'!I37</f>
        <v>1098.6199999999999</v>
      </c>
      <c r="J84" s="63">
        <f>'Lobby Lounge'!J61+'ADD-Mhub lounge'!J61+'Royal Court'!J61+'MP Cafe'!J61+'MP Dining'!J61+'Room Service'!J61+Banquet!J62+Minibar!J49+STW!J37+'Main Kitchen'!J37+'F&amp;B Admin'!J37</f>
        <v>827.17000000000007</v>
      </c>
      <c r="K84" s="63">
        <f>'Lobby Lounge'!K61+'ADD-Mhub lounge'!K61+'Royal Court'!K61+'MP Cafe'!K61+'MP Dining'!K61+'Room Service'!K61+Banquet!K62+Minibar!K49+STW!K37+'Main Kitchen'!K37+'F&amp;B Admin'!K37</f>
        <v>934.56999999999994</v>
      </c>
      <c r="L84" s="63">
        <f>'Lobby Lounge'!L61+'ADD-Mhub lounge'!L61+'Royal Court'!L61+'MP Cafe'!L61+'MP Dining'!L61+'Room Service'!L61+Banquet!L62+Minibar!L49+STW!L37+'Main Kitchen'!L37+'F&amp;B Admin'!L37</f>
        <v>957.21</v>
      </c>
      <c r="M84" s="63">
        <f>'Lobby Lounge'!M61+'ADD-Mhub lounge'!M61+'Royal Court'!M61+'MP Cafe'!M61+'MP Dining'!M61+'Room Service'!M61+Banquet!M62+Minibar!M49+STW!M37+'Main Kitchen'!M37+'F&amp;B Admin'!M37</f>
        <v>1019.85</v>
      </c>
      <c r="N84" s="63">
        <f>'Lobby Lounge'!N61+'ADD-Mhub lounge'!N61+'Royal Court'!N61+'MP Cafe'!N61+'MP Dining'!N61+'Room Service'!N61+Banquet!N62+Minibar!N49+STW!N37+'Main Kitchen'!N37+'F&amp;B Admin'!N37</f>
        <v>1264.51</v>
      </c>
      <c r="O84" s="63">
        <f>'Lobby Lounge'!O61+'ADD-Mhub lounge'!O61+'Royal Court'!O61+'MP Cafe'!O61+'MP Dining'!O61+'Room Service'!O61+Banquet!O62+Minibar!O49+STW!O37+'Main Kitchen'!O37+'F&amp;B Admin'!O37</f>
        <v>849.56999999999994</v>
      </c>
      <c r="P84" s="63">
        <f>'Lobby Lounge'!P61+'ADD-Mhub lounge'!P61+'Royal Court'!P61+'MP Cafe'!P61+'MP Dining'!P61+'Room Service'!P61+Banquet!P62+Minibar!P49+STW!P37+'Main Kitchen'!P37+'F&amp;B Admin'!P37</f>
        <v>790.01</v>
      </c>
      <c r="Q84" s="142">
        <f t="shared" si="11"/>
        <v>9790.08</v>
      </c>
      <c r="R84" s="142">
        <v>23713.01</v>
      </c>
      <c r="S84" s="142">
        <f t="shared" si="12"/>
        <v>0.1124174784583295</v>
      </c>
      <c r="U84" s="157"/>
      <c r="V84" s="40" t="e">
        <f t="shared" si="13"/>
        <v>#DIV/0!</v>
      </c>
    </row>
    <row r="85" spans="1:22" s="84" customFormat="1" ht="24.95" customHeight="1">
      <c r="A85" s="3" t="s">
        <v>186</v>
      </c>
      <c r="B85" s="3" t="s">
        <v>415</v>
      </c>
      <c r="C85" s="3"/>
      <c r="D85" s="26" t="s">
        <v>187</v>
      </c>
      <c r="E85" s="63">
        <f>'Lobby Lounge'!E62+'ADD-Mhub lounge'!E62+'Royal Court'!E62+'MP Cafe'!E62+'MP Dining'!E62+'Room Service'!E62+Banquet!E63+Minibar!E50+STW!E38+'Main Kitchen'!E38+'F&amp;B Admin'!E38</f>
        <v>0</v>
      </c>
      <c r="F85" s="63">
        <f>'Lobby Lounge'!F62+'ADD-Mhub lounge'!F62+'Royal Court'!F62+'MP Cafe'!F62+'MP Dining'!F62+'Room Service'!F62+Banquet!F63+Minibar!F50+STW!F38+'Main Kitchen'!F38+'F&amp;B Admin'!F38</f>
        <v>0</v>
      </c>
      <c r="G85" s="63">
        <f>'Lobby Lounge'!G62+'ADD-Mhub lounge'!G62+'Royal Court'!G62+'MP Cafe'!G62+'MP Dining'!G62+'Room Service'!G62+Banquet!G63+Minibar!G50+STW!G38+'Main Kitchen'!G38+'F&amp;B Admin'!G38</f>
        <v>0</v>
      </c>
      <c r="H85" s="63">
        <f>'Lobby Lounge'!H62+'ADD-Mhub lounge'!H62+'Royal Court'!H62+'MP Cafe'!H62+'MP Dining'!H62+'Room Service'!H62+Banquet!H63+Minibar!H50+STW!H38+'Main Kitchen'!H38+'F&amp;B Admin'!H38</f>
        <v>2048.5699999999997</v>
      </c>
      <c r="I85" s="63">
        <f>'Lobby Lounge'!I62+'ADD-Mhub lounge'!I62+'Royal Court'!I62+'MP Cafe'!I62+'MP Dining'!I62+'Room Service'!I62+Banquet!I63+Minibar!I50+STW!I38+'Main Kitchen'!I38+'F&amp;B Admin'!I38</f>
        <v>1098.6199999999999</v>
      </c>
      <c r="J85" s="63">
        <f>'Lobby Lounge'!J62+'ADD-Mhub lounge'!J62+'Royal Court'!J62+'MP Cafe'!J62+'MP Dining'!J62+'Room Service'!J62+Banquet!J63+Minibar!J50+STW!J38+'Main Kitchen'!J38+'F&amp;B Admin'!J38</f>
        <v>827.17000000000007</v>
      </c>
      <c r="K85" s="63">
        <f>'Lobby Lounge'!K62+'ADD-Mhub lounge'!K62+'Royal Court'!K62+'MP Cafe'!K62+'MP Dining'!K62+'Room Service'!K62+Banquet!K63+Minibar!K50+STW!K38+'Main Kitchen'!K38+'F&amp;B Admin'!K38</f>
        <v>934.56999999999994</v>
      </c>
      <c r="L85" s="63">
        <f>'Lobby Lounge'!L62+'ADD-Mhub lounge'!L62+'Royal Court'!L62+'MP Cafe'!L62+'MP Dining'!L62+'Room Service'!L62+Banquet!L63+Minibar!L50+STW!L38+'Main Kitchen'!L38+'F&amp;B Admin'!L38</f>
        <v>957.21</v>
      </c>
      <c r="M85" s="63">
        <f>'Lobby Lounge'!M62+'ADD-Mhub lounge'!M62+'Royal Court'!M62+'MP Cafe'!M62+'MP Dining'!M62+'Room Service'!M62+Banquet!M63+Minibar!M50+STW!M38+'Main Kitchen'!M38+'F&amp;B Admin'!M38</f>
        <v>1019.85</v>
      </c>
      <c r="N85" s="63">
        <f>'Lobby Lounge'!N62+'ADD-Mhub lounge'!N62+'Royal Court'!N62+'MP Cafe'!N62+'MP Dining'!N62+'Room Service'!N62+Banquet!N63+Minibar!N50+STW!N38+'Main Kitchen'!N38+'F&amp;B Admin'!N38</f>
        <v>1264.51</v>
      </c>
      <c r="O85" s="63">
        <f>'Lobby Lounge'!O62+'ADD-Mhub lounge'!O62+'Royal Court'!O62+'MP Cafe'!O62+'MP Dining'!O62+'Room Service'!O62+Banquet!O63+Minibar!O50+STW!O38+'Main Kitchen'!O38+'F&amp;B Admin'!O38</f>
        <v>849.56999999999994</v>
      </c>
      <c r="P85" s="63">
        <f>'Lobby Lounge'!P62+'ADD-Mhub lounge'!P62+'Royal Court'!P62+'MP Cafe'!P62+'MP Dining'!P62+'Room Service'!P62+Banquet!P63+Minibar!P50+STW!P38+'Main Kitchen'!P38+'F&amp;B Admin'!P38</f>
        <v>790.01</v>
      </c>
      <c r="Q85" s="142">
        <f t="shared" si="11"/>
        <v>9790.08</v>
      </c>
      <c r="R85" s="142">
        <v>27356</v>
      </c>
      <c r="S85" s="142">
        <f t="shared" si="12"/>
        <v>0.1124174784583295</v>
      </c>
      <c r="U85" s="157"/>
      <c r="V85" s="40" t="e">
        <f t="shared" si="13"/>
        <v>#DIV/0!</v>
      </c>
    </row>
    <row r="86" spans="1:22" s="84" customFormat="1" ht="24.95" customHeight="1">
      <c r="A86" s="3" t="s">
        <v>188</v>
      </c>
      <c r="B86" s="3" t="s">
        <v>415</v>
      </c>
      <c r="C86" s="3"/>
      <c r="D86" s="26" t="s">
        <v>189</v>
      </c>
      <c r="E86" s="63">
        <f>'Lobby Lounge'!E63+'ADD-Mhub lounge'!E63+'Royal Court'!E63+'MP Cafe'!E63+'MP Dining'!E63+'Room Service'!E63+Banquet!E64+Minibar!E51+STW!E39+'Main Kitchen'!E39+'F&amp;B Admin'!E39</f>
        <v>0</v>
      </c>
      <c r="F86" s="63">
        <f>'Lobby Lounge'!F63+'ADD-Mhub lounge'!F63+'Royal Court'!F63+'MP Cafe'!F63+'MP Dining'!F63+'Room Service'!F63+Banquet!F64+Minibar!F51+STW!F39+'Main Kitchen'!F39+'F&amp;B Admin'!F39</f>
        <v>0</v>
      </c>
      <c r="G86" s="63">
        <f>'Lobby Lounge'!G63+'ADD-Mhub lounge'!G63+'Royal Court'!G63+'MP Cafe'!G63+'MP Dining'!G63+'Room Service'!G63+Banquet!G64+Minibar!G51+STW!G39+'Main Kitchen'!G39+'F&amp;B Admin'!G39</f>
        <v>0</v>
      </c>
      <c r="H86" s="63">
        <f>'Lobby Lounge'!H63+'ADD-Mhub lounge'!H63+'Royal Court'!H63+'MP Cafe'!H63+'MP Dining'!H63+'Room Service'!H63+Banquet!H64+Minibar!H51+STW!H39+'Main Kitchen'!H39+'F&amp;B Admin'!H39</f>
        <v>0</v>
      </c>
      <c r="I86" s="63">
        <f>'Lobby Lounge'!I63+'ADD-Mhub lounge'!I63+'Royal Court'!I63+'MP Cafe'!I63+'MP Dining'!I63+'Room Service'!I63+Banquet!I64+Minibar!I51+STW!I39+'Main Kitchen'!I39+'F&amp;B Admin'!I39</f>
        <v>0</v>
      </c>
      <c r="J86" s="63">
        <f>'Lobby Lounge'!J63+'ADD-Mhub lounge'!J63+'Royal Court'!J63+'MP Cafe'!J63+'MP Dining'!J63+'Room Service'!J63+Banquet!J64+Minibar!J51+STW!J39+'Main Kitchen'!J39+'F&amp;B Admin'!J39</f>
        <v>0</v>
      </c>
      <c r="K86" s="63">
        <f>'Lobby Lounge'!K63+'ADD-Mhub lounge'!K63+'Royal Court'!K63+'MP Cafe'!K63+'MP Dining'!K63+'Room Service'!K63+Banquet!K64+Minibar!K51+STW!K39+'Main Kitchen'!K39+'F&amp;B Admin'!K39</f>
        <v>0</v>
      </c>
      <c r="L86" s="63">
        <f>'Lobby Lounge'!L63+'ADD-Mhub lounge'!L63+'Royal Court'!L63+'MP Cafe'!L63+'MP Dining'!L63+'Room Service'!L63+Banquet!L64+Minibar!L51+STW!L39+'Main Kitchen'!L39+'F&amp;B Admin'!L39</f>
        <v>0</v>
      </c>
      <c r="M86" s="63">
        <f>'Lobby Lounge'!M63+'ADD-Mhub lounge'!M63+'Royal Court'!M63+'MP Cafe'!M63+'MP Dining'!M63+'Room Service'!M63+Banquet!M64+Minibar!M51+STW!M39+'Main Kitchen'!M39+'F&amp;B Admin'!M39</f>
        <v>0</v>
      </c>
      <c r="N86" s="63">
        <f>'Lobby Lounge'!N63+'ADD-Mhub lounge'!N63+'Royal Court'!N63+'MP Cafe'!N63+'MP Dining'!N63+'Room Service'!N63+Banquet!N64+Minibar!N51+STW!N39+'Main Kitchen'!N39+'F&amp;B Admin'!N39</f>
        <v>0</v>
      </c>
      <c r="O86" s="63">
        <f>'Lobby Lounge'!O63+'ADD-Mhub lounge'!O63+'Royal Court'!O63+'MP Cafe'!O63+'MP Dining'!O63+'Room Service'!O63+Banquet!O64+Minibar!O51+STW!O39+'Main Kitchen'!O39+'F&amp;B Admin'!O39</f>
        <v>0</v>
      </c>
      <c r="P86" s="63">
        <f>'Lobby Lounge'!P63+'ADD-Mhub lounge'!P63+'Royal Court'!P63+'MP Cafe'!P63+'MP Dining'!P63+'Room Service'!P63+Banquet!P64+Minibar!P51+STW!P39+'Main Kitchen'!P39+'F&amp;B Admin'!P39</f>
        <v>0</v>
      </c>
      <c r="Q86" s="142">
        <f t="shared" si="11"/>
        <v>0</v>
      </c>
      <c r="R86" s="142">
        <v>17090.669999999998</v>
      </c>
      <c r="S86" s="142">
        <f t="shared" si="12"/>
        <v>0</v>
      </c>
      <c r="U86" s="157"/>
      <c r="V86" s="40">
        <f t="shared" si="13"/>
        <v>0</v>
      </c>
    </row>
    <row r="87" spans="1:22" s="84" customFormat="1" ht="24.95" customHeight="1">
      <c r="A87" s="3" t="s">
        <v>190</v>
      </c>
      <c r="B87" s="3" t="s">
        <v>415</v>
      </c>
      <c r="C87" s="3"/>
      <c r="D87" s="26" t="s">
        <v>1182</v>
      </c>
      <c r="E87" s="63">
        <f>'Lobby Lounge'!E64+'ADD-Mhub lounge'!E64+'Royal Court'!E64+'MP Cafe'!E64+'MP Dining'!E64+'Room Service'!E64+Banquet!E65+Minibar!E52+STW!E40+'Main Kitchen'!E40+'F&amp;B Admin'!E40</f>
        <v>3413.48</v>
      </c>
      <c r="F87" s="63">
        <f>'Lobby Lounge'!F64+'ADD-Mhub lounge'!F64+'Royal Court'!F64+'MP Cafe'!F64+'MP Dining'!F64+'Room Service'!F64+Banquet!F65+Minibar!F52+STW!F40+'Main Kitchen'!F40+'F&amp;B Admin'!F40</f>
        <v>2275.2600000000002</v>
      </c>
      <c r="G87" s="63">
        <f>'Lobby Lounge'!G64+'ADD-Mhub lounge'!G64+'Royal Court'!G64+'MP Cafe'!G64+'MP Dining'!G64+'Room Service'!G64+Banquet!G65+Minibar!G52+STW!G40+'Main Kitchen'!G40+'F&amp;B Admin'!G40</f>
        <v>2770.1400000000003</v>
      </c>
      <c r="H87" s="63">
        <f>'Lobby Lounge'!H64+'ADD-Mhub lounge'!H64+'Royal Court'!H64+'MP Cafe'!H64+'MP Dining'!H64+'Room Service'!H64+Banquet!H65+Minibar!H52+STW!H40+'Main Kitchen'!H40+'F&amp;B Admin'!H40</f>
        <v>3523.94</v>
      </c>
      <c r="I87" s="63">
        <f>'Lobby Lounge'!I64+'ADD-Mhub lounge'!I64+'Royal Court'!I64+'MP Cafe'!I64+'MP Dining'!I64+'Room Service'!I64+Banquet!I65+Minibar!I52+STW!I40+'Main Kitchen'!I40+'F&amp;B Admin'!I40</f>
        <v>4613.12</v>
      </c>
      <c r="J87" s="63">
        <f>'Lobby Lounge'!J64+'ADD-Mhub lounge'!J64+'Royal Court'!J64+'MP Cafe'!J64+'MP Dining'!J64+'Room Service'!J64+Banquet!J65+Minibar!J52+STW!J40+'Main Kitchen'!J40+'F&amp;B Admin'!J40</f>
        <v>3395.84</v>
      </c>
      <c r="K87" s="63">
        <f>'Lobby Lounge'!K64+'ADD-Mhub lounge'!K64+'Royal Court'!K64+'MP Cafe'!K64+'MP Dining'!K64+'Room Service'!K64+Banquet!K65+Minibar!K52+STW!K40+'Main Kitchen'!K40+'F&amp;B Admin'!K40</f>
        <v>3772.84</v>
      </c>
      <c r="L87" s="63">
        <f>'Lobby Lounge'!L64+'ADD-Mhub lounge'!L64+'Royal Court'!L64+'MP Cafe'!L64+'MP Dining'!L64+'Room Service'!L64+Banquet!L65+Minibar!L52+STW!L40+'Main Kitchen'!L40+'F&amp;B Admin'!L40</f>
        <v>3846.04</v>
      </c>
      <c r="M87" s="63">
        <f>'Lobby Lounge'!M64+'ADD-Mhub lounge'!M64+'Royal Court'!M64+'MP Cafe'!M64+'MP Dining'!M64+'Room Service'!M64+Banquet!M65+Minibar!M52+STW!M40+'Main Kitchen'!M40+'F&amp;B Admin'!M40</f>
        <v>4059.24</v>
      </c>
      <c r="N87" s="63">
        <f>'Lobby Lounge'!N64+'ADD-Mhub lounge'!N64+'Royal Court'!N64+'MP Cafe'!N64+'MP Dining'!N64+'Room Service'!N64+Banquet!N65+Minibar!N52+STW!N40+'Main Kitchen'!N40+'F&amp;B Admin'!N40</f>
        <v>5362.54</v>
      </c>
      <c r="O87" s="63">
        <f>'Lobby Lounge'!O64+'ADD-Mhub lounge'!O64+'Royal Court'!O64+'MP Cafe'!O64+'MP Dining'!O64+'Room Service'!O64+Banquet!O65+Minibar!O52+STW!O40+'Main Kitchen'!O40+'F&amp;B Admin'!O40</f>
        <v>3547.84</v>
      </c>
      <c r="P87" s="63">
        <f>'Lobby Lounge'!P64+'ADD-Mhub lounge'!P64+'Royal Court'!P64+'MP Cafe'!P64+'MP Dining'!P64+'Room Service'!P64+Banquet!P65+Minibar!P52+STW!P40+'Main Kitchen'!P40+'F&amp;B Admin'!P40</f>
        <v>3370.04</v>
      </c>
      <c r="Q87" s="142">
        <f t="shared" si="11"/>
        <v>43950.32</v>
      </c>
      <c r="R87" s="142">
        <v>60385.21</v>
      </c>
      <c r="S87" s="142">
        <f t="shared" si="12"/>
        <v>0.50467250031018007</v>
      </c>
      <c r="U87" s="157"/>
      <c r="V87" s="40" t="e">
        <f t="shared" si="13"/>
        <v>#DIV/0!</v>
      </c>
    </row>
    <row r="88" spans="1:22" s="84" customFormat="1" ht="24.95" customHeight="1">
      <c r="A88" s="3" t="s">
        <v>192</v>
      </c>
      <c r="B88" s="3" t="s">
        <v>415</v>
      </c>
      <c r="C88" s="3"/>
      <c r="D88" s="26" t="s">
        <v>193</v>
      </c>
      <c r="E88" s="63">
        <f>'Lobby Lounge'!E65+'ADD-Mhub lounge'!E65+'Royal Court'!E65+'MP Cafe'!E65+'MP Dining'!E65+'Room Service'!E65+Banquet!E66+Minibar!E53+STW!E41+'Main Kitchen'!E41+'F&amp;B Admin'!E41</f>
        <v>0</v>
      </c>
      <c r="F88" s="63">
        <f>'Lobby Lounge'!F65+'ADD-Mhub lounge'!F65+'Royal Court'!F65+'MP Cafe'!F65+'MP Dining'!F65+'Room Service'!F65+Banquet!F66+Minibar!F53+STW!F41+'Main Kitchen'!F41+'F&amp;B Admin'!F41</f>
        <v>0</v>
      </c>
      <c r="G88" s="63">
        <f>'Lobby Lounge'!G65+'ADD-Mhub lounge'!G65+'Royal Court'!G65+'MP Cafe'!G65+'MP Dining'!G65+'Room Service'!G65+Banquet!G66+Minibar!G53+STW!G41+'Main Kitchen'!G41+'F&amp;B Admin'!G41</f>
        <v>0</v>
      </c>
      <c r="H88" s="63">
        <f>'Lobby Lounge'!H65+'ADD-Mhub lounge'!H65+'Royal Court'!H65+'MP Cafe'!H65+'MP Dining'!H65+'Room Service'!H65+Banquet!H66+Minibar!H53+STW!H41+'Main Kitchen'!H41+'F&amp;B Admin'!H41</f>
        <v>8000</v>
      </c>
      <c r="I88" s="63">
        <f>'Lobby Lounge'!I65+'ADD-Mhub lounge'!I65+'Royal Court'!I65+'MP Cafe'!I65+'MP Dining'!I65+'Room Service'!I65+Banquet!I66+Minibar!I53+STW!I41+'Main Kitchen'!I41+'F&amp;B Admin'!I41</f>
        <v>8000</v>
      </c>
      <c r="J88" s="63">
        <f>'Lobby Lounge'!J65+'ADD-Mhub lounge'!J65+'Royal Court'!J65+'MP Cafe'!J65+'MP Dining'!J65+'Room Service'!J65+Banquet!J66+Minibar!J53+STW!J41+'Main Kitchen'!J41+'F&amp;B Admin'!J41</f>
        <v>6000</v>
      </c>
      <c r="K88" s="63">
        <f>'Lobby Lounge'!K65+'ADD-Mhub lounge'!K65+'Royal Court'!K65+'MP Cafe'!K65+'MP Dining'!K65+'Room Service'!K65+Banquet!K66+Minibar!K53+STW!K41+'Main Kitchen'!K41+'F&amp;B Admin'!K41</f>
        <v>4500</v>
      </c>
      <c r="L88" s="63">
        <f>'Lobby Lounge'!L65+'ADD-Mhub lounge'!L65+'Royal Court'!L65+'MP Cafe'!L65+'MP Dining'!L65+'Room Service'!L65+Banquet!L66+Minibar!L53+STW!L41+'Main Kitchen'!L41+'F&amp;B Admin'!L41</f>
        <v>4500</v>
      </c>
      <c r="M88" s="63">
        <f>'Lobby Lounge'!M65+'ADD-Mhub lounge'!M65+'Royal Court'!M65+'MP Cafe'!M65+'MP Dining'!M65+'Room Service'!M65+Banquet!M66+Minibar!M53+STW!M41+'Main Kitchen'!M41+'F&amp;B Admin'!M41</f>
        <v>6500</v>
      </c>
      <c r="N88" s="63">
        <f>'Lobby Lounge'!N65+'ADD-Mhub lounge'!N65+'Royal Court'!N65+'MP Cafe'!N65+'MP Dining'!N65+'Room Service'!N65+Banquet!N66+Minibar!N53+STW!N41+'Main Kitchen'!N41+'F&amp;B Admin'!N41</f>
        <v>6500</v>
      </c>
      <c r="O88" s="63">
        <f>'Lobby Lounge'!O65+'ADD-Mhub lounge'!O65+'Royal Court'!O65+'MP Cafe'!O65+'MP Dining'!O65+'Room Service'!O65+Banquet!O66+Minibar!O53+STW!O41+'Main Kitchen'!O41+'F&amp;B Admin'!O41</f>
        <v>4500</v>
      </c>
      <c r="P88" s="63">
        <f>'Lobby Lounge'!P65+'ADD-Mhub lounge'!P65+'Royal Court'!P65+'MP Cafe'!P65+'MP Dining'!P65+'Room Service'!P65+Banquet!P66+Minibar!P53+STW!P41+'Main Kitchen'!P41+'F&amp;B Admin'!P41</f>
        <v>4500</v>
      </c>
      <c r="Q88" s="142">
        <f t="shared" si="11"/>
        <v>53000</v>
      </c>
      <c r="R88" s="142">
        <v>72118.399999999994</v>
      </c>
      <c r="S88" s="142">
        <f t="shared" si="12"/>
        <v>0.60858811759367271</v>
      </c>
      <c r="U88" s="157"/>
      <c r="V88" s="40" t="e">
        <f t="shared" si="13"/>
        <v>#DIV/0!</v>
      </c>
    </row>
    <row r="89" spans="1:22" s="84" customFormat="1" ht="24.95" customHeight="1">
      <c r="A89" s="3" t="s">
        <v>194</v>
      </c>
      <c r="B89" s="3" t="s">
        <v>415</v>
      </c>
      <c r="C89" s="3"/>
      <c r="D89" s="26" t="s">
        <v>195</v>
      </c>
      <c r="E89" s="63">
        <f>'Lobby Lounge'!E66+'ADD-Mhub lounge'!E66+'Royal Court'!E66+'MP Cafe'!E66+'MP Dining'!E66+'Room Service'!E66+Banquet!E67+Minibar!E54+STW!E42+'Main Kitchen'!E42+'F&amp;B Admin'!E42</f>
        <v>450</v>
      </c>
      <c r="F89" s="63">
        <f>'Lobby Lounge'!F66+'ADD-Mhub lounge'!F66+'Royal Court'!F66+'MP Cafe'!F66+'MP Dining'!F66+'Room Service'!F66+Banquet!F67+Minibar!F54+STW!F42+'Main Kitchen'!F42+'F&amp;B Admin'!F42</f>
        <v>330</v>
      </c>
      <c r="G89" s="63">
        <f>'Lobby Lounge'!G66+'ADD-Mhub lounge'!G66+'Royal Court'!G66+'MP Cafe'!G66+'MP Dining'!G66+'Room Service'!G66+Banquet!G67+Minibar!G54+STW!G42+'Main Kitchen'!G42+'F&amp;B Admin'!G42</f>
        <v>380</v>
      </c>
      <c r="H89" s="63">
        <f>'Lobby Lounge'!H66+'ADD-Mhub lounge'!H66+'Royal Court'!H66+'MP Cafe'!H66+'MP Dining'!H66+'Room Service'!H66+Banquet!H67+Minibar!H54+STW!H42+'Main Kitchen'!H42+'F&amp;B Admin'!H42</f>
        <v>520</v>
      </c>
      <c r="I89" s="63">
        <f>'Lobby Lounge'!I66+'ADD-Mhub lounge'!I66+'Royal Court'!I66+'MP Cafe'!I66+'MP Dining'!I66+'Room Service'!I66+Banquet!I67+Minibar!I54+STW!I42+'Main Kitchen'!I42+'F&amp;B Admin'!I42</f>
        <v>540</v>
      </c>
      <c r="J89" s="63">
        <f>'Lobby Lounge'!J66+'ADD-Mhub lounge'!J66+'Royal Court'!J66+'MP Cafe'!J66+'MP Dining'!J66+'Room Service'!J66+Banquet!J67+Minibar!J54+STW!J42+'Main Kitchen'!J42+'F&amp;B Admin'!J42</f>
        <v>470</v>
      </c>
      <c r="K89" s="63">
        <f>'Lobby Lounge'!K66+'ADD-Mhub lounge'!K66+'Royal Court'!K66+'MP Cafe'!K66+'MP Dining'!K66+'Room Service'!K66+Banquet!K67+Minibar!K54+STW!K42+'Main Kitchen'!K42+'F&amp;B Admin'!K42</f>
        <v>550</v>
      </c>
      <c r="L89" s="63">
        <f>'Lobby Lounge'!L66+'ADD-Mhub lounge'!L66+'Royal Court'!L66+'MP Cafe'!L66+'MP Dining'!L66+'Room Service'!L66+Banquet!L67+Minibar!L54+STW!L42+'Main Kitchen'!L42+'F&amp;B Admin'!L42</f>
        <v>570</v>
      </c>
      <c r="M89" s="63">
        <f>'Lobby Lounge'!M66+'ADD-Mhub lounge'!M66+'Royal Court'!M66+'MP Cafe'!M66+'MP Dining'!M66+'Room Service'!M66+Banquet!M67+Minibar!M54+STW!M42+'Main Kitchen'!M42+'F&amp;B Admin'!M42</f>
        <v>620</v>
      </c>
      <c r="N89" s="63">
        <f>'Lobby Lounge'!N66+'ADD-Mhub lounge'!N66+'Royal Court'!N66+'MP Cafe'!N66+'MP Dining'!N66+'Room Service'!N66+Banquet!N67+Minibar!N54+STW!N42+'Main Kitchen'!N42+'F&amp;B Admin'!N42</f>
        <v>580</v>
      </c>
      <c r="O89" s="63">
        <f>'Lobby Lounge'!O66+'ADD-Mhub lounge'!O66+'Royal Court'!O66+'MP Cafe'!O66+'MP Dining'!O66+'Room Service'!O66+Banquet!O67+Minibar!O54+STW!O42+'Main Kitchen'!O42+'F&amp;B Admin'!O42</f>
        <v>450</v>
      </c>
      <c r="P89" s="63">
        <f>'Lobby Lounge'!P66+'ADD-Mhub lounge'!P66+'Royal Court'!P66+'MP Cafe'!P66+'MP Dining'!P66+'Room Service'!P66+Banquet!P67+Minibar!P54+STW!P42+'Main Kitchen'!P42+'F&amp;B Admin'!P42</f>
        <v>390</v>
      </c>
      <c r="Q89" s="142">
        <f t="shared" si="11"/>
        <v>5850</v>
      </c>
      <c r="R89" s="142">
        <v>6896.13</v>
      </c>
      <c r="S89" s="142">
        <f t="shared" si="12"/>
        <v>6.7174348828735575E-2</v>
      </c>
      <c r="U89" s="157"/>
      <c r="V89" s="40" t="e">
        <f t="shared" si="13"/>
        <v>#DIV/0!</v>
      </c>
    </row>
    <row r="90" spans="1:22" s="84" customFormat="1" ht="24.95" customHeight="1">
      <c r="A90" s="3" t="s">
        <v>196</v>
      </c>
      <c r="B90" s="3" t="s">
        <v>415</v>
      </c>
      <c r="C90" s="3"/>
      <c r="D90" s="26" t="s">
        <v>197</v>
      </c>
      <c r="E90" s="63">
        <f>'Lobby Lounge'!E67+'ADD-Mhub lounge'!E67+'Royal Court'!E67+'MP Cafe'!E67+'MP Dining'!E67+'Room Service'!E67+Banquet!E68+Minibar!E55+STW!E43+'Main Kitchen'!E43+'F&amp;B Admin'!E43</f>
        <v>720</v>
      </c>
      <c r="F90" s="63">
        <f>'Lobby Lounge'!F67+'ADD-Mhub lounge'!F67+'Royal Court'!F67+'MP Cafe'!F67+'MP Dining'!F67+'Room Service'!F67+Banquet!F68+Minibar!F55+STW!F43+'Main Kitchen'!F43+'F&amp;B Admin'!F43</f>
        <v>720</v>
      </c>
      <c r="G90" s="63">
        <f>'Lobby Lounge'!G67+'ADD-Mhub lounge'!G67+'Royal Court'!G67+'MP Cafe'!G67+'MP Dining'!G67+'Room Service'!G67+Banquet!G68+Minibar!G55+STW!G43+'Main Kitchen'!G43+'F&amp;B Admin'!G43</f>
        <v>720</v>
      </c>
      <c r="H90" s="63">
        <f>'Lobby Lounge'!H67+'ADD-Mhub lounge'!H67+'Royal Court'!H67+'MP Cafe'!H67+'MP Dining'!H67+'Room Service'!H67+Banquet!H68+Minibar!H55+STW!H43+'Main Kitchen'!H43+'F&amp;B Admin'!H43</f>
        <v>720</v>
      </c>
      <c r="I90" s="63">
        <f>'Lobby Lounge'!I67+'ADD-Mhub lounge'!I67+'Royal Court'!I67+'MP Cafe'!I67+'MP Dining'!I67+'Room Service'!I67+Banquet!I68+Minibar!I55+STW!I43+'Main Kitchen'!I43+'F&amp;B Admin'!I43</f>
        <v>720</v>
      </c>
      <c r="J90" s="63">
        <f>'Lobby Lounge'!J67+'ADD-Mhub lounge'!J67+'Royal Court'!J67+'MP Cafe'!J67+'MP Dining'!J67+'Room Service'!J67+Banquet!J68+Minibar!J55+STW!J43+'Main Kitchen'!J43+'F&amp;B Admin'!J43</f>
        <v>720</v>
      </c>
      <c r="K90" s="63">
        <f>'Lobby Lounge'!K67+'ADD-Mhub lounge'!K67+'Royal Court'!K67+'MP Cafe'!K67+'MP Dining'!K67+'Room Service'!K67+Banquet!K68+Minibar!K55+STW!K43+'Main Kitchen'!K43+'F&amp;B Admin'!K43</f>
        <v>720</v>
      </c>
      <c r="L90" s="63">
        <f>'Lobby Lounge'!L67+'ADD-Mhub lounge'!L67+'Royal Court'!L67+'MP Cafe'!L67+'MP Dining'!L67+'Room Service'!L67+Banquet!L68+Minibar!L55+STW!L43+'Main Kitchen'!L43+'F&amp;B Admin'!L43</f>
        <v>720</v>
      </c>
      <c r="M90" s="63">
        <f>'Lobby Lounge'!M67+'ADD-Mhub lounge'!M67+'Royal Court'!M67+'MP Cafe'!M67+'MP Dining'!M67+'Room Service'!M67+Banquet!M68+Minibar!M55+STW!M43+'Main Kitchen'!M43+'F&amp;B Admin'!M43</f>
        <v>720</v>
      </c>
      <c r="N90" s="63">
        <f>'Lobby Lounge'!N67+'ADD-Mhub lounge'!N67+'Royal Court'!N67+'MP Cafe'!N67+'MP Dining'!N67+'Room Service'!N67+Banquet!N68+Minibar!N55+STW!N43+'Main Kitchen'!N43+'F&amp;B Admin'!N43</f>
        <v>720</v>
      </c>
      <c r="O90" s="63">
        <f>'Lobby Lounge'!O67+'ADD-Mhub lounge'!O67+'Royal Court'!O67+'MP Cafe'!O67+'MP Dining'!O67+'Room Service'!O67+Banquet!O68+Minibar!O55+STW!O43+'Main Kitchen'!O43+'F&amp;B Admin'!O43</f>
        <v>720</v>
      </c>
      <c r="P90" s="63">
        <f>'Lobby Lounge'!P67+'ADD-Mhub lounge'!P67+'Royal Court'!P67+'MP Cafe'!P67+'MP Dining'!P67+'Room Service'!P67+Banquet!P68+Minibar!P55+STW!P43+'Main Kitchen'!P43+'F&amp;B Admin'!P43</f>
        <v>720</v>
      </c>
      <c r="Q90" s="142">
        <f t="shared" si="11"/>
        <v>8640</v>
      </c>
      <c r="R90" s="142">
        <v>44103.9</v>
      </c>
      <c r="S90" s="142">
        <f t="shared" si="12"/>
        <v>9.9211345962440231E-2</v>
      </c>
      <c r="U90" s="157"/>
      <c r="V90" s="40" t="e">
        <f t="shared" si="13"/>
        <v>#DIV/0!</v>
      </c>
    </row>
    <row r="91" spans="1:22" s="84" customFormat="1" ht="24.95" hidden="1" customHeight="1">
      <c r="A91" s="3" t="s">
        <v>198</v>
      </c>
      <c r="B91" s="3" t="s">
        <v>415</v>
      </c>
      <c r="C91" s="3"/>
      <c r="D91" s="26" t="s">
        <v>199</v>
      </c>
      <c r="E91" s="63">
        <f>'Lobby Lounge'!E68+'ADD-Mhub lounge'!E68+'Royal Court'!E68+'MP Cafe'!E68+'MP Dining'!E68+'Room Service'!E68+Banquet!E69+Minibar!E56+STW!E44+'Main Kitchen'!E44+'F&amp;B Admin'!E44</f>
        <v>0</v>
      </c>
      <c r="F91" s="63">
        <f>'Lobby Lounge'!F68+'ADD-Mhub lounge'!F68+'Royal Court'!F68+'MP Cafe'!F68+'MP Dining'!F68+'Room Service'!F68+Banquet!F69+Minibar!F56+STW!F44+'Main Kitchen'!F44+'F&amp;B Admin'!F44</f>
        <v>0</v>
      </c>
      <c r="G91" s="63">
        <f>'Lobby Lounge'!G68+'ADD-Mhub lounge'!G68+'Royal Court'!G68+'MP Cafe'!G68+'MP Dining'!G68+'Room Service'!G68+Banquet!G69+Minibar!G56+STW!G44+'Main Kitchen'!G44+'F&amp;B Admin'!G44</f>
        <v>0</v>
      </c>
      <c r="H91" s="63">
        <f>'Lobby Lounge'!H68+'ADD-Mhub lounge'!H68+'Royal Court'!H68+'MP Cafe'!H68+'MP Dining'!H68+'Room Service'!H68+Banquet!H69+Minibar!H56+STW!H44+'Main Kitchen'!H44+'F&amp;B Admin'!H44</f>
        <v>0</v>
      </c>
      <c r="I91" s="63">
        <f>'Lobby Lounge'!I68+'ADD-Mhub lounge'!I68+'Royal Court'!I68+'MP Cafe'!I68+'MP Dining'!I68+'Room Service'!I68+Banquet!I69+Minibar!I56+STW!I44+'Main Kitchen'!I44+'F&amp;B Admin'!I44</f>
        <v>0</v>
      </c>
      <c r="J91" s="63">
        <f>'Lobby Lounge'!J68+'ADD-Mhub lounge'!J68+'Royal Court'!J68+'MP Cafe'!J68+'MP Dining'!J68+'Room Service'!J68+Banquet!J69+Minibar!J56+STW!J44+'Main Kitchen'!J44+'F&amp;B Admin'!J44</f>
        <v>0</v>
      </c>
      <c r="K91" s="63">
        <f>'Lobby Lounge'!K68+'ADD-Mhub lounge'!K68+'Royal Court'!K68+'MP Cafe'!K68+'MP Dining'!K68+'Room Service'!K68+Banquet!K69+Minibar!K56+STW!K44+'Main Kitchen'!K44+'F&amp;B Admin'!K44</f>
        <v>0</v>
      </c>
      <c r="L91" s="63">
        <f>'Lobby Lounge'!L68+'ADD-Mhub lounge'!L68+'Royal Court'!L68+'MP Cafe'!L68+'MP Dining'!L68+'Room Service'!L68+Banquet!L69+Minibar!L56+STW!L44+'Main Kitchen'!L44+'F&amp;B Admin'!L44</f>
        <v>0</v>
      </c>
      <c r="M91" s="63">
        <f>'Lobby Lounge'!M68+'ADD-Mhub lounge'!M68+'Royal Court'!M68+'MP Cafe'!M68+'MP Dining'!M68+'Room Service'!M68+Banquet!M69+Minibar!M56+STW!M44+'Main Kitchen'!M44+'F&amp;B Admin'!M44</f>
        <v>0</v>
      </c>
      <c r="N91" s="63">
        <f>'Lobby Lounge'!N68+'ADD-Mhub lounge'!N68+'Royal Court'!N68+'MP Cafe'!N68+'MP Dining'!N68+'Room Service'!N68+Banquet!N69+Minibar!N56+STW!N44+'Main Kitchen'!N44+'F&amp;B Admin'!N44</f>
        <v>0</v>
      </c>
      <c r="O91" s="63">
        <f>'Lobby Lounge'!O68+'ADD-Mhub lounge'!O68+'Royal Court'!O68+'MP Cafe'!O68+'MP Dining'!O68+'Room Service'!O68+Banquet!O69+Minibar!O56+STW!O44+'Main Kitchen'!O44+'F&amp;B Admin'!O44</f>
        <v>0</v>
      </c>
      <c r="P91" s="63">
        <f>'Lobby Lounge'!P68+'ADD-Mhub lounge'!P68+'Royal Court'!P68+'MP Cafe'!P68+'MP Dining'!P68+'Room Service'!P68+Banquet!P69+Minibar!P56+STW!P44+'Main Kitchen'!P44+'F&amp;B Admin'!P44</f>
        <v>0</v>
      </c>
      <c r="Q91" s="142">
        <f t="shared" si="11"/>
        <v>0</v>
      </c>
      <c r="R91" s="142">
        <v>0</v>
      </c>
      <c r="S91" s="142">
        <f t="shared" si="12"/>
        <v>0</v>
      </c>
      <c r="U91" s="157"/>
      <c r="V91" s="40">
        <f t="shared" si="13"/>
        <v>0</v>
      </c>
    </row>
    <row r="92" spans="1:22" s="84" customFormat="1" ht="24.95" hidden="1" customHeight="1">
      <c r="A92" s="3" t="s">
        <v>200</v>
      </c>
      <c r="B92" s="3" t="s">
        <v>415</v>
      </c>
      <c r="C92" s="3"/>
      <c r="D92" s="26" t="s">
        <v>201</v>
      </c>
      <c r="E92" s="63">
        <f>'Lobby Lounge'!E69+'ADD-Mhub lounge'!E69+'Royal Court'!E69+'MP Cafe'!E69+'MP Dining'!E69+'Room Service'!E69+Banquet!E70+Minibar!E57+STW!E45+'Main Kitchen'!E45+'F&amp;B Admin'!E45</f>
        <v>0</v>
      </c>
      <c r="F92" s="63">
        <f>'Lobby Lounge'!F69+'ADD-Mhub lounge'!F69+'Royal Court'!F69+'MP Cafe'!F69+'MP Dining'!F69+'Room Service'!F69+Banquet!F70+Minibar!F57+STW!F45+'Main Kitchen'!F45+'F&amp;B Admin'!F45</f>
        <v>0</v>
      </c>
      <c r="G92" s="63">
        <f>'Lobby Lounge'!G69+'ADD-Mhub lounge'!G69+'Royal Court'!G69+'MP Cafe'!G69+'MP Dining'!G69+'Room Service'!G69+Banquet!G70+Minibar!G57+STW!G45+'Main Kitchen'!G45+'F&amp;B Admin'!G45</f>
        <v>0</v>
      </c>
      <c r="H92" s="63">
        <f>'Lobby Lounge'!H69+'ADD-Mhub lounge'!H69+'Royal Court'!H69+'MP Cafe'!H69+'MP Dining'!H69+'Room Service'!H69+Banquet!H70+Minibar!H57+STW!H45+'Main Kitchen'!H45+'F&amp;B Admin'!H45</f>
        <v>0</v>
      </c>
      <c r="I92" s="63">
        <f>'Lobby Lounge'!I69+'ADD-Mhub lounge'!I69+'Royal Court'!I69+'MP Cafe'!I69+'MP Dining'!I69+'Room Service'!I69+Banquet!I70+Minibar!I57+STW!I45+'Main Kitchen'!I45+'F&amp;B Admin'!I45</f>
        <v>0</v>
      </c>
      <c r="J92" s="63">
        <f>'Lobby Lounge'!J69+'ADD-Mhub lounge'!J69+'Royal Court'!J69+'MP Cafe'!J69+'MP Dining'!J69+'Room Service'!J69+Banquet!J70+Minibar!J57+STW!J45+'Main Kitchen'!J45+'F&amp;B Admin'!J45</f>
        <v>0</v>
      </c>
      <c r="K92" s="63">
        <f>'Lobby Lounge'!K69+'ADD-Mhub lounge'!K69+'Royal Court'!K69+'MP Cafe'!K69+'MP Dining'!K69+'Room Service'!K69+Banquet!K70+Minibar!K57+STW!K45+'Main Kitchen'!K45+'F&amp;B Admin'!K45</f>
        <v>0</v>
      </c>
      <c r="L92" s="63">
        <f>'Lobby Lounge'!L69+'ADD-Mhub lounge'!L69+'Royal Court'!L69+'MP Cafe'!L69+'MP Dining'!L69+'Room Service'!L69+Banquet!L70+Minibar!L57+STW!L45+'Main Kitchen'!L45+'F&amp;B Admin'!L45</f>
        <v>0</v>
      </c>
      <c r="M92" s="63">
        <f>'Lobby Lounge'!M69+'ADD-Mhub lounge'!M69+'Royal Court'!M69+'MP Cafe'!M69+'MP Dining'!M69+'Room Service'!M69+Banquet!M70+Minibar!M57+STW!M45+'Main Kitchen'!M45+'F&amp;B Admin'!M45</f>
        <v>0</v>
      </c>
      <c r="N92" s="63">
        <f>'Lobby Lounge'!N69+'ADD-Mhub lounge'!N69+'Royal Court'!N69+'MP Cafe'!N69+'MP Dining'!N69+'Room Service'!N69+Banquet!N70+Minibar!N57+STW!N45+'Main Kitchen'!N45+'F&amp;B Admin'!N45</f>
        <v>0</v>
      </c>
      <c r="O92" s="63">
        <f>'Lobby Lounge'!O69+'ADD-Mhub lounge'!O69+'Royal Court'!O69+'MP Cafe'!O69+'MP Dining'!O69+'Room Service'!O69+Banquet!O70+Minibar!O57+STW!O45+'Main Kitchen'!O45+'F&amp;B Admin'!O45</f>
        <v>0</v>
      </c>
      <c r="P92" s="63">
        <f>'Lobby Lounge'!P69+'ADD-Mhub lounge'!P69+'Royal Court'!P69+'MP Cafe'!P69+'MP Dining'!P69+'Room Service'!P69+Banquet!P70+Minibar!P57+STW!P45+'Main Kitchen'!P45+'F&amp;B Admin'!P45</f>
        <v>0</v>
      </c>
      <c r="Q92" s="142">
        <f t="shared" si="11"/>
        <v>0</v>
      </c>
      <c r="R92" s="142">
        <v>0</v>
      </c>
      <c r="S92" s="142">
        <f t="shared" si="12"/>
        <v>0</v>
      </c>
      <c r="U92" s="157"/>
      <c r="V92" s="40">
        <f t="shared" si="13"/>
        <v>0</v>
      </c>
    </row>
    <row r="93" spans="1:22" s="84" customFormat="1" ht="24.95" customHeight="1">
      <c r="A93" s="3" t="s">
        <v>202</v>
      </c>
      <c r="B93" s="3" t="s">
        <v>415</v>
      </c>
      <c r="C93" s="3"/>
      <c r="D93" s="26" t="s">
        <v>203</v>
      </c>
      <c r="E93" s="63">
        <f>'Lobby Lounge'!E70+'ADD-Mhub lounge'!E70+'Royal Court'!E70+'MP Cafe'!E70+'MP Dining'!E70+'Room Service'!E70+Banquet!E71+Minibar!E58+STW!E46+'Main Kitchen'!E46+'F&amp;B Admin'!E46</f>
        <v>100</v>
      </c>
      <c r="F93" s="63">
        <f>'Lobby Lounge'!F70+'ADD-Mhub lounge'!F70+'Royal Court'!F70+'MP Cafe'!F70+'MP Dining'!F70+'Room Service'!F70+Banquet!F71+Minibar!F58+STW!F46+'Main Kitchen'!F46+'F&amp;B Admin'!F46</f>
        <v>100</v>
      </c>
      <c r="G93" s="63">
        <f>'Lobby Lounge'!G70+'ADD-Mhub lounge'!G70+'Royal Court'!G70+'MP Cafe'!G70+'MP Dining'!G70+'Room Service'!G70+Banquet!G71+Minibar!G58+STW!G46+'Main Kitchen'!G46+'F&amp;B Admin'!G46</f>
        <v>100</v>
      </c>
      <c r="H93" s="63">
        <f>'Lobby Lounge'!H70+'ADD-Mhub lounge'!H70+'Royal Court'!H70+'MP Cafe'!H70+'MP Dining'!H70+'Room Service'!H70+Banquet!H71+Minibar!H58+STW!H46+'Main Kitchen'!H46+'F&amp;B Admin'!H46</f>
        <v>3100</v>
      </c>
      <c r="I93" s="63">
        <f>'Lobby Lounge'!I70+'ADD-Mhub lounge'!I70+'Royal Court'!I70+'MP Cafe'!I70+'MP Dining'!I70+'Room Service'!I70+Banquet!I71+Minibar!I58+STW!I46+'Main Kitchen'!I46+'F&amp;B Admin'!I46</f>
        <v>3100</v>
      </c>
      <c r="J93" s="63">
        <f>'Lobby Lounge'!J70+'ADD-Mhub lounge'!J70+'Royal Court'!J70+'MP Cafe'!J70+'MP Dining'!J70+'Room Service'!J70+Banquet!J71+Minibar!J58+STW!J46+'Main Kitchen'!J46+'F&amp;B Admin'!J46</f>
        <v>3100</v>
      </c>
      <c r="K93" s="63">
        <f>'Lobby Lounge'!K70+'ADD-Mhub lounge'!K70+'Royal Court'!K70+'MP Cafe'!K70+'MP Dining'!K70+'Room Service'!K70+Banquet!K71+Minibar!K58+STW!K46+'Main Kitchen'!K46+'F&amp;B Admin'!K46</f>
        <v>1600</v>
      </c>
      <c r="L93" s="63">
        <f>'Lobby Lounge'!L70+'ADD-Mhub lounge'!L70+'Royal Court'!L70+'MP Cafe'!L70+'MP Dining'!L70+'Room Service'!L70+Banquet!L71+Minibar!L58+STW!L46+'Main Kitchen'!L46+'F&amp;B Admin'!L46</f>
        <v>1600</v>
      </c>
      <c r="M93" s="63">
        <f>'Lobby Lounge'!M70+'ADD-Mhub lounge'!M70+'Royal Court'!M70+'MP Cafe'!M70+'MP Dining'!M70+'Room Service'!M70+Banquet!M71+Minibar!M58+STW!M46+'Main Kitchen'!M46+'F&amp;B Admin'!M46</f>
        <v>1600</v>
      </c>
      <c r="N93" s="63">
        <f>'Lobby Lounge'!N70+'ADD-Mhub lounge'!N70+'Royal Court'!N70+'MP Cafe'!N70+'MP Dining'!N70+'Room Service'!N70+Banquet!N71+Minibar!N58+STW!N46+'Main Kitchen'!N46+'F&amp;B Admin'!N46</f>
        <v>1600</v>
      </c>
      <c r="O93" s="63">
        <f>'Lobby Lounge'!O70+'ADD-Mhub lounge'!O70+'Royal Court'!O70+'MP Cafe'!O70+'MP Dining'!O70+'Room Service'!O70+Banquet!O71+Minibar!O58+STW!O46+'Main Kitchen'!O46+'F&amp;B Admin'!O46</f>
        <v>1600</v>
      </c>
      <c r="P93" s="63">
        <f>'Lobby Lounge'!P70+'ADD-Mhub lounge'!P70+'Royal Court'!P70+'MP Cafe'!P70+'MP Dining'!P70+'Room Service'!P70+Banquet!P71+Minibar!P58+STW!P46+'Main Kitchen'!P46+'F&amp;B Admin'!P46</f>
        <v>1600</v>
      </c>
      <c r="Q93" s="142">
        <f t="shared" si="11"/>
        <v>19200</v>
      </c>
      <c r="R93" s="142">
        <v>20651.55</v>
      </c>
      <c r="S93" s="142">
        <f t="shared" si="12"/>
        <v>0.22046965769431162</v>
      </c>
      <c r="U93" s="157"/>
      <c r="V93" s="40" t="e">
        <f t="shared" si="13"/>
        <v>#DIV/0!</v>
      </c>
    </row>
    <row r="94" spans="1:22" s="84" customFormat="1" ht="24.95" customHeight="1">
      <c r="A94" s="3" t="s">
        <v>204</v>
      </c>
      <c r="B94" s="3" t="s">
        <v>415</v>
      </c>
      <c r="C94" s="3"/>
      <c r="D94" s="26" t="s">
        <v>205</v>
      </c>
      <c r="E94" s="63">
        <f>'Lobby Lounge'!E71+'ADD-Mhub lounge'!E71+'Royal Court'!E71+'MP Cafe'!E71+'MP Dining'!E71+'Room Service'!E71+Banquet!E72+Minibar!E59+STW!E47+'Main Kitchen'!E47+'F&amp;B Admin'!E47</f>
        <v>0</v>
      </c>
      <c r="F94" s="63">
        <f>'Lobby Lounge'!F71+'ADD-Mhub lounge'!F71+'Royal Court'!F71+'MP Cafe'!F71+'MP Dining'!F71+'Room Service'!F71+Banquet!F72+Minibar!F59+STW!F47+'Main Kitchen'!F47+'F&amp;B Admin'!F47</f>
        <v>0</v>
      </c>
      <c r="G94" s="63">
        <f>'Lobby Lounge'!G71+'ADD-Mhub lounge'!G71+'Royal Court'!G71+'MP Cafe'!G71+'MP Dining'!G71+'Room Service'!G71+Banquet!G72+Minibar!G59+STW!G47+'Main Kitchen'!G47+'F&amp;B Admin'!G47</f>
        <v>0</v>
      </c>
      <c r="H94" s="63">
        <f>'Lobby Lounge'!H71+'ADD-Mhub lounge'!H71+'Royal Court'!H71+'MP Cafe'!H71+'MP Dining'!H71+'Room Service'!H71+Banquet!H72+Minibar!H59+STW!H47+'Main Kitchen'!H47+'F&amp;B Admin'!H47</f>
        <v>0</v>
      </c>
      <c r="I94" s="63">
        <f>'Lobby Lounge'!I71+'ADD-Mhub lounge'!I71+'Royal Court'!I71+'MP Cafe'!I71+'MP Dining'!I71+'Room Service'!I71+Banquet!I72+Minibar!I59+STW!I47+'Main Kitchen'!I47+'F&amp;B Admin'!I47</f>
        <v>0</v>
      </c>
      <c r="J94" s="63">
        <f>'Lobby Lounge'!J71+'ADD-Mhub lounge'!J71+'Royal Court'!J71+'MP Cafe'!J71+'MP Dining'!J71+'Room Service'!J71+Banquet!J72+Minibar!J59+STW!J47+'Main Kitchen'!J47+'F&amp;B Admin'!J47</f>
        <v>0</v>
      </c>
      <c r="K94" s="63">
        <f>'Lobby Lounge'!K71+'ADD-Mhub lounge'!K71+'Royal Court'!K71+'MP Cafe'!K71+'MP Dining'!K71+'Room Service'!K71+Banquet!K72+Minibar!K59+STW!K47+'Main Kitchen'!K47+'F&amp;B Admin'!K47</f>
        <v>0</v>
      </c>
      <c r="L94" s="63">
        <f>'Lobby Lounge'!L71+'ADD-Mhub lounge'!L71+'Royal Court'!L71+'MP Cafe'!L71+'MP Dining'!L71+'Room Service'!L71+Banquet!L72+Minibar!L59+STW!L47+'Main Kitchen'!L47+'F&amp;B Admin'!L47</f>
        <v>0</v>
      </c>
      <c r="M94" s="63">
        <f>'Lobby Lounge'!M71+'ADD-Mhub lounge'!M71+'Royal Court'!M71+'MP Cafe'!M71+'MP Dining'!M71+'Room Service'!M71+Banquet!M72+Minibar!M59+STW!M47+'Main Kitchen'!M47+'F&amp;B Admin'!M47</f>
        <v>0</v>
      </c>
      <c r="N94" s="63">
        <f>'Lobby Lounge'!N71+'ADD-Mhub lounge'!N71+'Royal Court'!N71+'MP Cafe'!N71+'MP Dining'!N71+'Room Service'!N71+Banquet!N72+Minibar!N59+STW!N47+'Main Kitchen'!N47+'F&amp;B Admin'!N47</f>
        <v>0</v>
      </c>
      <c r="O94" s="63">
        <f>'Lobby Lounge'!O71+'ADD-Mhub lounge'!O71+'Royal Court'!O71+'MP Cafe'!O71+'MP Dining'!O71+'Room Service'!O71+Banquet!O72+Minibar!O59+STW!O47+'Main Kitchen'!O47+'F&amp;B Admin'!O47</f>
        <v>0</v>
      </c>
      <c r="P94" s="63">
        <f>'Lobby Lounge'!P71+'ADD-Mhub lounge'!P71+'Royal Court'!P71+'MP Cafe'!P71+'MP Dining'!P71+'Room Service'!P71+Banquet!P72+Minibar!P59+STW!P47+'Main Kitchen'!P47+'F&amp;B Admin'!P47</f>
        <v>0</v>
      </c>
      <c r="Q94" s="142">
        <f t="shared" si="11"/>
        <v>0</v>
      </c>
      <c r="R94" s="142">
        <v>16530.169999999998</v>
      </c>
      <c r="S94" s="142">
        <f t="shared" si="12"/>
        <v>0</v>
      </c>
      <c r="U94" s="157"/>
      <c r="V94" s="40">
        <f t="shared" si="13"/>
        <v>0</v>
      </c>
    </row>
    <row r="95" spans="1:22" s="84" customFormat="1" ht="24.95" hidden="1" customHeight="1">
      <c r="A95" s="3" t="s">
        <v>206</v>
      </c>
      <c r="B95" s="3" t="s">
        <v>415</v>
      </c>
      <c r="C95" s="3"/>
      <c r="D95" s="26" t="s">
        <v>207</v>
      </c>
      <c r="E95" s="63">
        <f>'Lobby Lounge'!E72+'ADD-Mhub lounge'!E72+'Royal Court'!E72+'MP Cafe'!E72+'MP Dining'!E72+'Room Service'!E72+Banquet!E73+Minibar!E60+STW!E48+'Main Kitchen'!E48+'F&amp;B Admin'!E48</f>
        <v>0</v>
      </c>
      <c r="F95" s="63">
        <f>'Lobby Lounge'!F72+'ADD-Mhub lounge'!F72+'Royal Court'!F72+'MP Cafe'!F72+'MP Dining'!F72+'Room Service'!F72+Banquet!F73+Minibar!F60+STW!F48+'Main Kitchen'!F48+'F&amp;B Admin'!F48</f>
        <v>0</v>
      </c>
      <c r="G95" s="63">
        <f>'Lobby Lounge'!G72+'ADD-Mhub lounge'!G72+'Royal Court'!G72+'MP Cafe'!G72+'MP Dining'!G72+'Room Service'!G72+Banquet!G73+Minibar!G60+STW!G48+'Main Kitchen'!G48+'F&amp;B Admin'!G48</f>
        <v>0</v>
      </c>
      <c r="H95" s="63">
        <f>'Lobby Lounge'!H72+'ADD-Mhub lounge'!H72+'Royal Court'!H72+'MP Cafe'!H72+'MP Dining'!H72+'Room Service'!H72+Banquet!H73+Minibar!H60+STW!H48+'Main Kitchen'!H48+'F&amp;B Admin'!H48</f>
        <v>0</v>
      </c>
      <c r="I95" s="63">
        <f>'Lobby Lounge'!I72+'ADD-Mhub lounge'!I72+'Royal Court'!I72+'MP Cafe'!I72+'MP Dining'!I72+'Room Service'!I72+Banquet!I73+Minibar!I60+STW!I48+'Main Kitchen'!I48+'F&amp;B Admin'!I48</f>
        <v>0</v>
      </c>
      <c r="J95" s="63">
        <f>'Lobby Lounge'!J72+'ADD-Mhub lounge'!J72+'Royal Court'!J72+'MP Cafe'!J72+'MP Dining'!J72+'Room Service'!J72+Banquet!J73+Minibar!J60+STW!J48+'Main Kitchen'!J48+'F&amp;B Admin'!J48</f>
        <v>0</v>
      </c>
      <c r="K95" s="63">
        <f>'Lobby Lounge'!K72+'ADD-Mhub lounge'!K72+'Royal Court'!K72+'MP Cafe'!K72+'MP Dining'!K72+'Room Service'!K72+Banquet!K73+Minibar!K60+STW!K48+'Main Kitchen'!K48+'F&amp;B Admin'!K48</f>
        <v>0</v>
      </c>
      <c r="L95" s="63">
        <f>'Lobby Lounge'!L72+'ADD-Mhub lounge'!L72+'Royal Court'!L72+'MP Cafe'!L72+'MP Dining'!L72+'Room Service'!L72+Banquet!L73+Minibar!L60+STW!L48+'Main Kitchen'!L48+'F&amp;B Admin'!L48</f>
        <v>0</v>
      </c>
      <c r="M95" s="63">
        <f>'Lobby Lounge'!M72+'ADD-Mhub lounge'!M72+'Royal Court'!M72+'MP Cafe'!M72+'MP Dining'!M72+'Room Service'!M72+Banquet!M73+Minibar!M60+STW!M48+'Main Kitchen'!M48+'F&amp;B Admin'!M48</f>
        <v>0</v>
      </c>
      <c r="N95" s="63">
        <f>'Lobby Lounge'!N72+'ADD-Mhub lounge'!N72+'Royal Court'!N72+'MP Cafe'!N72+'MP Dining'!N72+'Room Service'!N72+Banquet!N73+Minibar!N60+STW!N48+'Main Kitchen'!N48+'F&amp;B Admin'!N48</f>
        <v>0</v>
      </c>
      <c r="O95" s="63">
        <f>'Lobby Lounge'!O72+'ADD-Mhub lounge'!O72+'Royal Court'!O72+'MP Cafe'!O72+'MP Dining'!O72+'Room Service'!O72+Banquet!O73+Minibar!O60+STW!O48+'Main Kitchen'!O48+'F&amp;B Admin'!O48</f>
        <v>0</v>
      </c>
      <c r="P95" s="63">
        <f>'Lobby Lounge'!P72+'ADD-Mhub lounge'!P72+'Royal Court'!P72+'MP Cafe'!P72+'MP Dining'!P72+'Room Service'!P72+Banquet!P73+Minibar!P60+STW!P48+'Main Kitchen'!P48+'F&amp;B Admin'!P48</f>
        <v>0</v>
      </c>
      <c r="Q95" s="142">
        <f t="shared" si="11"/>
        <v>0</v>
      </c>
      <c r="R95" s="142">
        <v>0</v>
      </c>
      <c r="S95" s="142">
        <f t="shared" si="12"/>
        <v>0</v>
      </c>
      <c r="U95" s="157"/>
      <c r="V95" s="40">
        <f t="shared" si="13"/>
        <v>0</v>
      </c>
    </row>
    <row r="96" spans="1:22" s="84" customFormat="1" ht="24.95" hidden="1" customHeight="1">
      <c r="A96" s="3" t="s">
        <v>208</v>
      </c>
      <c r="B96" s="3" t="s">
        <v>415</v>
      </c>
      <c r="C96" s="3"/>
      <c r="D96" s="26" t="s">
        <v>209</v>
      </c>
      <c r="E96" s="63">
        <f>'Lobby Lounge'!E73+'ADD-Mhub lounge'!E73+'Royal Court'!E73+'MP Cafe'!E73+'MP Dining'!E73+'Room Service'!E73+Banquet!E74+Minibar!E61+STW!E49+'Main Kitchen'!E49+'F&amp;B Admin'!E49</f>
        <v>0</v>
      </c>
      <c r="F96" s="63">
        <f>'Lobby Lounge'!F73+'ADD-Mhub lounge'!F73+'Royal Court'!F73+'MP Cafe'!F73+'MP Dining'!F73+'Room Service'!F73+Banquet!F74+Minibar!F61+STW!F49+'Main Kitchen'!F49+'F&amp;B Admin'!F49</f>
        <v>0</v>
      </c>
      <c r="G96" s="63">
        <f>'Lobby Lounge'!G73+'ADD-Mhub lounge'!G73+'Royal Court'!G73+'MP Cafe'!G73+'MP Dining'!G73+'Room Service'!G73+Banquet!G74+Minibar!G61+STW!G49+'Main Kitchen'!G49+'F&amp;B Admin'!G49</f>
        <v>0</v>
      </c>
      <c r="H96" s="63">
        <f>'Lobby Lounge'!H73+'ADD-Mhub lounge'!H73+'Royal Court'!H73+'MP Cafe'!H73+'MP Dining'!H73+'Room Service'!H73+Banquet!H74+Minibar!H61+STW!H49+'Main Kitchen'!H49+'F&amp;B Admin'!H49</f>
        <v>0</v>
      </c>
      <c r="I96" s="63">
        <f>'Lobby Lounge'!I73+'ADD-Mhub lounge'!I73+'Royal Court'!I73+'MP Cafe'!I73+'MP Dining'!I73+'Room Service'!I73+Banquet!I74+Minibar!I61+STW!I49+'Main Kitchen'!I49+'F&amp;B Admin'!I49</f>
        <v>0</v>
      </c>
      <c r="J96" s="63">
        <f>'Lobby Lounge'!J73+'ADD-Mhub lounge'!J73+'Royal Court'!J73+'MP Cafe'!J73+'MP Dining'!J73+'Room Service'!J73+Banquet!J74+Minibar!J61+STW!J49+'Main Kitchen'!J49+'F&amp;B Admin'!J49</f>
        <v>0</v>
      </c>
      <c r="K96" s="63">
        <f>'Lobby Lounge'!K73+'ADD-Mhub lounge'!K73+'Royal Court'!K73+'MP Cafe'!K73+'MP Dining'!K73+'Room Service'!K73+Banquet!K74+Minibar!K61+STW!K49+'Main Kitchen'!K49+'F&amp;B Admin'!K49</f>
        <v>0</v>
      </c>
      <c r="L96" s="63">
        <f>'Lobby Lounge'!L73+'ADD-Mhub lounge'!L73+'Royal Court'!L73+'MP Cafe'!L73+'MP Dining'!L73+'Room Service'!L73+Banquet!L74+Minibar!L61+STW!L49+'Main Kitchen'!L49+'F&amp;B Admin'!L49</f>
        <v>0</v>
      </c>
      <c r="M96" s="63">
        <f>'Lobby Lounge'!M73+'ADD-Mhub lounge'!M73+'Royal Court'!M73+'MP Cafe'!M73+'MP Dining'!M73+'Room Service'!M73+Banquet!M74+Minibar!M61+STW!M49+'Main Kitchen'!M49+'F&amp;B Admin'!M49</f>
        <v>0</v>
      </c>
      <c r="N96" s="63">
        <f>'Lobby Lounge'!N73+'ADD-Mhub lounge'!N73+'Royal Court'!N73+'MP Cafe'!N73+'MP Dining'!N73+'Room Service'!N73+Banquet!N74+Minibar!N61+STW!N49+'Main Kitchen'!N49+'F&amp;B Admin'!N49</f>
        <v>0</v>
      </c>
      <c r="O96" s="63">
        <f>'Lobby Lounge'!O73+'ADD-Mhub lounge'!O73+'Royal Court'!O73+'MP Cafe'!O73+'MP Dining'!O73+'Room Service'!O73+Banquet!O74+Minibar!O61+STW!O49+'Main Kitchen'!O49+'F&amp;B Admin'!O49</f>
        <v>0</v>
      </c>
      <c r="P96" s="63">
        <f>'Lobby Lounge'!P73+'ADD-Mhub lounge'!P73+'Royal Court'!P73+'MP Cafe'!P73+'MP Dining'!P73+'Room Service'!P73+Banquet!P74+Minibar!P61+STW!P49+'Main Kitchen'!P49+'F&amp;B Admin'!P49</f>
        <v>0</v>
      </c>
      <c r="Q96" s="142">
        <f t="shared" si="11"/>
        <v>0</v>
      </c>
      <c r="R96" s="142">
        <v>0</v>
      </c>
      <c r="S96" s="142">
        <f t="shared" si="12"/>
        <v>0</v>
      </c>
      <c r="U96" s="157"/>
      <c r="V96" s="40">
        <f t="shared" si="13"/>
        <v>0</v>
      </c>
    </row>
    <row r="97" spans="1:22" s="84" customFormat="1" ht="24.95" customHeight="1">
      <c r="A97" s="3" t="s">
        <v>210</v>
      </c>
      <c r="B97" s="3" t="s">
        <v>415</v>
      </c>
      <c r="C97" s="3"/>
      <c r="D97" s="26" t="s">
        <v>211</v>
      </c>
      <c r="E97" s="63">
        <f>'Lobby Lounge'!E74+'ADD-Mhub lounge'!E74+'Royal Court'!E74+'MP Cafe'!E74+'MP Dining'!E74+'Room Service'!E74+Banquet!E75+Minibar!E62+STW!E50+'Main Kitchen'!E50+'F&amp;B Admin'!E50</f>
        <v>1300</v>
      </c>
      <c r="F97" s="63">
        <f>'Lobby Lounge'!F74+'ADD-Mhub lounge'!F74+'Royal Court'!F74+'MP Cafe'!F74+'MP Dining'!F74+'Room Service'!F74+Banquet!F75+Minibar!F62+STW!F50+'Main Kitchen'!F50+'F&amp;B Admin'!F50</f>
        <v>1300</v>
      </c>
      <c r="G97" s="63">
        <f>'Lobby Lounge'!G74+'ADD-Mhub lounge'!G74+'Royal Court'!G74+'MP Cafe'!G74+'MP Dining'!G74+'Room Service'!G74+Banquet!G75+Minibar!G62+STW!G50+'Main Kitchen'!G50+'F&amp;B Admin'!G50</f>
        <v>1300</v>
      </c>
      <c r="H97" s="63">
        <f>'Lobby Lounge'!H74+'ADD-Mhub lounge'!H74+'Royal Court'!H74+'MP Cafe'!H74+'MP Dining'!H74+'Room Service'!H74+Banquet!H75+Minibar!H62+STW!H50+'Main Kitchen'!H50+'F&amp;B Admin'!H50</f>
        <v>1300</v>
      </c>
      <c r="I97" s="63">
        <f>'Lobby Lounge'!I74+'ADD-Mhub lounge'!I74+'Royal Court'!I74+'MP Cafe'!I74+'MP Dining'!I74+'Room Service'!I74+Banquet!I75+Minibar!I62+STW!I50+'Main Kitchen'!I50+'F&amp;B Admin'!I50</f>
        <v>1300</v>
      </c>
      <c r="J97" s="63">
        <f>'Lobby Lounge'!J74+'ADD-Mhub lounge'!J74+'Royal Court'!J74+'MP Cafe'!J74+'MP Dining'!J74+'Room Service'!J74+Banquet!J75+Minibar!J62+STW!J50+'Main Kitchen'!J50+'F&amp;B Admin'!J50</f>
        <v>1300</v>
      </c>
      <c r="K97" s="63">
        <f>'Lobby Lounge'!K74+'ADD-Mhub lounge'!K74+'Royal Court'!K74+'MP Cafe'!K74+'MP Dining'!K74+'Room Service'!K74+Banquet!K75+Minibar!K62+STW!K50+'Main Kitchen'!K50+'F&amp;B Admin'!K50</f>
        <v>1300</v>
      </c>
      <c r="L97" s="63">
        <f>'Lobby Lounge'!L74+'ADD-Mhub lounge'!L74+'Royal Court'!L74+'MP Cafe'!L74+'MP Dining'!L74+'Room Service'!L74+Banquet!L75+Minibar!L62+STW!L50+'Main Kitchen'!L50+'F&amp;B Admin'!L50</f>
        <v>1300</v>
      </c>
      <c r="M97" s="63">
        <f>'Lobby Lounge'!M74+'ADD-Mhub lounge'!M74+'Royal Court'!M74+'MP Cafe'!M74+'MP Dining'!M74+'Room Service'!M74+Banquet!M75+Minibar!M62+STW!M50+'Main Kitchen'!M50+'F&amp;B Admin'!M50</f>
        <v>1300</v>
      </c>
      <c r="N97" s="63">
        <f>'Lobby Lounge'!N74+'ADD-Mhub lounge'!N74+'Royal Court'!N74+'MP Cafe'!N74+'MP Dining'!N74+'Room Service'!N74+Banquet!N75+Minibar!N62+STW!N50+'Main Kitchen'!N50+'F&amp;B Admin'!N50</f>
        <v>1300</v>
      </c>
      <c r="O97" s="63">
        <f>'Lobby Lounge'!O74+'ADD-Mhub lounge'!O74+'Royal Court'!O74+'MP Cafe'!O74+'MP Dining'!O74+'Room Service'!O74+Banquet!O75+Minibar!O62+STW!O50+'Main Kitchen'!O50+'F&amp;B Admin'!O50</f>
        <v>1300</v>
      </c>
      <c r="P97" s="63">
        <f>'Lobby Lounge'!P74+'ADD-Mhub lounge'!P74+'Royal Court'!P74+'MP Cafe'!P74+'MP Dining'!P74+'Room Service'!P74+Banquet!P75+Minibar!P62+STW!P50+'Main Kitchen'!P50+'F&amp;B Admin'!P50</f>
        <v>1300</v>
      </c>
      <c r="Q97" s="142">
        <f t="shared" si="11"/>
        <v>15600</v>
      </c>
      <c r="R97" s="142">
        <v>147149.26999999999</v>
      </c>
      <c r="S97" s="142">
        <f t="shared" si="12"/>
        <v>0.17913159687662819</v>
      </c>
      <c r="U97" s="157"/>
      <c r="V97" s="40" t="e">
        <f t="shared" si="13"/>
        <v>#DIV/0!</v>
      </c>
    </row>
    <row r="98" spans="1:22" s="84" customFormat="1" ht="24.95" hidden="1" customHeight="1">
      <c r="A98" s="3" t="s">
        <v>212</v>
      </c>
      <c r="B98" s="3" t="s">
        <v>415</v>
      </c>
      <c r="C98" s="3"/>
      <c r="D98" s="26" t="s">
        <v>213</v>
      </c>
      <c r="E98" s="63">
        <f>'Lobby Lounge'!E75+'ADD-Mhub lounge'!E75+'Royal Court'!E75+'MP Cafe'!E75+'MP Dining'!E75+'Room Service'!E75+Banquet!E76+Minibar!E63+STW!E51+'Main Kitchen'!E51+'F&amp;B Admin'!E51</f>
        <v>0</v>
      </c>
      <c r="F98" s="63">
        <f>'Lobby Lounge'!F75+'ADD-Mhub lounge'!F75+'Royal Court'!F75+'MP Cafe'!F75+'MP Dining'!F75+'Room Service'!F75+Banquet!F76+Minibar!F63+STW!F51+'Main Kitchen'!F51+'F&amp;B Admin'!F51</f>
        <v>0</v>
      </c>
      <c r="G98" s="63">
        <f>'Lobby Lounge'!G75+'ADD-Mhub lounge'!G75+'Royal Court'!G75+'MP Cafe'!G75+'MP Dining'!G75+'Room Service'!G75+Banquet!G76+Minibar!G63+STW!G51+'Main Kitchen'!G51+'F&amp;B Admin'!G51</f>
        <v>0</v>
      </c>
      <c r="H98" s="63">
        <f>'Lobby Lounge'!H75+'ADD-Mhub lounge'!H75+'Royal Court'!H75+'MP Cafe'!H75+'MP Dining'!H75+'Room Service'!H75+Banquet!H76+Minibar!H63+STW!H51+'Main Kitchen'!H51+'F&amp;B Admin'!H51</f>
        <v>0</v>
      </c>
      <c r="I98" s="63">
        <f>'Lobby Lounge'!I75+'ADD-Mhub lounge'!I75+'Royal Court'!I75+'MP Cafe'!I75+'MP Dining'!I75+'Room Service'!I75+Banquet!I76+Minibar!I63+STW!I51+'Main Kitchen'!I51+'F&amp;B Admin'!I51</f>
        <v>0</v>
      </c>
      <c r="J98" s="63">
        <f>'Lobby Lounge'!J75+'ADD-Mhub lounge'!J75+'Royal Court'!J75+'MP Cafe'!J75+'MP Dining'!J75+'Room Service'!J75+Banquet!J76+Minibar!J63+STW!J51+'Main Kitchen'!J51+'F&amp;B Admin'!J51</f>
        <v>0</v>
      </c>
      <c r="K98" s="63">
        <f>'Lobby Lounge'!K75+'ADD-Mhub lounge'!K75+'Royal Court'!K75+'MP Cafe'!K75+'MP Dining'!K75+'Room Service'!K75+Banquet!K76+Minibar!K63+STW!K51+'Main Kitchen'!K51+'F&amp;B Admin'!K51</f>
        <v>0</v>
      </c>
      <c r="L98" s="63">
        <f>'Lobby Lounge'!L75+'ADD-Mhub lounge'!L75+'Royal Court'!L75+'MP Cafe'!L75+'MP Dining'!L75+'Room Service'!L75+Banquet!L76+Minibar!L63+STW!L51+'Main Kitchen'!L51+'F&amp;B Admin'!L51</f>
        <v>0</v>
      </c>
      <c r="M98" s="63">
        <f>'Lobby Lounge'!M75+'ADD-Mhub lounge'!M75+'Royal Court'!M75+'MP Cafe'!M75+'MP Dining'!M75+'Room Service'!M75+Banquet!M76+Minibar!M63+STW!M51+'Main Kitchen'!M51+'F&amp;B Admin'!M51</f>
        <v>0</v>
      </c>
      <c r="N98" s="63">
        <f>'Lobby Lounge'!N75+'ADD-Mhub lounge'!N75+'Royal Court'!N75+'MP Cafe'!N75+'MP Dining'!N75+'Room Service'!N75+Banquet!N76+Minibar!N63+STW!N51+'Main Kitchen'!N51+'F&amp;B Admin'!N51</f>
        <v>0</v>
      </c>
      <c r="O98" s="63">
        <f>'Lobby Lounge'!O75+'ADD-Mhub lounge'!O75+'Royal Court'!O75+'MP Cafe'!O75+'MP Dining'!O75+'Room Service'!O75+Banquet!O76+Minibar!O63+STW!O51+'Main Kitchen'!O51+'F&amp;B Admin'!O51</f>
        <v>0</v>
      </c>
      <c r="P98" s="63">
        <f>'Lobby Lounge'!P75+'ADD-Mhub lounge'!P75+'Royal Court'!P75+'MP Cafe'!P75+'MP Dining'!P75+'Room Service'!P75+Banquet!P76+Minibar!P63+STW!P51+'Main Kitchen'!P51+'F&amp;B Admin'!P51</f>
        <v>0</v>
      </c>
      <c r="Q98" s="142">
        <f t="shared" si="11"/>
        <v>0</v>
      </c>
      <c r="R98" s="142">
        <v>113805.24</v>
      </c>
      <c r="S98" s="142">
        <f t="shared" si="12"/>
        <v>0</v>
      </c>
      <c r="U98" s="157"/>
      <c r="V98" s="40">
        <f t="shared" si="13"/>
        <v>0</v>
      </c>
    </row>
    <row r="99" spans="1:22" s="84" customFormat="1" ht="24.95" hidden="1" customHeight="1">
      <c r="A99" s="3" t="s">
        <v>214</v>
      </c>
      <c r="B99" s="3" t="s">
        <v>415</v>
      </c>
      <c r="C99" s="3"/>
      <c r="D99" s="26" t="s">
        <v>215</v>
      </c>
      <c r="E99" s="63">
        <f>'Lobby Lounge'!E76+'ADD-Mhub lounge'!E76+'Royal Court'!E76+'MP Cafe'!E76+'MP Dining'!E76+'Room Service'!E76+Banquet!E77+Minibar!E64+STW!E52+'Main Kitchen'!E52+'F&amp;B Admin'!E52</f>
        <v>0</v>
      </c>
      <c r="F99" s="63">
        <f>'Lobby Lounge'!F76+'ADD-Mhub lounge'!F76+'Royal Court'!F76+'MP Cafe'!F76+'MP Dining'!F76+'Room Service'!F76+Banquet!F77+Minibar!F64+STW!F52+'Main Kitchen'!F52+'F&amp;B Admin'!F52</f>
        <v>0</v>
      </c>
      <c r="G99" s="63">
        <f>'Lobby Lounge'!G76+'ADD-Mhub lounge'!G76+'Royal Court'!G76+'MP Cafe'!G76+'MP Dining'!G76+'Room Service'!G76+Banquet!G77+Minibar!G64+STW!G52+'Main Kitchen'!G52+'F&amp;B Admin'!G52</f>
        <v>0</v>
      </c>
      <c r="H99" s="63">
        <f>'Lobby Lounge'!H76+'ADD-Mhub lounge'!H76+'Royal Court'!H76+'MP Cafe'!H76+'MP Dining'!H76+'Room Service'!H76+Banquet!H77+Minibar!H64+STW!H52+'Main Kitchen'!H52+'F&amp;B Admin'!H52</f>
        <v>0</v>
      </c>
      <c r="I99" s="63">
        <f>'Lobby Lounge'!I76+'ADD-Mhub lounge'!I76+'Royal Court'!I76+'MP Cafe'!I76+'MP Dining'!I76+'Room Service'!I76+Banquet!I77+Minibar!I64+STW!I52+'Main Kitchen'!I52+'F&amp;B Admin'!I52</f>
        <v>0</v>
      </c>
      <c r="J99" s="63">
        <f>'Lobby Lounge'!J76+'ADD-Mhub lounge'!J76+'Royal Court'!J76+'MP Cafe'!J76+'MP Dining'!J76+'Room Service'!J76+Banquet!J77+Minibar!J64+STW!J52+'Main Kitchen'!J52+'F&amp;B Admin'!J52</f>
        <v>0</v>
      </c>
      <c r="K99" s="63">
        <f>'Lobby Lounge'!K76+'ADD-Mhub lounge'!K76+'Royal Court'!K76+'MP Cafe'!K76+'MP Dining'!K76+'Room Service'!K76+Banquet!K77+Minibar!K64+STW!K52+'Main Kitchen'!K52+'F&amp;B Admin'!K52</f>
        <v>0</v>
      </c>
      <c r="L99" s="63">
        <f>'Lobby Lounge'!L76+'ADD-Mhub lounge'!L76+'Royal Court'!L76+'MP Cafe'!L76+'MP Dining'!L76+'Room Service'!L76+Banquet!L77+Minibar!L64+STW!L52+'Main Kitchen'!L52+'F&amp;B Admin'!L52</f>
        <v>0</v>
      </c>
      <c r="M99" s="63">
        <f>'Lobby Lounge'!M76+'ADD-Mhub lounge'!M76+'Royal Court'!M76+'MP Cafe'!M76+'MP Dining'!M76+'Room Service'!M76+Banquet!M77+Minibar!M64+STW!M52+'Main Kitchen'!M52+'F&amp;B Admin'!M52</f>
        <v>0</v>
      </c>
      <c r="N99" s="63">
        <f>'Lobby Lounge'!N76+'ADD-Mhub lounge'!N76+'Royal Court'!N76+'MP Cafe'!N76+'MP Dining'!N76+'Room Service'!N76+Banquet!N77+Minibar!N64+STW!N52+'Main Kitchen'!N52+'F&amp;B Admin'!N52</f>
        <v>0</v>
      </c>
      <c r="O99" s="63">
        <f>'Lobby Lounge'!O76+'ADD-Mhub lounge'!O76+'Royal Court'!O76+'MP Cafe'!O76+'MP Dining'!O76+'Room Service'!O76+Banquet!O77+Minibar!O64+STW!O52+'Main Kitchen'!O52+'F&amp;B Admin'!O52</f>
        <v>0</v>
      </c>
      <c r="P99" s="63">
        <f>'Lobby Lounge'!P76+'ADD-Mhub lounge'!P76+'Royal Court'!P76+'MP Cafe'!P76+'MP Dining'!P76+'Room Service'!P76+Banquet!P77+Minibar!P64+STW!P52+'Main Kitchen'!P52+'F&amp;B Admin'!P52</f>
        <v>0</v>
      </c>
      <c r="Q99" s="142">
        <f t="shared" si="11"/>
        <v>0</v>
      </c>
      <c r="R99" s="142">
        <v>46847.13</v>
      </c>
      <c r="S99" s="142">
        <f t="shared" si="12"/>
        <v>0</v>
      </c>
      <c r="U99" s="157"/>
      <c r="V99" s="40"/>
    </row>
    <row r="100" spans="1:22" s="84" customFormat="1" ht="24.95" customHeight="1">
      <c r="A100" s="3" t="s">
        <v>216</v>
      </c>
      <c r="B100" s="3" t="s">
        <v>415</v>
      </c>
      <c r="C100" s="3"/>
      <c r="D100" s="26" t="s">
        <v>217</v>
      </c>
      <c r="E100" s="63">
        <f>'Lobby Lounge'!E77+'ADD-Mhub lounge'!E77+'Royal Court'!E77+'MP Cafe'!E77+'MP Dining'!E77+'Room Service'!E77+Banquet!E78+Minibar!E65+STW!E53+'Main Kitchen'!E53+'F&amp;B Admin'!E53</f>
        <v>2000</v>
      </c>
      <c r="F100" s="63">
        <f>'Lobby Lounge'!F77+'ADD-Mhub lounge'!F77+'Royal Court'!F77+'MP Cafe'!F77+'MP Dining'!F77+'Room Service'!F77+Banquet!F78+Minibar!F65+STW!F53+'Main Kitchen'!F53+'F&amp;B Admin'!F53</f>
        <v>1000</v>
      </c>
      <c r="G100" s="63">
        <f>'Lobby Lounge'!G77+'ADD-Mhub lounge'!G77+'Royal Court'!G77+'MP Cafe'!G77+'MP Dining'!G77+'Room Service'!G77+Banquet!G78+Minibar!G65+STW!G53+'Main Kitchen'!G53+'F&amp;B Admin'!G53</f>
        <v>1500</v>
      </c>
      <c r="H100" s="63">
        <f>'Lobby Lounge'!H77+'ADD-Mhub lounge'!H77+'Royal Court'!H77+'MP Cafe'!H77+'MP Dining'!H77+'Room Service'!H77+Banquet!H78+Minibar!H65+STW!H53+'Main Kitchen'!H53+'F&amp;B Admin'!H53</f>
        <v>1500</v>
      </c>
      <c r="I100" s="63">
        <f>'Lobby Lounge'!I77+'ADD-Mhub lounge'!I77+'Royal Court'!I77+'MP Cafe'!I77+'MP Dining'!I77+'Room Service'!I77+Banquet!I78+Minibar!I65+STW!I53+'Main Kitchen'!I53+'F&amp;B Admin'!I53</f>
        <v>1500</v>
      </c>
      <c r="J100" s="63">
        <f>'Lobby Lounge'!J77+'ADD-Mhub lounge'!J77+'Royal Court'!J77+'MP Cafe'!J77+'MP Dining'!J77+'Room Service'!J77+Banquet!J78+Minibar!J65+STW!J53+'Main Kitchen'!J53+'F&amp;B Admin'!J53</f>
        <v>1500</v>
      </c>
      <c r="K100" s="63">
        <f>'Lobby Lounge'!K77+'ADD-Mhub lounge'!K77+'Royal Court'!K77+'MP Cafe'!K77+'MP Dining'!K77+'Room Service'!K77+Banquet!K78+Minibar!K65+STW!K53+'Main Kitchen'!K53+'F&amp;B Admin'!K53</f>
        <v>1500</v>
      </c>
      <c r="L100" s="63">
        <f>'Lobby Lounge'!L77+'ADD-Mhub lounge'!L77+'Royal Court'!L77+'MP Cafe'!L77+'MP Dining'!L77+'Room Service'!L77+Banquet!L78+Minibar!L65+STW!L53+'Main Kitchen'!L53+'F&amp;B Admin'!L53</f>
        <v>1500</v>
      </c>
      <c r="M100" s="63">
        <f>'Lobby Lounge'!M77+'ADD-Mhub lounge'!M77+'Royal Court'!M77+'MP Cafe'!M77+'MP Dining'!M77+'Room Service'!M77+Banquet!M78+Minibar!M65+STW!M53+'Main Kitchen'!M53+'F&amp;B Admin'!M53</f>
        <v>1500</v>
      </c>
      <c r="N100" s="63">
        <f>'Lobby Lounge'!N77+'ADD-Mhub lounge'!N77+'Royal Court'!N77+'MP Cafe'!N77+'MP Dining'!N77+'Room Service'!N77+Banquet!N78+Minibar!N65+STW!N53+'Main Kitchen'!N53+'F&amp;B Admin'!N53</f>
        <v>1500</v>
      </c>
      <c r="O100" s="63">
        <f>'Lobby Lounge'!O77+'ADD-Mhub lounge'!O77+'Royal Court'!O77+'MP Cafe'!O77+'MP Dining'!O77+'Room Service'!O77+Banquet!O78+Minibar!O65+STW!O53+'Main Kitchen'!O53+'F&amp;B Admin'!O53</f>
        <v>1500</v>
      </c>
      <c r="P100" s="63">
        <f>'Lobby Lounge'!P77+'ADD-Mhub lounge'!P77+'Royal Court'!P77+'MP Cafe'!P77+'MP Dining'!P77+'Room Service'!P77+Banquet!P78+Minibar!P65+STW!P53+'Main Kitchen'!P53+'F&amp;B Admin'!P53</f>
        <v>1500</v>
      </c>
      <c r="Q100" s="142">
        <f t="shared" si="11"/>
        <v>18000</v>
      </c>
      <c r="R100" s="142">
        <v>41866.32</v>
      </c>
      <c r="S100" s="142">
        <f t="shared" si="12"/>
        <v>0.20669030408841715</v>
      </c>
      <c r="U100" s="157"/>
      <c r="V100" s="40" t="e">
        <f t="shared" si="13"/>
        <v>#DIV/0!</v>
      </c>
    </row>
    <row r="101" spans="1:22" s="84" customFormat="1" ht="24.75" hidden="1" customHeight="1">
      <c r="A101" s="3" t="s">
        <v>218</v>
      </c>
      <c r="B101" s="3" t="s">
        <v>415</v>
      </c>
      <c r="C101" s="3"/>
      <c r="D101" s="26" t="s">
        <v>219</v>
      </c>
      <c r="E101" s="63">
        <f>'Lobby Lounge'!E78+'ADD-Mhub lounge'!E78+'Royal Court'!E78+'MP Cafe'!E78+'MP Dining'!E78+'Room Service'!E78+Banquet!E79+Minibar!E66+STW!E54+'Main Kitchen'!E54+'F&amp;B Admin'!E54</f>
        <v>0</v>
      </c>
      <c r="F101" s="63">
        <f>'Lobby Lounge'!F78+'ADD-Mhub lounge'!F78+'Royal Court'!F78+'MP Cafe'!F78+'MP Dining'!F78+'Room Service'!F78+Banquet!F79+Minibar!F66+STW!F54+'Main Kitchen'!F54+'F&amp;B Admin'!F54</f>
        <v>0</v>
      </c>
      <c r="G101" s="63">
        <f>'Lobby Lounge'!G78+'ADD-Mhub lounge'!G78+'Royal Court'!G78+'MP Cafe'!G78+'MP Dining'!G78+'Room Service'!G78+Banquet!G79+Minibar!G66+STW!G54+'Main Kitchen'!G54+'F&amp;B Admin'!G54</f>
        <v>0</v>
      </c>
      <c r="H101" s="63">
        <f>'Lobby Lounge'!H78+'ADD-Mhub lounge'!H78+'Royal Court'!H78+'MP Cafe'!H78+'MP Dining'!H78+'Room Service'!H78+Banquet!H79+Minibar!H66+STW!H54+'Main Kitchen'!H54+'F&amp;B Admin'!H54</f>
        <v>0</v>
      </c>
      <c r="I101" s="63">
        <f>'Lobby Lounge'!I78+'ADD-Mhub lounge'!I78+'Royal Court'!I78+'MP Cafe'!I78+'MP Dining'!I78+'Room Service'!I78+Banquet!I79+Minibar!I66+STW!I54+'Main Kitchen'!I54+'F&amp;B Admin'!I54</f>
        <v>0</v>
      </c>
      <c r="J101" s="63">
        <f>'Lobby Lounge'!J78+'ADD-Mhub lounge'!J78+'Royal Court'!J78+'MP Cafe'!J78+'MP Dining'!J78+'Room Service'!J78+Banquet!J79+Minibar!J66+STW!J54+'Main Kitchen'!J54+'F&amp;B Admin'!J54</f>
        <v>0</v>
      </c>
      <c r="K101" s="63">
        <f>'Lobby Lounge'!K78+'ADD-Mhub lounge'!K78+'Royal Court'!K78+'MP Cafe'!K78+'MP Dining'!K78+'Room Service'!K78+Banquet!K79+Minibar!K66+STW!K54+'Main Kitchen'!K54+'F&amp;B Admin'!K54</f>
        <v>0</v>
      </c>
      <c r="L101" s="63">
        <f>'Lobby Lounge'!L78+'ADD-Mhub lounge'!L78+'Royal Court'!L78+'MP Cafe'!L78+'MP Dining'!L78+'Room Service'!L78+Banquet!L79+Minibar!L66+STW!L54+'Main Kitchen'!L54+'F&amp;B Admin'!L54</f>
        <v>0</v>
      </c>
      <c r="M101" s="63">
        <f>'Lobby Lounge'!M78+'ADD-Mhub lounge'!M78+'Royal Court'!M78+'MP Cafe'!M78+'MP Dining'!M78+'Room Service'!M78+Banquet!M79+Minibar!M66+STW!M54+'Main Kitchen'!M54+'F&amp;B Admin'!M54</f>
        <v>0</v>
      </c>
      <c r="N101" s="63">
        <f>'Lobby Lounge'!N78+'ADD-Mhub lounge'!N78+'Royal Court'!N78+'MP Cafe'!N78+'MP Dining'!N78+'Room Service'!N78+Banquet!N79+Minibar!N66+STW!N54+'Main Kitchen'!N54+'F&amp;B Admin'!N54</f>
        <v>0</v>
      </c>
      <c r="O101" s="63">
        <f>'Lobby Lounge'!O78+'ADD-Mhub lounge'!O78+'Royal Court'!O78+'MP Cafe'!O78+'MP Dining'!O78+'Room Service'!O78+Banquet!O79+Minibar!O66+STW!O54+'Main Kitchen'!O54+'F&amp;B Admin'!O54</f>
        <v>0</v>
      </c>
      <c r="P101" s="63">
        <f>'Lobby Lounge'!P78+'ADD-Mhub lounge'!P78+'Royal Court'!P78+'MP Cafe'!P78+'MP Dining'!P78+'Room Service'!P78+Banquet!P79+Minibar!P66+STW!P54+'Main Kitchen'!P54+'F&amp;B Admin'!P54</f>
        <v>0</v>
      </c>
      <c r="Q101" s="142">
        <f t="shared" si="11"/>
        <v>0</v>
      </c>
      <c r="R101" s="142">
        <v>10867.18</v>
      </c>
      <c r="S101" s="142">
        <f t="shared" si="12"/>
        <v>0</v>
      </c>
      <c r="U101" s="157"/>
      <c r="V101" s="40">
        <f t="shared" si="13"/>
        <v>0</v>
      </c>
    </row>
    <row r="102" spans="1:22" s="84" customFormat="1" ht="24.6" hidden="1" customHeight="1">
      <c r="A102" s="3" t="s">
        <v>220</v>
      </c>
      <c r="B102" s="3" t="s">
        <v>415</v>
      </c>
      <c r="C102" s="3"/>
      <c r="D102" s="26" t="s">
        <v>221</v>
      </c>
      <c r="E102" s="63">
        <f>'Lobby Lounge'!E79+'ADD-Mhub lounge'!E79+'Royal Court'!E79+'MP Cafe'!E79+'MP Dining'!E79+'Room Service'!E79+Banquet!E80+Minibar!E67+STW!E55+'Main Kitchen'!E55+'F&amp;B Admin'!E55</f>
        <v>0</v>
      </c>
      <c r="F102" s="63">
        <f>'Lobby Lounge'!F79+'ADD-Mhub lounge'!F79+'Royal Court'!F79+'MP Cafe'!F79+'MP Dining'!F79+'Room Service'!F79+Banquet!F80+Minibar!F67+STW!F55+'Main Kitchen'!F55+'F&amp;B Admin'!F55</f>
        <v>0</v>
      </c>
      <c r="G102" s="63">
        <f>'Lobby Lounge'!G79+'ADD-Mhub lounge'!G79+'Royal Court'!G79+'MP Cafe'!G79+'MP Dining'!G79+'Room Service'!G79+Banquet!G80+Minibar!G67+STW!G55+'Main Kitchen'!G55+'F&amp;B Admin'!G55</f>
        <v>0</v>
      </c>
      <c r="H102" s="63">
        <f>'Lobby Lounge'!H79+'ADD-Mhub lounge'!H79+'Royal Court'!H79+'MP Cafe'!H79+'MP Dining'!H79+'Room Service'!H79+Banquet!H80+Minibar!H67+STW!H55+'Main Kitchen'!H55+'F&amp;B Admin'!H55</f>
        <v>0</v>
      </c>
      <c r="I102" s="63">
        <f>'Lobby Lounge'!I79+'ADD-Mhub lounge'!I79+'Royal Court'!I79+'MP Cafe'!I79+'MP Dining'!I79+'Room Service'!I79+Banquet!I80+Minibar!I67+STW!I55+'Main Kitchen'!I55+'F&amp;B Admin'!I55</f>
        <v>0</v>
      </c>
      <c r="J102" s="63">
        <f>'Lobby Lounge'!J79+'ADD-Mhub lounge'!J79+'Royal Court'!J79+'MP Cafe'!J79+'MP Dining'!J79+'Room Service'!J79+Banquet!J80+Minibar!J67+STW!J55+'Main Kitchen'!J55+'F&amp;B Admin'!J55</f>
        <v>0</v>
      </c>
      <c r="K102" s="63">
        <f>'Lobby Lounge'!K79+'ADD-Mhub lounge'!K79+'Royal Court'!K79+'MP Cafe'!K79+'MP Dining'!K79+'Room Service'!K79+Banquet!K80+Minibar!K67+STW!K55+'Main Kitchen'!K55+'F&amp;B Admin'!K55</f>
        <v>0</v>
      </c>
      <c r="L102" s="63">
        <f>'Lobby Lounge'!L79+'ADD-Mhub lounge'!L79+'Royal Court'!L79+'MP Cafe'!L79+'MP Dining'!L79+'Room Service'!L79+Banquet!L80+Minibar!L67+STW!L55+'Main Kitchen'!L55+'F&amp;B Admin'!L55</f>
        <v>0</v>
      </c>
      <c r="M102" s="63">
        <f>'Lobby Lounge'!M79+'ADD-Mhub lounge'!M79+'Royal Court'!M79+'MP Cafe'!M79+'MP Dining'!M79+'Room Service'!M79+Banquet!M80+Minibar!M67+STW!M55+'Main Kitchen'!M55+'F&amp;B Admin'!M55</f>
        <v>0</v>
      </c>
      <c r="N102" s="63">
        <f>'Lobby Lounge'!N79+'ADD-Mhub lounge'!N79+'Royal Court'!N79+'MP Cafe'!N79+'MP Dining'!N79+'Room Service'!N79+Banquet!N80+Minibar!N67+STW!N55+'Main Kitchen'!N55+'F&amp;B Admin'!N55</f>
        <v>0</v>
      </c>
      <c r="O102" s="63">
        <f>'Lobby Lounge'!O79+'ADD-Mhub lounge'!O79+'Royal Court'!O79+'MP Cafe'!O79+'MP Dining'!O79+'Room Service'!O79+Banquet!O80+Minibar!O67+STW!O55+'Main Kitchen'!O55+'F&amp;B Admin'!O55</f>
        <v>0</v>
      </c>
      <c r="P102" s="63">
        <f>'Lobby Lounge'!P79+'ADD-Mhub lounge'!P79+'Royal Court'!P79+'MP Cafe'!P79+'MP Dining'!P79+'Room Service'!P79+Banquet!P80+Minibar!P67+STW!P55+'Main Kitchen'!P55+'F&amp;B Admin'!P55</f>
        <v>0</v>
      </c>
      <c r="Q102" s="142">
        <f t="shared" si="11"/>
        <v>0</v>
      </c>
      <c r="R102" s="142">
        <v>0</v>
      </c>
      <c r="S102" s="142">
        <f t="shared" si="12"/>
        <v>0</v>
      </c>
      <c r="U102" s="157"/>
      <c r="V102" s="40">
        <f t="shared" si="13"/>
        <v>0</v>
      </c>
    </row>
    <row r="103" spans="1:22" s="84" customFormat="1" ht="24.95" customHeight="1">
      <c r="A103" s="3" t="s">
        <v>222</v>
      </c>
      <c r="B103" s="3" t="s">
        <v>415</v>
      </c>
      <c r="C103" s="3"/>
      <c r="D103" s="26" t="s">
        <v>223</v>
      </c>
      <c r="E103" s="63">
        <f>'Lobby Lounge'!E80+'ADD-Mhub lounge'!E80+'Royal Court'!E80+'MP Cafe'!E80+'MP Dining'!E80+'Room Service'!E80+Banquet!E81+Minibar!E68+STW!E56+'Main Kitchen'!E56+'F&amp;B Admin'!E56</f>
        <v>4500</v>
      </c>
      <c r="F103" s="63">
        <f>'Lobby Lounge'!F80+'ADD-Mhub lounge'!F80+'Royal Court'!F80+'MP Cafe'!F80+'MP Dining'!F80+'Room Service'!F80+Banquet!F81+Minibar!F68+STW!F56+'Main Kitchen'!F56+'F&amp;B Admin'!F56</f>
        <v>0</v>
      </c>
      <c r="G103" s="63">
        <f>'Lobby Lounge'!G80+'ADD-Mhub lounge'!G80+'Royal Court'!G80+'MP Cafe'!G80+'MP Dining'!G80+'Room Service'!G80+Banquet!G81+Minibar!G68+STW!G56+'Main Kitchen'!G56+'F&amp;B Admin'!G56</f>
        <v>0</v>
      </c>
      <c r="H103" s="63">
        <f>'Lobby Lounge'!H80+'ADD-Mhub lounge'!H80+'Royal Court'!H80+'MP Cafe'!H80+'MP Dining'!H80+'Room Service'!H80+Banquet!H81+Minibar!H68+STW!H56+'Main Kitchen'!H56+'F&amp;B Admin'!H56</f>
        <v>4500</v>
      </c>
      <c r="I103" s="63">
        <f>'Lobby Lounge'!I80+'ADD-Mhub lounge'!I80+'Royal Court'!I80+'MP Cafe'!I80+'MP Dining'!I80+'Room Service'!I80+Banquet!I81+Minibar!I68+STW!I56+'Main Kitchen'!I56+'F&amp;B Admin'!I56</f>
        <v>4500</v>
      </c>
      <c r="J103" s="63">
        <f>'Lobby Lounge'!J80+'ADD-Mhub lounge'!J80+'Royal Court'!J80+'MP Cafe'!J80+'MP Dining'!J80+'Room Service'!J80+Banquet!J81+Minibar!J68+STW!J56+'Main Kitchen'!J56+'F&amp;B Admin'!J56</f>
        <v>0</v>
      </c>
      <c r="K103" s="63">
        <f>'Lobby Lounge'!K80+'ADD-Mhub lounge'!K80+'Royal Court'!K80+'MP Cafe'!K80+'MP Dining'!K80+'Room Service'!K80+Banquet!K81+Minibar!K68+STW!K56+'Main Kitchen'!K56+'F&amp;B Admin'!K56</f>
        <v>4500</v>
      </c>
      <c r="L103" s="63">
        <f>'Lobby Lounge'!L80+'ADD-Mhub lounge'!L80+'Royal Court'!L80+'MP Cafe'!L80+'MP Dining'!L80+'Room Service'!L80+Banquet!L81+Minibar!L68+STW!L56+'Main Kitchen'!L56+'F&amp;B Admin'!L56</f>
        <v>0</v>
      </c>
      <c r="M103" s="63">
        <f>'Lobby Lounge'!M80+'ADD-Mhub lounge'!M80+'Royal Court'!M80+'MP Cafe'!M80+'MP Dining'!M80+'Room Service'!M80+Banquet!M81+Minibar!M68+STW!M56+'Main Kitchen'!M56+'F&amp;B Admin'!M56</f>
        <v>4500</v>
      </c>
      <c r="N103" s="63">
        <f>'Lobby Lounge'!N80+'ADD-Mhub lounge'!N80+'Royal Court'!N80+'MP Cafe'!N80+'MP Dining'!N80+'Room Service'!N80+Banquet!N81+Minibar!N68+STW!N56+'Main Kitchen'!N56+'F&amp;B Admin'!N56</f>
        <v>0</v>
      </c>
      <c r="O103" s="63">
        <f>'Lobby Lounge'!O80+'ADD-Mhub lounge'!O80+'Royal Court'!O80+'MP Cafe'!O80+'MP Dining'!O80+'Room Service'!O80+Banquet!O81+Minibar!O68+STW!O56+'Main Kitchen'!O56+'F&amp;B Admin'!O56</f>
        <v>4500</v>
      </c>
      <c r="P103" s="63">
        <f>'Lobby Lounge'!P80+'ADD-Mhub lounge'!P80+'Royal Court'!P80+'MP Cafe'!P80+'MP Dining'!P80+'Room Service'!P80+Banquet!P81+Minibar!P68+STW!P56+'Main Kitchen'!P56+'F&amp;B Admin'!P56</f>
        <v>0</v>
      </c>
      <c r="Q103" s="142">
        <f t="shared" si="11"/>
        <v>27000</v>
      </c>
      <c r="R103" s="142">
        <v>0</v>
      </c>
      <c r="S103" s="142">
        <f t="shared" si="12"/>
        <v>0.31003545613262573</v>
      </c>
      <c r="U103" s="157"/>
      <c r="V103" s="40" t="e">
        <f t="shared" si="13"/>
        <v>#DIV/0!</v>
      </c>
    </row>
    <row r="104" spans="1:22" s="84" customFormat="1" ht="24.95" hidden="1" customHeight="1">
      <c r="A104" s="3" t="s">
        <v>224</v>
      </c>
      <c r="B104" s="3" t="s">
        <v>415</v>
      </c>
      <c r="C104" s="3"/>
      <c r="D104" s="26" t="s">
        <v>225</v>
      </c>
      <c r="E104" s="63">
        <f>'Lobby Lounge'!E81+'ADD-Mhub lounge'!E81+'Royal Court'!E81+'MP Cafe'!E81+'MP Dining'!E81+'Room Service'!E81+Banquet!E82+Minibar!E69+STW!E57+'Main Kitchen'!E57+'F&amp;B Admin'!E57</f>
        <v>0</v>
      </c>
      <c r="F104" s="63">
        <f>'Lobby Lounge'!F81+'ADD-Mhub lounge'!F81+'Royal Court'!F81+'MP Cafe'!F81+'MP Dining'!F81+'Room Service'!F81+Banquet!F82+Minibar!F69+STW!F57+'Main Kitchen'!F57+'F&amp;B Admin'!F57</f>
        <v>0</v>
      </c>
      <c r="G104" s="63">
        <f>'Lobby Lounge'!G81+'ADD-Mhub lounge'!G81+'Royal Court'!G81+'MP Cafe'!G81+'MP Dining'!G81+'Room Service'!G81+Banquet!G82+Minibar!G69+STW!G57+'Main Kitchen'!G57+'F&amp;B Admin'!G57</f>
        <v>0</v>
      </c>
      <c r="H104" s="63">
        <f>'Lobby Lounge'!H81+'ADD-Mhub lounge'!H81+'Royal Court'!H81+'MP Cafe'!H81+'MP Dining'!H81+'Room Service'!H81+Banquet!H82+Minibar!H69+STW!H57+'Main Kitchen'!H57+'F&amp;B Admin'!H57</f>
        <v>0</v>
      </c>
      <c r="I104" s="63">
        <f>'Lobby Lounge'!I81+'ADD-Mhub lounge'!I81+'Royal Court'!I81+'MP Cafe'!I81+'MP Dining'!I81+'Room Service'!I81+Banquet!I82+Minibar!I69+STW!I57+'Main Kitchen'!I57+'F&amp;B Admin'!I57</f>
        <v>0</v>
      </c>
      <c r="J104" s="63">
        <f>'Lobby Lounge'!J81+'ADD-Mhub lounge'!J81+'Royal Court'!J81+'MP Cafe'!J81+'MP Dining'!J81+'Room Service'!J81+Banquet!J82+Minibar!J69+STW!J57+'Main Kitchen'!J57+'F&amp;B Admin'!J57</f>
        <v>0</v>
      </c>
      <c r="K104" s="63">
        <f>'Lobby Lounge'!K81+'ADD-Mhub lounge'!K81+'Royal Court'!K81+'MP Cafe'!K81+'MP Dining'!K81+'Room Service'!K81+Banquet!K82+Minibar!K69+STW!K57+'Main Kitchen'!K57+'F&amp;B Admin'!K57</f>
        <v>0</v>
      </c>
      <c r="L104" s="63">
        <f>'Lobby Lounge'!L81+'ADD-Mhub lounge'!L81+'Royal Court'!L81+'MP Cafe'!L81+'MP Dining'!L81+'Room Service'!L81+Banquet!L82+Minibar!L69+STW!L57+'Main Kitchen'!L57+'F&amp;B Admin'!L57</f>
        <v>0</v>
      </c>
      <c r="M104" s="63">
        <f>'Lobby Lounge'!M81+'ADD-Mhub lounge'!M81+'Royal Court'!M81+'MP Cafe'!M81+'MP Dining'!M81+'Room Service'!M81+Banquet!M82+Minibar!M69+STW!M57+'Main Kitchen'!M57+'F&amp;B Admin'!M57</f>
        <v>0</v>
      </c>
      <c r="N104" s="63">
        <f>'Lobby Lounge'!N81+'ADD-Mhub lounge'!N81+'Royal Court'!N81+'MP Cafe'!N81+'MP Dining'!N81+'Room Service'!N81+Banquet!N82+Minibar!N69+STW!N57+'Main Kitchen'!N57+'F&amp;B Admin'!N57</f>
        <v>0</v>
      </c>
      <c r="O104" s="63">
        <f>'Lobby Lounge'!O81+'ADD-Mhub lounge'!O81+'Royal Court'!O81+'MP Cafe'!O81+'MP Dining'!O81+'Room Service'!O81+Banquet!O82+Minibar!O69+STW!O57+'Main Kitchen'!O57+'F&amp;B Admin'!O57</f>
        <v>0</v>
      </c>
      <c r="P104" s="63">
        <f>'Lobby Lounge'!P81+'ADD-Mhub lounge'!P81+'Royal Court'!P81+'MP Cafe'!P81+'MP Dining'!P81+'Room Service'!P81+Banquet!P82+Minibar!P69+STW!P57+'Main Kitchen'!P57+'F&amp;B Admin'!P57</f>
        <v>0</v>
      </c>
      <c r="Q104" s="142">
        <f t="shared" si="11"/>
        <v>0</v>
      </c>
      <c r="R104" s="142">
        <v>0</v>
      </c>
      <c r="S104" s="142">
        <f t="shared" si="12"/>
        <v>0</v>
      </c>
      <c r="U104" s="157"/>
      <c r="V104" s="40">
        <f t="shared" si="13"/>
        <v>0</v>
      </c>
    </row>
    <row r="105" spans="1:22" s="84" customFormat="1" ht="24.95" hidden="1" customHeight="1">
      <c r="A105" s="3" t="s">
        <v>226</v>
      </c>
      <c r="B105" s="3" t="s">
        <v>415</v>
      </c>
      <c r="C105" s="3"/>
      <c r="D105" s="26" t="s">
        <v>227</v>
      </c>
      <c r="E105" s="63">
        <f>'Lobby Lounge'!E82+'ADD-Mhub lounge'!E82+'Royal Court'!E82+'MP Cafe'!E82+'MP Dining'!E82+'Room Service'!E82+Banquet!E83+Minibar!E70+STW!E58+'Main Kitchen'!E58+'F&amp;B Admin'!E58</f>
        <v>0</v>
      </c>
      <c r="F105" s="63">
        <f>'Lobby Lounge'!F82+'ADD-Mhub lounge'!F82+'Royal Court'!F82+'MP Cafe'!F82+'MP Dining'!F82+'Room Service'!F82+Banquet!F83+Minibar!F70+STW!F58+'Main Kitchen'!F58+'F&amp;B Admin'!F58</f>
        <v>0</v>
      </c>
      <c r="G105" s="63">
        <f>'Lobby Lounge'!G82+'ADD-Mhub lounge'!G82+'Royal Court'!G82+'MP Cafe'!G82+'MP Dining'!G82+'Room Service'!G82+Banquet!G83+Minibar!G70+STW!G58+'Main Kitchen'!G58+'F&amp;B Admin'!G58</f>
        <v>0</v>
      </c>
      <c r="H105" s="63">
        <f>'Lobby Lounge'!H82+'ADD-Mhub lounge'!H82+'Royal Court'!H82+'MP Cafe'!H82+'MP Dining'!H82+'Room Service'!H82+Banquet!H83+Minibar!H70+STW!H58+'Main Kitchen'!H58+'F&amp;B Admin'!H58</f>
        <v>0</v>
      </c>
      <c r="I105" s="63">
        <f>'Lobby Lounge'!I82+'ADD-Mhub lounge'!I82+'Royal Court'!I82+'MP Cafe'!I82+'MP Dining'!I82+'Room Service'!I82+Banquet!I83+Minibar!I70+STW!I58+'Main Kitchen'!I58+'F&amp;B Admin'!I58</f>
        <v>0</v>
      </c>
      <c r="J105" s="63">
        <f>'Lobby Lounge'!J82+'ADD-Mhub lounge'!J82+'Royal Court'!J82+'MP Cafe'!J82+'MP Dining'!J82+'Room Service'!J82+Banquet!J83+Minibar!J70+STW!J58+'Main Kitchen'!J58+'F&amp;B Admin'!J58</f>
        <v>0</v>
      </c>
      <c r="K105" s="63">
        <f>'Lobby Lounge'!K82+'ADD-Mhub lounge'!K82+'Royal Court'!K82+'MP Cafe'!K82+'MP Dining'!K82+'Room Service'!K82+Banquet!K83+Minibar!K70+STW!K58+'Main Kitchen'!K58+'F&amp;B Admin'!K58</f>
        <v>0</v>
      </c>
      <c r="L105" s="63">
        <f>'Lobby Lounge'!L82+'ADD-Mhub lounge'!L82+'Royal Court'!L82+'MP Cafe'!L82+'MP Dining'!L82+'Room Service'!L82+Banquet!L83+Minibar!L70+STW!L58+'Main Kitchen'!L58+'F&amp;B Admin'!L58</f>
        <v>0</v>
      </c>
      <c r="M105" s="63">
        <f>'Lobby Lounge'!M82+'ADD-Mhub lounge'!M82+'Royal Court'!M82+'MP Cafe'!M82+'MP Dining'!M82+'Room Service'!M82+Banquet!M83+Minibar!M70+STW!M58+'Main Kitchen'!M58+'F&amp;B Admin'!M58</f>
        <v>0</v>
      </c>
      <c r="N105" s="63">
        <f>'Lobby Lounge'!N82+'ADD-Mhub lounge'!N82+'Royal Court'!N82+'MP Cafe'!N82+'MP Dining'!N82+'Room Service'!N82+Banquet!N83+Minibar!N70+STW!N58+'Main Kitchen'!N58+'F&amp;B Admin'!N58</f>
        <v>0</v>
      </c>
      <c r="O105" s="63">
        <f>'Lobby Lounge'!O82+'ADD-Mhub lounge'!O82+'Royal Court'!O82+'MP Cafe'!O82+'MP Dining'!O82+'Room Service'!O82+Banquet!O83+Minibar!O70+STW!O58+'Main Kitchen'!O58+'F&amp;B Admin'!O58</f>
        <v>0</v>
      </c>
      <c r="P105" s="63">
        <f>'Lobby Lounge'!P82+'ADD-Mhub lounge'!P82+'Royal Court'!P82+'MP Cafe'!P82+'MP Dining'!P82+'Room Service'!P82+Banquet!P83+Minibar!P70+STW!P58+'Main Kitchen'!P58+'F&amp;B Admin'!P58</f>
        <v>0</v>
      </c>
      <c r="Q105" s="142">
        <f t="shared" si="11"/>
        <v>0</v>
      </c>
      <c r="R105" s="142">
        <v>0</v>
      </c>
      <c r="S105" s="142">
        <f t="shared" si="12"/>
        <v>0</v>
      </c>
      <c r="U105" s="157"/>
      <c r="V105" s="40">
        <f t="shared" si="13"/>
        <v>0</v>
      </c>
    </row>
    <row r="106" spans="1:22" s="84" customFormat="1" ht="24.95" hidden="1" customHeight="1">
      <c r="A106" s="3" t="s">
        <v>228</v>
      </c>
      <c r="B106" s="3" t="s">
        <v>415</v>
      </c>
      <c r="C106" s="3"/>
      <c r="D106" s="26" t="s">
        <v>229</v>
      </c>
      <c r="E106" s="63">
        <f>'Lobby Lounge'!E83+'ADD-Mhub lounge'!E83+'Royal Court'!E83+'MP Cafe'!E83+'MP Dining'!E83+'Room Service'!E83+Banquet!E84+Minibar!E71+STW!E59+'Main Kitchen'!E59+'F&amp;B Admin'!E59</f>
        <v>0</v>
      </c>
      <c r="F106" s="63">
        <f>'Lobby Lounge'!F83+'ADD-Mhub lounge'!F83+'Royal Court'!F83+'MP Cafe'!F83+'MP Dining'!F83+'Room Service'!F83+Banquet!F84+Minibar!F71+STW!F59+'Main Kitchen'!F59+'F&amp;B Admin'!F59</f>
        <v>0</v>
      </c>
      <c r="G106" s="63">
        <f>'Lobby Lounge'!G83+'ADD-Mhub lounge'!G83+'Royal Court'!G83+'MP Cafe'!G83+'MP Dining'!G83+'Room Service'!G83+Banquet!G84+Minibar!G71+STW!G59+'Main Kitchen'!G59+'F&amp;B Admin'!G59</f>
        <v>0</v>
      </c>
      <c r="H106" s="63">
        <f>'Lobby Lounge'!H83+'ADD-Mhub lounge'!H83+'Royal Court'!H83+'MP Cafe'!H83+'MP Dining'!H83+'Room Service'!H83+Banquet!H84+Minibar!H71+STW!H59+'Main Kitchen'!H59+'F&amp;B Admin'!H59</f>
        <v>0</v>
      </c>
      <c r="I106" s="63">
        <f>'Lobby Lounge'!I83+'ADD-Mhub lounge'!I83+'Royal Court'!I83+'MP Cafe'!I83+'MP Dining'!I83+'Room Service'!I83+Banquet!I84+Minibar!I71+STW!I59+'Main Kitchen'!I59+'F&amp;B Admin'!I59</f>
        <v>0</v>
      </c>
      <c r="J106" s="63">
        <f>'Lobby Lounge'!J83+'ADD-Mhub lounge'!J83+'Royal Court'!J83+'MP Cafe'!J83+'MP Dining'!J83+'Room Service'!J83+Banquet!J84+Minibar!J71+STW!J59+'Main Kitchen'!J59+'F&amp;B Admin'!J59</f>
        <v>0</v>
      </c>
      <c r="K106" s="63">
        <f>'Lobby Lounge'!K83+'ADD-Mhub lounge'!K83+'Royal Court'!K83+'MP Cafe'!K83+'MP Dining'!K83+'Room Service'!K83+Banquet!K84+Minibar!K71+STW!K59+'Main Kitchen'!K59+'F&amp;B Admin'!K59</f>
        <v>0</v>
      </c>
      <c r="L106" s="63">
        <f>'Lobby Lounge'!L83+'ADD-Mhub lounge'!L83+'Royal Court'!L83+'MP Cafe'!L83+'MP Dining'!L83+'Room Service'!L83+Banquet!L84+Minibar!L71+STW!L59+'Main Kitchen'!L59+'F&amp;B Admin'!L59</f>
        <v>0</v>
      </c>
      <c r="M106" s="63">
        <f>'Lobby Lounge'!M83+'ADD-Mhub lounge'!M83+'Royal Court'!M83+'MP Cafe'!M83+'MP Dining'!M83+'Room Service'!M83+Banquet!M84+Minibar!M71+STW!M59+'Main Kitchen'!M59+'F&amp;B Admin'!M59</f>
        <v>0</v>
      </c>
      <c r="N106" s="63">
        <f>'Lobby Lounge'!N83+'ADD-Mhub lounge'!N83+'Royal Court'!N83+'MP Cafe'!N83+'MP Dining'!N83+'Room Service'!N83+Banquet!N84+Minibar!N71+STW!N59+'Main Kitchen'!N59+'F&amp;B Admin'!N59</f>
        <v>0</v>
      </c>
      <c r="O106" s="63">
        <f>'Lobby Lounge'!O83+'ADD-Mhub lounge'!O83+'Royal Court'!O83+'MP Cafe'!O83+'MP Dining'!O83+'Room Service'!O83+Banquet!O84+Minibar!O71+STW!O59+'Main Kitchen'!O59+'F&amp;B Admin'!O59</f>
        <v>0</v>
      </c>
      <c r="P106" s="63">
        <f>'Lobby Lounge'!P83+'ADD-Mhub lounge'!P83+'Royal Court'!P83+'MP Cafe'!P83+'MP Dining'!P83+'Room Service'!P83+Banquet!P84+Minibar!P71+STW!P59+'Main Kitchen'!P59+'F&amp;B Admin'!P59</f>
        <v>0</v>
      </c>
      <c r="Q106" s="142">
        <f t="shared" si="11"/>
        <v>0</v>
      </c>
      <c r="R106" s="142">
        <v>0</v>
      </c>
      <c r="S106" s="142">
        <f t="shared" si="12"/>
        <v>0</v>
      </c>
      <c r="U106" s="157"/>
      <c r="V106" s="40">
        <f t="shared" si="13"/>
        <v>0</v>
      </c>
    </row>
    <row r="107" spans="1:22" s="84" customFormat="1" ht="24.95" hidden="1" customHeight="1">
      <c r="A107" s="3" t="s">
        <v>230</v>
      </c>
      <c r="B107" s="3" t="s">
        <v>415</v>
      </c>
      <c r="C107" s="3"/>
      <c r="D107" s="26" t="s">
        <v>231</v>
      </c>
      <c r="E107" s="63">
        <f>'Lobby Lounge'!E84+'ADD-Mhub lounge'!E84+'Royal Court'!E84+'MP Cafe'!E84+'MP Dining'!E84+'Room Service'!E84+Banquet!E85+Minibar!E72+STW!E60+'Main Kitchen'!E60+'F&amp;B Admin'!E60</f>
        <v>0</v>
      </c>
      <c r="F107" s="63">
        <f>'Lobby Lounge'!F84+'ADD-Mhub lounge'!F84+'Royal Court'!F84+'MP Cafe'!F84+'MP Dining'!F84+'Room Service'!F84+Banquet!F85+Minibar!F72+STW!F60+'Main Kitchen'!F60+'F&amp;B Admin'!F60</f>
        <v>0</v>
      </c>
      <c r="G107" s="63">
        <f>'Lobby Lounge'!G84+'ADD-Mhub lounge'!G84+'Royal Court'!G84+'MP Cafe'!G84+'MP Dining'!G84+'Room Service'!G84+Banquet!G85+Minibar!G72+STW!G60+'Main Kitchen'!G60+'F&amp;B Admin'!G60</f>
        <v>0</v>
      </c>
      <c r="H107" s="63">
        <f>'Lobby Lounge'!H84+'ADD-Mhub lounge'!H84+'Royal Court'!H84+'MP Cafe'!H84+'MP Dining'!H84+'Room Service'!H84+Banquet!H85+Minibar!H72+STW!H60+'Main Kitchen'!H60+'F&amp;B Admin'!H60</f>
        <v>0</v>
      </c>
      <c r="I107" s="63">
        <f>'Lobby Lounge'!I84+'ADD-Mhub lounge'!I84+'Royal Court'!I84+'MP Cafe'!I84+'MP Dining'!I84+'Room Service'!I84+Banquet!I85+Minibar!I72+STW!I60+'Main Kitchen'!I60+'F&amp;B Admin'!I60</f>
        <v>0</v>
      </c>
      <c r="J107" s="63">
        <f>'Lobby Lounge'!J84+'ADD-Mhub lounge'!J84+'Royal Court'!J84+'MP Cafe'!J84+'MP Dining'!J84+'Room Service'!J84+Banquet!J85+Minibar!J72+STW!J60+'Main Kitchen'!J60+'F&amp;B Admin'!J60</f>
        <v>0</v>
      </c>
      <c r="K107" s="63">
        <f>'Lobby Lounge'!K84+'ADD-Mhub lounge'!K84+'Royal Court'!K84+'MP Cafe'!K84+'MP Dining'!K84+'Room Service'!K84+Banquet!K85+Minibar!K72+STW!K60+'Main Kitchen'!K60+'F&amp;B Admin'!K60</f>
        <v>0</v>
      </c>
      <c r="L107" s="63">
        <f>'Lobby Lounge'!L84+'ADD-Mhub lounge'!L84+'Royal Court'!L84+'MP Cafe'!L84+'MP Dining'!L84+'Room Service'!L84+Banquet!L85+Minibar!L72+STW!L60+'Main Kitchen'!L60+'F&amp;B Admin'!L60</f>
        <v>0</v>
      </c>
      <c r="M107" s="63">
        <f>'Lobby Lounge'!M84+'ADD-Mhub lounge'!M84+'Royal Court'!M84+'MP Cafe'!M84+'MP Dining'!M84+'Room Service'!M84+Banquet!M85+Minibar!M72+STW!M60+'Main Kitchen'!M60+'F&amp;B Admin'!M60</f>
        <v>0</v>
      </c>
      <c r="N107" s="63">
        <f>'Lobby Lounge'!N84+'ADD-Mhub lounge'!N84+'Royal Court'!N84+'MP Cafe'!N84+'MP Dining'!N84+'Room Service'!N84+Banquet!N85+Minibar!N72+STW!N60+'Main Kitchen'!N60+'F&amp;B Admin'!N60</f>
        <v>0</v>
      </c>
      <c r="O107" s="63">
        <f>'Lobby Lounge'!O84+'ADD-Mhub lounge'!O84+'Royal Court'!O84+'MP Cafe'!O84+'MP Dining'!O84+'Room Service'!O84+Banquet!O85+Minibar!O72+STW!O60+'Main Kitchen'!O60+'F&amp;B Admin'!O60</f>
        <v>0</v>
      </c>
      <c r="P107" s="63">
        <f>'Lobby Lounge'!P84+'ADD-Mhub lounge'!P84+'Royal Court'!P84+'MP Cafe'!P84+'MP Dining'!P84+'Room Service'!P84+Banquet!P85+Minibar!P72+STW!P60+'Main Kitchen'!P60+'F&amp;B Admin'!P60</f>
        <v>0</v>
      </c>
      <c r="Q107" s="142">
        <f t="shared" si="11"/>
        <v>0</v>
      </c>
      <c r="R107" s="142">
        <v>0</v>
      </c>
      <c r="S107" s="142">
        <f t="shared" si="12"/>
        <v>0</v>
      </c>
      <c r="U107" s="157"/>
      <c r="V107" s="40">
        <f t="shared" si="13"/>
        <v>0</v>
      </c>
    </row>
    <row r="108" spans="1:22" s="84" customFormat="1" ht="24.95" hidden="1" customHeight="1">
      <c r="A108" s="3" t="s">
        <v>232</v>
      </c>
      <c r="B108" s="3" t="s">
        <v>415</v>
      </c>
      <c r="C108" s="3"/>
      <c r="D108" s="26" t="s">
        <v>233</v>
      </c>
      <c r="E108" s="63">
        <f>'Lobby Lounge'!E85+'ADD-Mhub lounge'!E85+'Royal Court'!E85+'MP Cafe'!E85+'MP Dining'!E85+'Room Service'!E85+Banquet!E86+Minibar!E73+STW!E61+'Main Kitchen'!E61+'F&amp;B Admin'!E61</f>
        <v>0</v>
      </c>
      <c r="F108" s="63">
        <f>'Lobby Lounge'!F85+'ADD-Mhub lounge'!F85+'Royal Court'!F85+'MP Cafe'!F85+'MP Dining'!F85+'Room Service'!F85+Banquet!F86+Minibar!F73+STW!F61+'Main Kitchen'!F61+'F&amp;B Admin'!F61</f>
        <v>0</v>
      </c>
      <c r="G108" s="63">
        <f>'Lobby Lounge'!G85+'ADD-Mhub lounge'!G85+'Royal Court'!G85+'MP Cafe'!G85+'MP Dining'!G85+'Room Service'!G85+Banquet!G86+Minibar!G73+STW!G61+'Main Kitchen'!G61+'F&amp;B Admin'!G61</f>
        <v>0</v>
      </c>
      <c r="H108" s="63">
        <f>'Lobby Lounge'!H85+'ADD-Mhub lounge'!H85+'Royal Court'!H85+'MP Cafe'!H85+'MP Dining'!H85+'Room Service'!H85+Banquet!H86+Minibar!H73+STW!H61+'Main Kitchen'!H61+'F&amp;B Admin'!H61</f>
        <v>0</v>
      </c>
      <c r="I108" s="63">
        <f>'Lobby Lounge'!I85+'ADD-Mhub lounge'!I85+'Royal Court'!I85+'MP Cafe'!I85+'MP Dining'!I85+'Room Service'!I85+Banquet!I86+Minibar!I73+STW!I61+'Main Kitchen'!I61+'F&amp;B Admin'!I61</f>
        <v>0</v>
      </c>
      <c r="J108" s="63">
        <f>'Lobby Lounge'!J85+'ADD-Mhub lounge'!J85+'Royal Court'!J85+'MP Cafe'!J85+'MP Dining'!J85+'Room Service'!J85+Banquet!J86+Minibar!J73+STW!J61+'Main Kitchen'!J61+'F&amp;B Admin'!J61</f>
        <v>0</v>
      </c>
      <c r="K108" s="63">
        <f>'Lobby Lounge'!K85+'ADD-Mhub lounge'!K85+'Royal Court'!K85+'MP Cafe'!K85+'MP Dining'!K85+'Room Service'!K85+Banquet!K86+Minibar!K73+STW!K61+'Main Kitchen'!K61+'F&amp;B Admin'!K61</f>
        <v>0</v>
      </c>
      <c r="L108" s="63">
        <f>'Lobby Lounge'!L85+'ADD-Mhub lounge'!L85+'Royal Court'!L85+'MP Cafe'!L85+'MP Dining'!L85+'Room Service'!L85+Banquet!L86+Minibar!L73+STW!L61+'Main Kitchen'!L61+'F&amp;B Admin'!L61</f>
        <v>0</v>
      </c>
      <c r="M108" s="63">
        <f>'Lobby Lounge'!M85+'ADD-Mhub lounge'!M85+'Royal Court'!M85+'MP Cafe'!M85+'MP Dining'!M85+'Room Service'!M85+Banquet!M86+Minibar!M73+STW!M61+'Main Kitchen'!M61+'F&amp;B Admin'!M61</f>
        <v>0</v>
      </c>
      <c r="N108" s="63">
        <f>'Lobby Lounge'!N85+'ADD-Mhub lounge'!N85+'Royal Court'!N85+'MP Cafe'!N85+'MP Dining'!N85+'Room Service'!N85+Banquet!N86+Minibar!N73+STW!N61+'Main Kitchen'!N61+'F&amp;B Admin'!N61</f>
        <v>0</v>
      </c>
      <c r="O108" s="63">
        <f>'Lobby Lounge'!O85+'ADD-Mhub lounge'!O85+'Royal Court'!O85+'MP Cafe'!O85+'MP Dining'!O85+'Room Service'!O85+Banquet!O86+Minibar!O73+STW!O61+'Main Kitchen'!O61+'F&amp;B Admin'!O61</f>
        <v>0</v>
      </c>
      <c r="P108" s="63">
        <f>'Lobby Lounge'!P85+'ADD-Mhub lounge'!P85+'Royal Court'!P85+'MP Cafe'!P85+'MP Dining'!P85+'Room Service'!P85+Banquet!P86+Minibar!P73+STW!P61+'Main Kitchen'!P61+'F&amp;B Admin'!P61</f>
        <v>0</v>
      </c>
      <c r="Q108" s="142">
        <f t="shared" si="11"/>
        <v>0</v>
      </c>
      <c r="R108" s="142">
        <v>0</v>
      </c>
      <c r="S108" s="142">
        <f t="shared" si="12"/>
        <v>0</v>
      </c>
      <c r="U108" s="157"/>
      <c r="V108" s="40">
        <f t="shared" si="13"/>
        <v>0</v>
      </c>
    </row>
    <row r="109" spans="1:22" s="84" customFormat="1" ht="24.95" hidden="1" customHeight="1">
      <c r="A109" s="3" t="s">
        <v>434</v>
      </c>
      <c r="B109" s="3" t="s">
        <v>415</v>
      </c>
      <c r="C109" s="3"/>
      <c r="D109" s="26" t="s">
        <v>435</v>
      </c>
      <c r="E109" s="63">
        <f>'Lobby Lounge'!E86+'ADD-Mhub lounge'!E86+'Royal Court'!E86+'MP Cafe'!E86+'MP Dining'!E86+'Room Service'!E86+Banquet!E87+Minibar!E74+STW!E62+'Main Kitchen'!E62+'F&amp;B Admin'!E62</f>
        <v>0</v>
      </c>
      <c r="F109" s="63">
        <f>'Lobby Lounge'!F86+'ADD-Mhub lounge'!F86+'Royal Court'!F86+'MP Cafe'!F86+'MP Dining'!F86+'Room Service'!F86+Banquet!F87+Minibar!F74+STW!F62+'Main Kitchen'!F62+'F&amp;B Admin'!F62</f>
        <v>0</v>
      </c>
      <c r="G109" s="63">
        <f>'Lobby Lounge'!G86+'ADD-Mhub lounge'!G86+'Royal Court'!G86+'MP Cafe'!G86+'MP Dining'!G86+'Room Service'!G86+Banquet!G87+Minibar!G74+STW!G62+'Main Kitchen'!G62+'F&amp;B Admin'!G62</f>
        <v>0</v>
      </c>
      <c r="H109" s="63">
        <f>'Lobby Lounge'!H86+'ADD-Mhub lounge'!H86+'Royal Court'!H86+'MP Cafe'!H86+'MP Dining'!H86+'Room Service'!H86+Banquet!H87+Minibar!H74+STW!H62+'Main Kitchen'!H62+'F&amp;B Admin'!H62</f>
        <v>0</v>
      </c>
      <c r="I109" s="63">
        <f>'Lobby Lounge'!I86+'ADD-Mhub lounge'!I86+'Royal Court'!I86+'MP Cafe'!I86+'MP Dining'!I86+'Room Service'!I86+Banquet!I87+Minibar!I74+STW!I62+'Main Kitchen'!I62+'F&amp;B Admin'!I62</f>
        <v>0</v>
      </c>
      <c r="J109" s="63">
        <f>'Lobby Lounge'!J86+'ADD-Mhub lounge'!J86+'Royal Court'!J86+'MP Cafe'!J86+'MP Dining'!J86+'Room Service'!J86+Banquet!J87+Minibar!J74+STW!J62+'Main Kitchen'!J62+'F&amp;B Admin'!J62</f>
        <v>0</v>
      </c>
      <c r="K109" s="63">
        <f>'Lobby Lounge'!K86+'ADD-Mhub lounge'!K86+'Royal Court'!K86+'MP Cafe'!K86+'MP Dining'!K86+'Room Service'!K86+Banquet!K87+Minibar!K74+STW!K62+'Main Kitchen'!K62+'F&amp;B Admin'!K62</f>
        <v>0</v>
      </c>
      <c r="L109" s="63">
        <f>'Lobby Lounge'!L86+'ADD-Mhub lounge'!L86+'Royal Court'!L86+'MP Cafe'!L86+'MP Dining'!L86+'Room Service'!L86+Banquet!L87+Minibar!L74+STW!L62+'Main Kitchen'!L62+'F&amp;B Admin'!L62</f>
        <v>0</v>
      </c>
      <c r="M109" s="63">
        <f>'Lobby Lounge'!M86+'ADD-Mhub lounge'!M86+'Royal Court'!M86+'MP Cafe'!M86+'MP Dining'!M86+'Room Service'!M86+Banquet!M87+Minibar!M74+STW!M62+'Main Kitchen'!M62+'F&amp;B Admin'!M62</f>
        <v>0</v>
      </c>
      <c r="N109" s="63">
        <f>'Lobby Lounge'!N86+'ADD-Mhub lounge'!N86+'Royal Court'!N86+'MP Cafe'!N86+'MP Dining'!N86+'Room Service'!N86+Banquet!N87+Minibar!N74+STW!N62+'Main Kitchen'!N62+'F&amp;B Admin'!N62</f>
        <v>0</v>
      </c>
      <c r="O109" s="63">
        <f>'Lobby Lounge'!O86+'ADD-Mhub lounge'!O86+'Royal Court'!O86+'MP Cafe'!O86+'MP Dining'!O86+'Room Service'!O86+Banquet!O87+Minibar!O74+STW!O62+'Main Kitchen'!O62+'F&amp;B Admin'!O62</f>
        <v>0</v>
      </c>
      <c r="P109" s="63">
        <f>'Lobby Lounge'!P86+'ADD-Mhub lounge'!P86+'Royal Court'!P86+'MP Cafe'!P86+'MP Dining'!P86+'Room Service'!P86+Banquet!P87+Minibar!P74+STW!P62+'Main Kitchen'!P62+'F&amp;B Admin'!P62</f>
        <v>0</v>
      </c>
      <c r="Q109" s="142">
        <f t="shared" si="11"/>
        <v>0</v>
      </c>
      <c r="R109" s="142">
        <v>0</v>
      </c>
      <c r="S109" s="142">
        <f t="shared" si="12"/>
        <v>0</v>
      </c>
      <c r="U109" s="157"/>
      <c r="V109" s="40">
        <f t="shared" si="13"/>
        <v>0</v>
      </c>
    </row>
    <row r="110" spans="1:22" s="84" customFormat="1" ht="24.95" hidden="1" customHeight="1">
      <c r="A110" s="3" t="s">
        <v>234</v>
      </c>
      <c r="B110" s="3" t="s">
        <v>415</v>
      </c>
      <c r="C110" s="3"/>
      <c r="D110" s="26" t="s">
        <v>235</v>
      </c>
      <c r="E110" s="63">
        <f>'Lobby Lounge'!E87+'ADD-Mhub lounge'!E87+'Royal Court'!E87+'MP Cafe'!E87+'MP Dining'!E87+'Room Service'!E87+Banquet!E88+Minibar!E75+STW!E63+'Main Kitchen'!E63+'F&amp;B Admin'!E63</f>
        <v>0</v>
      </c>
      <c r="F110" s="63">
        <f>'Lobby Lounge'!F87+'ADD-Mhub lounge'!F87+'Royal Court'!F87+'MP Cafe'!F87+'MP Dining'!F87+'Room Service'!F87+Banquet!F88+Minibar!F75+STW!F63+'Main Kitchen'!F63+'F&amp;B Admin'!F63</f>
        <v>0</v>
      </c>
      <c r="G110" s="63">
        <f>'Lobby Lounge'!G87+'ADD-Mhub lounge'!G87+'Royal Court'!G87+'MP Cafe'!G87+'MP Dining'!G87+'Room Service'!G87+Banquet!G88+Minibar!G75+STW!G63+'Main Kitchen'!G63+'F&amp;B Admin'!G63</f>
        <v>0</v>
      </c>
      <c r="H110" s="63">
        <f>'Lobby Lounge'!H87+'ADD-Mhub lounge'!H87+'Royal Court'!H87+'MP Cafe'!H87+'MP Dining'!H87+'Room Service'!H87+Banquet!H88+Minibar!H75+STW!H63+'Main Kitchen'!H63+'F&amp;B Admin'!H63</f>
        <v>0</v>
      </c>
      <c r="I110" s="63">
        <f>'Lobby Lounge'!I87+'ADD-Mhub lounge'!I87+'Royal Court'!I87+'MP Cafe'!I87+'MP Dining'!I87+'Room Service'!I87+Banquet!I88+Minibar!I75+STW!I63+'Main Kitchen'!I63+'F&amp;B Admin'!I63</f>
        <v>0</v>
      </c>
      <c r="J110" s="63">
        <f>'Lobby Lounge'!J87+'ADD-Mhub lounge'!J87+'Royal Court'!J87+'MP Cafe'!J87+'MP Dining'!J87+'Room Service'!J87+Banquet!J88+Minibar!J75+STW!J63+'Main Kitchen'!J63+'F&amp;B Admin'!J63</f>
        <v>0</v>
      </c>
      <c r="K110" s="63">
        <f>'Lobby Lounge'!K87+'ADD-Mhub lounge'!K87+'Royal Court'!K87+'MP Cafe'!K87+'MP Dining'!K87+'Room Service'!K87+Banquet!K88+Minibar!K75+STW!K63+'Main Kitchen'!K63+'F&amp;B Admin'!K63</f>
        <v>0</v>
      </c>
      <c r="L110" s="63">
        <f>'Lobby Lounge'!L87+'ADD-Mhub lounge'!L87+'Royal Court'!L87+'MP Cafe'!L87+'MP Dining'!L87+'Room Service'!L87+Banquet!L88+Minibar!L75+STW!L63+'Main Kitchen'!L63+'F&amp;B Admin'!L63</f>
        <v>0</v>
      </c>
      <c r="M110" s="63">
        <f>'Lobby Lounge'!M87+'ADD-Mhub lounge'!M87+'Royal Court'!M87+'MP Cafe'!M87+'MP Dining'!M87+'Room Service'!M87+Banquet!M88+Minibar!M75+STW!M63+'Main Kitchen'!M63+'F&amp;B Admin'!M63</f>
        <v>0</v>
      </c>
      <c r="N110" s="63">
        <f>'Lobby Lounge'!N87+'ADD-Mhub lounge'!N87+'Royal Court'!N87+'MP Cafe'!N87+'MP Dining'!N87+'Room Service'!N87+Banquet!N88+Minibar!N75+STW!N63+'Main Kitchen'!N63+'F&amp;B Admin'!N63</f>
        <v>0</v>
      </c>
      <c r="O110" s="63">
        <f>'Lobby Lounge'!O87+'ADD-Mhub lounge'!O87+'Royal Court'!O87+'MP Cafe'!O87+'MP Dining'!O87+'Room Service'!O87+Banquet!O88+Minibar!O75+STW!O63+'Main Kitchen'!O63+'F&amp;B Admin'!O63</f>
        <v>0</v>
      </c>
      <c r="P110" s="63">
        <f>'Lobby Lounge'!P87+'ADD-Mhub lounge'!P87+'Royal Court'!P87+'MP Cafe'!P87+'MP Dining'!P87+'Room Service'!P87+Banquet!P88+Minibar!P75+STW!P63+'Main Kitchen'!P63+'F&amp;B Admin'!P63</f>
        <v>0</v>
      </c>
      <c r="Q110" s="142">
        <f t="shared" si="11"/>
        <v>0</v>
      </c>
      <c r="R110" s="142">
        <v>0</v>
      </c>
      <c r="S110" s="142">
        <f t="shared" si="12"/>
        <v>0</v>
      </c>
      <c r="U110" s="157"/>
      <c r="V110" s="40">
        <f t="shared" si="13"/>
        <v>0</v>
      </c>
    </row>
    <row r="111" spans="1:22" s="84" customFormat="1" ht="24.95" hidden="1" customHeight="1">
      <c r="A111" s="3" t="s">
        <v>236</v>
      </c>
      <c r="B111" s="3" t="s">
        <v>415</v>
      </c>
      <c r="C111" s="3"/>
      <c r="D111" s="26" t="s">
        <v>237</v>
      </c>
      <c r="E111" s="63">
        <f>'Lobby Lounge'!E88+'ADD-Mhub lounge'!E88+'Royal Court'!E88+'MP Cafe'!E88+'MP Dining'!E88+'Room Service'!E88+Banquet!E89+Minibar!E76+STW!E64+'Main Kitchen'!E64+'F&amp;B Admin'!E64</f>
        <v>0</v>
      </c>
      <c r="F111" s="63">
        <f>'Lobby Lounge'!F88+'ADD-Mhub lounge'!F88+'Royal Court'!F88+'MP Cafe'!F88+'MP Dining'!F88+'Room Service'!F88+Banquet!F89+Minibar!F76+STW!F64+'Main Kitchen'!F64+'F&amp;B Admin'!F64</f>
        <v>0</v>
      </c>
      <c r="G111" s="63">
        <f>'Lobby Lounge'!G88+'ADD-Mhub lounge'!G88+'Royal Court'!G88+'MP Cafe'!G88+'MP Dining'!G88+'Room Service'!G88+Banquet!G89+Minibar!G76+STW!G64+'Main Kitchen'!G64+'F&amp;B Admin'!G64</f>
        <v>0</v>
      </c>
      <c r="H111" s="63">
        <f>'Lobby Lounge'!H88+'ADD-Mhub lounge'!H88+'Royal Court'!H88+'MP Cafe'!H88+'MP Dining'!H88+'Room Service'!H88+Banquet!H89+Minibar!H76+STW!H64+'Main Kitchen'!H64+'F&amp;B Admin'!H64</f>
        <v>0</v>
      </c>
      <c r="I111" s="63">
        <f>'Lobby Lounge'!I88+'ADD-Mhub lounge'!I88+'Royal Court'!I88+'MP Cafe'!I88+'MP Dining'!I88+'Room Service'!I88+Banquet!I89+Minibar!I76+STW!I64+'Main Kitchen'!I64+'F&amp;B Admin'!I64</f>
        <v>0</v>
      </c>
      <c r="J111" s="63">
        <f>'Lobby Lounge'!J88+'ADD-Mhub lounge'!J88+'Royal Court'!J88+'MP Cafe'!J88+'MP Dining'!J88+'Room Service'!J88+Banquet!J89+Minibar!J76+STW!J64+'Main Kitchen'!J64+'F&amp;B Admin'!J64</f>
        <v>0</v>
      </c>
      <c r="K111" s="63">
        <f>'Lobby Lounge'!K88+'ADD-Mhub lounge'!K88+'Royal Court'!K88+'MP Cafe'!K88+'MP Dining'!K88+'Room Service'!K88+Banquet!K89+Minibar!K76+STW!K64+'Main Kitchen'!K64+'F&amp;B Admin'!K64</f>
        <v>0</v>
      </c>
      <c r="L111" s="63">
        <f>'Lobby Lounge'!L88+'ADD-Mhub lounge'!L88+'Royal Court'!L88+'MP Cafe'!L88+'MP Dining'!L88+'Room Service'!L88+Banquet!L89+Minibar!L76+STW!L64+'Main Kitchen'!L64+'F&amp;B Admin'!L64</f>
        <v>0</v>
      </c>
      <c r="M111" s="63">
        <f>'Lobby Lounge'!M88+'ADD-Mhub lounge'!M88+'Royal Court'!M88+'MP Cafe'!M88+'MP Dining'!M88+'Room Service'!M88+Banquet!M89+Minibar!M76+STW!M64+'Main Kitchen'!M64+'F&amp;B Admin'!M64</f>
        <v>0</v>
      </c>
      <c r="N111" s="63">
        <f>'Lobby Lounge'!N88+'ADD-Mhub lounge'!N88+'Royal Court'!N88+'MP Cafe'!N88+'MP Dining'!N88+'Room Service'!N88+Banquet!N89+Minibar!N76+STW!N64+'Main Kitchen'!N64+'F&amp;B Admin'!N64</f>
        <v>0</v>
      </c>
      <c r="O111" s="63">
        <f>'Lobby Lounge'!O88+'ADD-Mhub lounge'!O88+'Royal Court'!O88+'MP Cafe'!O88+'MP Dining'!O88+'Room Service'!O88+Banquet!O89+Minibar!O76+STW!O64+'Main Kitchen'!O64+'F&amp;B Admin'!O64</f>
        <v>0</v>
      </c>
      <c r="P111" s="63">
        <f>'Lobby Lounge'!P88+'ADD-Mhub lounge'!P88+'Royal Court'!P88+'MP Cafe'!P88+'MP Dining'!P88+'Room Service'!P88+Banquet!P89+Minibar!P76+STW!P64+'Main Kitchen'!P64+'F&amp;B Admin'!P64</f>
        <v>0</v>
      </c>
      <c r="Q111" s="142">
        <f t="shared" si="11"/>
        <v>0</v>
      </c>
      <c r="R111" s="142">
        <v>0</v>
      </c>
      <c r="S111" s="142">
        <f t="shared" si="12"/>
        <v>0</v>
      </c>
      <c r="U111" s="157"/>
      <c r="V111" s="40">
        <f t="shared" si="13"/>
        <v>0</v>
      </c>
    </row>
    <row r="112" spans="1:22" s="84" customFormat="1" ht="24.95" hidden="1" customHeight="1">
      <c r="A112" s="3" t="s">
        <v>238</v>
      </c>
      <c r="B112" s="3" t="s">
        <v>415</v>
      </c>
      <c r="C112" s="3"/>
      <c r="D112" s="26" t="s">
        <v>239</v>
      </c>
      <c r="E112" s="63">
        <f>'Lobby Lounge'!E89+'ADD-Mhub lounge'!E89+'Royal Court'!E89+'MP Cafe'!E89+'MP Dining'!E89+'Room Service'!E89+Banquet!E90+Minibar!E77+STW!E65+'Main Kitchen'!E65+'F&amp;B Admin'!E65</f>
        <v>0</v>
      </c>
      <c r="F112" s="63">
        <f>'Lobby Lounge'!F89+'ADD-Mhub lounge'!F89+'Royal Court'!F89+'MP Cafe'!F89+'MP Dining'!F89+'Room Service'!F89+Banquet!F90+Minibar!F77+STW!F65+'Main Kitchen'!F65+'F&amp;B Admin'!F65</f>
        <v>0</v>
      </c>
      <c r="G112" s="63">
        <f>'Lobby Lounge'!G89+'ADD-Mhub lounge'!G89+'Royal Court'!G89+'MP Cafe'!G89+'MP Dining'!G89+'Room Service'!G89+Banquet!G90+Minibar!G77+STW!G65+'Main Kitchen'!G65+'F&amp;B Admin'!G65</f>
        <v>0</v>
      </c>
      <c r="H112" s="63">
        <f>'Lobby Lounge'!H89+'ADD-Mhub lounge'!H89+'Royal Court'!H89+'MP Cafe'!H89+'MP Dining'!H89+'Room Service'!H89+Banquet!H90+Minibar!H77+STW!H65+'Main Kitchen'!H65+'F&amp;B Admin'!H65</f>
        <v>0</v>
      </c>
      <c r="I112" s="63">
        <f>'Lobby Lounge'!I89+'ADD-Mhub lounge'!I89+'Royal Court'!I89+'MP Cafe'!I89+'MP Dining'!I89+'Room Service'!I89+Banquet!I90+Minibar!I77+STW!I65+'Main Kitchen'!I65+'F&amp;B Admin'!I65</f>
        <v>0</v>
      </c>
      <c r="J112" s="63">
        <f>'Lobby Lounge'!J89+'ADD-Mhub lounge'!J89+'Royal Court'!J89+'MP Cafe'!J89+'MP Dining'!J89+'Room Service'!J89+Banquet!J90+Minibar!J77+STW!J65+'Main Kitchen'!J65+'F&amp;B Admin'!J65</f>
        <v>0</v>
      </c>
      <c r="K112" s="63">
        <f>'Lobby Lounge'!K89+'ADD-Mhub lounge'!K89+'Royal Court'!K89+'MP Cafe'!K89+'MP Dining'!K89+'Room Service'!K89+Banquet!K90+Minibar!K77+STW!K65+'Main Kitchen'!K65+'F&amp;B Admin'!K65</f>
        <v>0</v>
      </c>
      <c r="L112" s="63">
        <f>'Lobby Lounge'!L89+'ADD-Mhub lounge'!L89+'Royal Court'!L89+'MP Cafe'!L89+'MP Dining'!L89+'Room Service'!L89+Banquet!L90+Minibar!L77+STW!L65+'Main Kitchen'!L65+'F&amp;B Admin'!L65</f>
        <v>0</v>
      </c>
      <c r="M112" s="63">
        <f>'Lobby Lounge'!M89+'ADD-Mhub lounge'!M89+'Royal Court'!M89+'MP Cafe'!M89+'MP Dining'!M89+'Room Service'!M89+Banquet!M90+Minibar!M77+STW!M65+'Main Kitchen'!M65+'F&amp;B Admin'!M65</f>
        <v>0</v>
      </c>
      <c r="N112" s="63">
        <f>'Lobby Lounge'!N89+'ADD-Mhub lounge'!N89+'Royal Court'!N89+'MP Cafe'!N89+'MP Dining'!N89+'Room Service'!N89+Banquet!N90+Minibar!N77+STW!N65+'Main Kitchen'!N65+'F&amp;B Admin'!N65</f>
        <v>0</v>
      </c>
      <c r="O112" s="63">
        <f>'Lobby Lounge'!O89+'ADD-Mhub lounge'!O89+'Royal Court'!O89+'MP Cafe'!O89+'MP Dining'!O89+'Room Service'!O89+Banquet!O90+Minibar!O77+STW!O65+'Main Kitchen'!O65+'F&amp;B Admin'!O65</f>
        <v>0</v>
      </c>
      <c r="P112" s="63">
        <f>'Lobby Lounge'!P89+'ADD-Mhub lounge'!P89+'Royal Court'!P89+'MP Cafe'!P89+'MP Dining'!P89+'Room Service'!P89+Banquet!P90+Minibar!P77+STW!P65+'Main Kitchen'!P65+'F&amp;B Admin'!P65</f>
        <v>0</v>
      </c>
      <c r="Q112" s="142">
        <f t="shared" si="11"/>
        <v>0</v>
      </c>
      <c r="R112" s="142">
        <v>0</v>
      </c>
      <c r="S112" s="142">
        <f t="shared" si="12"/>
        <v>0</v>
      </c>
      <c r="U112" s="157"/>
      <c r="V112" s="40">
        <f t="shared" si="13"/>
        <v>0</v>
      </c>
    </row>
    <row r="113" spans="1:22" s="84" customFormat="1" ht="24.95" hidden="1" customHeight="1">
      <c r="A113" s="3" t="s">
        <v>240</v>
      </c>
      <c r="B113" s="3" t="s">
        <v>415</v>
      </c>
      <c r="C113" s="3"/>
      <c r="D113" s="26" t="s">
        <v>241</v>
      </c>
      <c r="E113" s="63">
        <f>'Lobby Lounge'!E90+'ADD-Mhub lounge'!E90+'Royal Court'!E90+'MP Cafe'!E90+'MP Dining'!E90+'Room Service'!E90+Banquet!E91+Minibar!E78+STW!E66+'Main Kitchen'!E66+'F&amp;B Admin'!E66</f>
        <v>0</v>
      </c>
      <c r="F113" s="63">
        <f>'Lobby Lounge'!F90+'ADD-Mhub lounge'!F90+'Royal Court'!F90+'MP Cafe'!F90+'MP Dining'!F90+'Room Service'!F90+Banquet!F91+Minibar!F78+STW!F66+'Main Kitchen'!F66+'F&amp;B Admin'!F66</f>
        <v>0</v>
      </c>
      <c r="G113" s="63">
        <f>'Lobby Lounge'!G90+'ADD-Mhub lounge'!G90+'Royal Court'!G90+'MP Cafe'!G90+'MP Dining'!G90+'Room Service'!G90+Banquet!G91+Minibar!G78+STW!G66+'Main Kitchen'!G66+'F&amp;B Admin'!G66</f>
        <v>0</v>
      </c>
      <c r="H113" s="63">
        <f>'Lobby Lounge'!H90+'ADD-Mhub lounge'!H90+'Royal Court'!H90+'MP Cafe'!H90+'MP Dining'!H90+'Room Service'!H90+Banquet!H91+Minibar!H78+STW!H66+'Main Kitchen'!H66+'F&amp;B Admin'!H66</f>
        <v>0</v>
      </c>
      <c r="I113" s="63">
        <f>'Lobby Lounge'!I90+'ADD-Mhub lounge'!I90+'Royal Court'!I90+'MP Cafe'!I90+'MP Dining'!I90+'Room Service'!I90+Banquet!I91+Minibar!I78+STW!I66+'Main Kitchen'!I66+'F&amp;B Admin'!I66</f>
        <v>0</v>
      </c>
      <c r="J113" s="63">
        <f>'Lobby Lounge'!J90+'ADD-Mhub lounge'!J90+'Royal Court'!J90+'MP Cafe'!J90+'MP Dining'!J90+'Room Service'!J90+Banquet!J91+Minibar!J78+STW!J66+'Main Kitchen'!J66+'F&amp;B Admin'!J66</f>
        <v>0</v>
      </c>
      <c r="K113" s="63">
        <f>'Lobby Lounge'!K90+'ADD-Mhub lounge'!K90+'Royal Court'!K90+'MP Cafe'!K90+'MP Dining'!K90+'Room Service'!K90+Banquet!K91+Minibar!K78+STW!K66+'Main Kitchen'!K66+'F&amp;B Admin'!K66</f>
        <v>0</v>
      </c>
      <c r="L113" s="63">
        <f>'Lobby Lounge'!L90+'ADD-Mhub lounge'!L90+'Royal Court'!L90+'MP Cafe'!L90+'MP Dining'!L90+'Room Service'!L90+Banquet!L91+Minibar!L78+STW!L66+'Main Kitchen'!L66+'F&amp;B Admin'!L66</f>
        <v>0</v>
      </c>
      <c r="M113" s="63">
        <f>'Lobby Lounge'!M90+'ADD-Mhub lounge'!M90+'Royal Court'!M90+'MP Cafe'!M90+'MP Dining'!M90+'Room Service'!M90+Banquet!M91+Minibar!M78+STW!M66+'Main Kitchen'!M66+'F&amp;B Admin'!M66</f>
        <v>0</v>
      </c>
      <c r="N113" s="63">
        <f>'Lobby Lounge'!N90+'ADD-Mhub lounge'!N90+'Royal Court'!N90+'MP Cafe'!N90+'MP Dining'!N90+'Room Service'!N90+Banquet!N91+Minibar!N78+STW!N66+'Main Kitchen'!N66+'F&amp;B Admin'!N66</f>
        <v>0</v>
      </c>
      <c r="O113" s="63">
        <f>'Lobby Lounge'!O90+'ADD-Mhub lounge'!O90+'Royal Court'!O90+'MP Cafe'!O90+'MP Dining'!O90+'Room Service'!O90+Banquet!O91+Minibar!O78+STW!O66+'Main Kitchen'!O66+'F&amp;B Admin'!O66</f>
        <v>0</v>
      </c>
      <c r="P113" s="63">
        <f>'Lobby Lounge'!P90+'ADD-Mhub lounge'!P90+'Royal Court'!P90+'MP Cafe'!P90+'MP Dining'!P90+'Room Service'!P90+Banquet!P91+Minibar!P78+STW!P66+'Main Kitchen'!P66+'F&amp;B Admin'!P66</f>
        <v>0</v>
      </c>
      <c r="Q113" s="142">
        <f t="shared" si="11"/>
        <v>0</v>
      </c>
      <c r="R113" s="142">
        <v>0</v>
      </c>
      <c r="S113" s="142">
        <f t="shared" si="12"/>
        <v>0</v>
      </c>
      <c r="U113" s="157"/>
      <c r="V113" s="40">
        <f t="shared" si="13"/>
        <v>0</v>
      </c>
    </row>
    <row r="114" spans="1:22" s="84" customFormat="1" ht="24.95" hidden="1" customHeight="1">
      <c r="A114" s="3" t="s">
        <v>242</v>
      </c>
      <c r="B114" s="3" t="s">
        <v>415</v>
      </c>
      <c r="C114" s="3"/>
      <c r="D114" s="26" t="s">
        <v>243</v>
      </c>
      <c r="E114" s="63">
        <f>'Lobby Lounge'!E91+'ADD-Mhub lounge'!E91+'Royal Court'!E91+'MP Cafe'!E91+'MP Dining'!E91+'Room Service'!E91+Banquet!E92+Minibar!E79+STW!E67+'Main Kitchen'!E67+'F&amp;B Admin'!E67</f>
        <v>0</v>
      </c>
      <c r="F114" s="63">
        <f>'Lobby Lounge'!F91+'ADD-Mhub lounge'!F91+'Royal Court'!F91+'MP Cafe'!F91+'MP Dining'!F91+'Room Service'!F91+Banquet!F92+Minibar!F79+STW!F67+'Main Kitchen'!F67+'F&amp;B Admin'!F67</f>
        <v>0</v>
      </c>
      <c r="G114" s="63">
        <f>'Lobby Lounge'!G91+'ADD-Mhub lounge'!G91+'Royal Court'!G91+'MP Cafe'!G91+'MP Dining'!G91+'Room Service'!G91+Banquet!G92+Minibar!G79+STW!G67+'Main Kitchen'!G67+'F&amp;B Admin'!G67</f>
        <v>0</v>
      </c>
      <c r="H114" s="63">
        <f>'Lobby Lounge'!H91+'ADD-Mhub lounge'!H91+'Royal Court'!H91+'MP Cafe'!H91+'MP Dining'!H91+'Room Service'!H91+Banquet!H92+Minibar!H79+STW!H67+'Main Kitchen'!H67+'F&amp;B Admin'!H67</f>
        <v>0</v>
      </c>
      <c r="I114" s="63">
        <f>'Lobby Lounge'!I91+'ADD-Mhub lounge'!I91+'Royal Court'!I91+'MP Cafe'!I91+'MP Dining'!I91+'Room Service'!I91+Banquet!I92+Minibar!I79+STW!I67+'Main Kitchen'!I67+'F&amp;B Admin'!I67</f>
        <v>0</v>
      </c>
      <c r="J114" s="63">
        <f>'Lobby Lounge'!J91+'ADD-Mhub lounge'!J91+'Royal Court'!J91+'MP Cafe'!J91+'MP Dining'!J91+'Room Service'!J91+Banquet!J92+Minibar!J79+STW!J67+'Main Kitchen'!J67+'F&amp;B Admin'!J67</f>
        <v>0</v>
      </c>
      <c r="K114" s="63">
        <f>'Lobby Lounge'!K91+'ADD-Mhub lounge'!K91+'Royal Court'!K91+'MP Cafe'!K91+'MP Dining'!K91+'Room Service'!K91+Banquet!K92+Minibar!K79+STW!K67+'Main Kitchen'!K67+'F&amp;B Admin'!K67</f>
        <v>0</v>
      </c>
      <c r="L114" s="63">
        <f>'Lobby Lounge'!L91+'ADD-Mhub lounge'!L91+'Royal Court'!L91+'MP Cafe'!L91+'MP Dining'!L91+'Room Service'!L91+Banquet!L92+Minibar!L79+STW!L67+'Main Kitchen'!L67+'F&amp;B Admin'!L67</f>
        <v>0</v>
      </c>
      <c r="M114" s="63">
        <f>'Lobby Lounge'!M91+'ADD-Mhub lounge'!M91+'Royal Court'!M91+'MP Cafe'!M91+'MP Dining'!M91+'Room Service'!M91+Banquet!M92+Minibar!M79+STW!M67+'Main Kitchen'!M67+'F&amp;B Admin'!M67</f>
        <v>0</v>
      </c>
      <c r="N114" s="63">
        <f>'Lobby Lounge'!N91+'ADD-Mhub lounge'!N91+'Royal Court'!N91+'MP Cafe'!N91+'MP Dining'!N91+'Room Service'!N91+Banquet!N92+Minibar!N79+STW!N67+'Main Kitchen'!N67+'F&amp;B Admin'!N67</f>
        <v>0</v>
      </c>
      <c r="O114" s="63">
        <f>'Lobby Lounge'!O91+'ADD-Mhub lounge'!O91+'Royal Court'!O91+'MP Cafe'!O91+'MP Dining'!O91+'Room Service'!O91+Banquet!O92+Minibar!O79+STW!O67+'Main Kitchen'!O67+'F&amp;B Admin'!O67</f>
        <v>0</v>
      </c>
      <c r="P114" s="63">
        <f>'Lobby Lounge'!P91+'ADD-Mhub lounge'!P91+'Royal Court'!P91+'MP Cafe'!P91+'MP Dining'!P91+'Room Service'!P91+Banquet!P92+Minibar!P79+STW!P67+'Main Kitchen'!P67+'F&amp;B Admin'!P67</f>
        <v>0</v>
      </c>
      <c r="Q114" s="142">
        <f t="shared" si="11"/>
        <v>0</v>
      </c>
      <c r="R114" s="142">
        <v>0</v>
      </c>
      <c r="S114" s="142">
        <f t="shared" si="12"/>
        <v>0</v>
      </c>
      <c r="U114" s="157"/>
      <c r="V114" s="40">
        <f t="shared" si="13"/>
        <v>0</v>
      </c>
    </row>
    <row r="115" spans="1:22" s="84" customFormat="1" ht="24.95" hidden="1" customHeight="1">
      <c r="A115" s="3" t="s">
        <v>244</v>
      </c>
      <c r="B115" s="3" t="s">
        <v>415</v>
      </c>
      <c r="C115" s="3"/>
      <c r="D115" s="26" t="s">
        <v>245</v>
      </c>
      <c r="E115" s="63">
        <f>'Lobby Lounge'!E92+'ADD-Mhub lounge'!E92+'Royal Court'!E92+'MP Cafe'!E92+'MP Dining'!E92+'Room Service'!E92+Banquet!E93+Minibar!E80+STW!E68+'Main Kitchen'!E68+'F&amp;B Admin'!E68</f>
        <v>0</v>
      </c>
      <c r="F115" s="63">
        <f>'Lobby Lounge'!F92+'ADD-Mhub lounge'!F92+'Royal Court'!F92+'MP Cafe'!F92+'MP Dining'!F92+'Room Service'!F92+Banquet!F93+Minibar!F80+STW!F68+'Main Kitchen'!F68+'F&amp;B Admin'!F68</f>
        <v>0</v>
      </c>
      <c r="G115" s="63">
        <f>'Lobby Lounge'!G92+'ADD-Mhub lounge'!G92+'Royal Court'!G92+'MP Cafe'!G92+'MP Dining'!G92+'Room Service'!G92+Banquet!G93+Minibar!G80+STW!G68+'Main Kitchen'!G68+'F&amp;B Admin'!G68</f>
        <v>0</v>
      </c>
      <c r="H115" s="63">
        <f>'Lobby Lounge'!H92+'ADD-Mhub lounge'!H92+'Royal Court'!H92+'MP Cafe'!H92+'MP Dining'!H92+'Room Service'!H92+Banquet!H93+Minibar!H80+STW!H68+'Main Kitchen'!H68+'F&amp;B Admin'!H68</f>
        <v>0</v>
      </c>
      <c r="I115" s="63">
        <f>'Lobby Lounge'!I92+'ADD-Mhub lounge'!I92+'Royal Court'!I92+'MP Cafe'!I92+'MP Dining'!I92+'Room Service'!I92+Banquet!I93+Minibar!I80+STW!I68+'Main Kitchen'!I68+'F&amp;B Admin'!I68</f>
        <v>0</v>
      </c>
      <c r="J115" s="63">
        <f>'Lobby Lounge'!J92+'ADD-Mhub lounge'!J92+'Royal Court'!J92+'MP Cafe'!J92+'MP Dining'!J92+'Room Service'!J92+Banquet!J93+Minibar!J80+STW!J68+'Main Kitchen'!J68+'F&amp;B Admin'!J68</f>
        <v>0</v>
      </c>
      <c r="K115" s="63">
        <f>'Lobby Lounge'!K92+'ADD-Mhub lounge'!K92+'Royal Court'!K92+'MP Cafe'!K92+'MP Dining'!K92+'Room Service'!K92+Banquet!K93+Minibar!K80+STW!K68+'Main Kitchen'!K68+'F&amp;B Admin'!K68</f>
        <v>0</v>
      </c>
      <c r="L115" s="63">
        <f>'Lobby Lounge'!L92+'ADD-Mhub lounge'!L92+'Royal Court'!L92+'MP Cafe'!L92+'MP Dining'!L92+'Room Service'!L92+Banquet!L93+Minibar!L80+STW!L68+'Main Kitchen'!L68+'F&amp;B Admin'!L68</f>
        <v>0</v>
      </c>
      <c r="M115" s="63">
        <f>'Lobby Lounge'!M92+'ADD-Mhub lounge'!M92+'Royal Court'!M92+'MP Cafe'!M92+'MP Dining'!M92+'Room Service'!M92+Banquet!M93+Minibar!M80+STW!M68+'Main Kitchen'!M68+'F&amp;B Admin'!M68</f>
        <v>0</v>
      </c>
      <c r="N115" s="63">
        <f>'Lobby Lounge'!N92+'ADD-Mhub lounge'!N92+'Royal Court'!N92+'MP Cafe'!N92+'MP Dining'!N92+'Room Service'!N92+Banquet!N93+Minibar!N80+STW!N68+'Main Kitchen'!N68+'F&amp;B Admin'!N68</f>
        <v>0</v>
      </c>
      <c r="O115" s="63">
        <f>'Lobby Lounge'!O92+'ADD-Mhub lounge'!O92+'Royal Court'!O92+'MP Cafe'!O92+'MP Dining'!O92+'Room Service'!O92+Banquet!O93+Minibar!O80+STW!O68+'Main Kitchen'!O68+'F&amp;B Admin'!O68</f>
        <v>0</v>
      </c>
      <c r="P115" s="63">
        <f>'Lobby Lounge'!P92+'ADD-Mhub lounge'!P92+'Royal Court'!P92+'MP Cafe'!P92+'MP Dining'!P92+'Room Service'!P92+Banquet!P93+Minibar!P80+STW!P68+'Main Kitchen'!P68+'F&amp;B Admin'!P68</f>
        <v>0</v>
      </c>
      <c r="Q115" s="142">
        <f t="shared" si="11"/>
        <v>0</v>
      </c>
      <c r="R115" s="142">
        <v>0</v>
      </c>
      <c r="S115" s="142">
        <f t="shared" si="12"/>
        <v>0</v>
      </c>
      <c r="U115" s="157"/>
      <c r="V115" s="40">
        <f t="shared" si="13"/>
        <v>0</v>
      </c>
    </row>
    <row r="116" spans="1:22" s="84" customFormat="1" ht="24.95" customHeight="1">
      <c r="A116" s="3" t="s">
        <v>246</v>
      </c>
      <c r="B116" s="3" t="s">
        <v>415</v>
      </c>
      <c r="C116" s="3"/>
      <c r="D116" s="26" t="s">
        <v>247</v>
      </c>
      <c r="E116" s="63">
        <f>'Lobby Lounge'!E93+'ADD-Mhub lounge'!E93+'Royal Court'!E93+'MP Cafe'!E93+'MP Dining'!E93+'Room Service'!E93+Banquet!E94+Minibar!E81+STW!E69+'Main Kitchen'!E69+'F&amp;B Admin'!E69</f>
        <v>100</v>
      </c>
      <c r="F116" s="63">
        <f>'Lobby Lounge'!F93+'ADD-Mhub lounge'!F93+'Royal Court'!F93+'MP Cafe'!F93+'MP Dining'!F93+'Room Service'!F93+Banquet!F94+Minibar!F81+STW!F69+'Main Kitchen'!F69+'F&amp;B Admin'!F69</f>
        <v>100</v>
      </c>
      <c r="G116" s="63">
        <f>'Lobby Lounge'!G93+'ADD-Mhub lounge'!G93+'Royal Court'!G93+'MP Cafe'!G93+'MP Dining'!G93+'Room Service'!G93+Banquet!G94+Minibar!G81+STW!G69+'Main Kitchen'!G69+'F&amp;B Admin'!G69</f>
        <v>100</v>
      </c>
      <c r="H116" s="63">
        <f>'Lobby Lounge'!H93+'ADD-Mhub lounge'!H93+'Royal Court'!H93+'MP Cafe'!H93+'MP Dining'!H93+'Room Service'!H93+Banquet!H94+Minibar!H81+STW!H69+'Main Kitchen'!H69+'F&amp;B Admin'!H69</f>
        <v>100</v>
      </c>
      <c r="I116" s="63">
        <f>'Lobby Lounge'!I93+'ADD-Mhub lounge'!I93+'Royal Court'!I93+'MP Cafe'!I93+'MP Dining'!I93+'Room Service'!I93+Banquet!I94+Minibar!I81+STW!I69+'Main Kitchen'!I69+'F&amp;B Admin'!I69</f>
        <v>100</v>
      </c>
      <c r="J116" s="63">
        <f>'Lobby Lounge'!J93+'ADD-Mhub lounge'!J93+'Royal Court'!J93+'MP Cafe'!J93+'MP Dining'!J93+'Room Service'!J93+Banquet!J94+Minibar!J81+STW!J69+'Main Kitchen'!J69+'F&amp;B Admin'!J69</f>
        <v>100</v>
      </c>
      <c r="K116" s="63">
        <f>'Lobby Lounge'!K93+'ADD-Mhub lounge'!K93+'Royal Court'!K93+'MP Cafe'!K93+'MP Dining'!K93+'Room Service'!K93+Banquet!K94+Minibar!K81+STW!K69+'Main Kitchen'!K69+'F&amp;B Admin'!K69</f>
        <v>100</v>
      </c>
      <c r="L116" s="63">
        <f>'Lobby Lounge'!L93+'ADD-Mhub lounge'!L93+'Royal Court'!L93+'MP Cafe'!L93+'MP Dining'!L93+'Room Service'!L93+Banquet!L94+Minibar!L81+STW!L69+'Main Kitchen'!L69+'F&amp;B Admin'!L69</f>
        <v>100</v>
      </c>
      <c r="M116" s="63">
        <f>'Lobby Lounge'!M93+'ADD-Mhub lounge'!M93+'Royal Court'!M93+'MP Cafe'!M93+'MP Dining'!M93+'Room Service'!M93+Banquet!M94+Minibar!M81+STW!M69+'Main Kitchen'!M69+'F&amp;B Admin'!M69</f>
        <v>100</v>
      </c>
      <c r="N116" s="63">
        <f>'Lobby Lounge'!N93+'ADD-Mhub lounge'!N93+'Royal Court'!N93+'MP Cafe'!N93+'MP Dining'!N93+'Room Service'!N93+Banquet!N94+Minibar!N81+STW!N69+'Main Kitchen'!N69+'F&amp;B Admin'!N69</f>
        <v>100</v>
      </c>
      <c r="O116" s="63">
        <f>'Lobby Lounge'!O93+'ADD-Mhub lounge'!O93+'Royal Court'!O93+'MP Cafe'!O93+'MP Dining'!O93+'Room Service'!O93+Banquet!O94+Minibar!O81+STW!O69+'Main Kitchen'!O69+'F&amp;B Admin'!O69</f>
        <v>100</v>
      </c>
      <c r="P116" s="63">
        <f>'Lobby Lounge'!P93+'ADD-Mhub lounge'!P93+'Royal Court'!P93+'MP Cafe'!P93+'MP Dining'!P93+'Room Service'!P93+Banquet!P94+Minibar!P81+STW!P69+'Main Kitchen'!P69+'F&amp;B Admin'!P69</f>
        <v>100</v>
      </c>
      <c r="Q116" s="142">
        <f t="shared" si="11"/>
        <v>1200</v>
      </c>
      <c r="R116" s="142">
        <v>2411.5700000000002</v>
      </c>
      <c r="S116" s="142">
        <f t="shared" si="12"/>
        <v>1.3779353605894476E-2</v>
      </c>
      <c r="U116" s="157"/>
      <c r="V116" s="40" t="e">
        <f t="shared" si="13"/>
        <v>#DIV/0!</v>
      </c>
    </row>
    <row r="117" spans="1:22" s="84" customFormat="1" ht="24.95" customHeight="1">
      <c r="A117" s="3" t="s">
        <v>248</v>
      </c>
      <c r="B117" s="3" t="s">
        <v>415</v>
      </c>
      <c r="C117" s="3"/>
      <c r="D117" s="26" t="s">
        <v>249</v>
      </c>
      <c r="E117" s="63">
        <f>'Lobby Lounge'!E94+'ADD-Mhub lounge'!E94+'Royal Court'!E94+'MP Cafe'!E94+'MP Dining'!E94+'Room Service'!E94+Banquet!E95+Minibar!E82+STW!E70+'Main Kitchen'!E70+'F&amp;B Admin'!E70</f>
        <v>450</v>
      </c>
      <c r="F117" s="63">
        <f>'Lobby Lounge'!F94+'ADD-Mhub lounge'!F94+'Royal Court'!F94+'MP Cafe'!F94+'MP Dining'!F94+'Room Service'!F94+Banquet!F95+Minibar!F82+STW!F70+'Main Kitchen'!F70+'F&amp;B Admin'!F70</f>
        <v>450</v>
      </c>
      <c r="G117" s="63">
        <f>'Lobby Lounge'!G94+'ADD-Mhub lounge'!G94+'Royal Court'!G94+'MP Cafe'!G94+'MP Dining'!G94+'Room Service'!G94+Banquet!G95+Minibar!G82+STW!G70+'Main Kitchen'!G70+'F&amp;B Admin'!G70</f>
        <v>450</v>
      </c>
      <c r="H117" s="63">
        <f>'Lobby Lounge'!H94+'ADD-Mhub lounge'!H94+'Royal Court'!H94+'MP Cafe'!H94+'MP Dining'!H94+'Room Service'!H94+Banquet!H95+Minibar!H82+STW!H70+'Main Kitchen'!H70+'F&amp;B Admin'!H70</f>
        <v>450</v>
      </c>
      <c r="I117" s="63">
        <f>'Lobby Lounge'!I94+'ADD-Mhub lounge'!I94+'Royal Court'!I94+'MP Cafe'!I94+'MP Dining'!I94+'Room Service'!I94+Banquet!I95+Minibar!I82+STW!I70+'Main Kitchen'!I70+'F&amp;B Admin'!I70</f>
        <v>450</v>
      </c>
      <c r="J117" s="63">
        <f>'Lobby Lounge'!J94+'ADD-Mhub lounge'!J94+'Royal Court'!J94+'MP Cafe'!J94+'MP Dining'!J94+'Room Service'!J94+Banquet!J95+Minibar!J82+STW!J70+'Main Kitchen'!J70+'F&amp;B Admin'!J70</f>
        <v>450</v>
      </c>
      <c r="K117" s="63">
        <f>'Lobby Lounge'!K94+'ADD-Mhub lounge'!K94+'Royal Court'!K94+'MP Cafe'!K94+'MP Dining'!K94+'Room Service'!K94+Banquet!K95+Minibar!K82+STW!K70+'Main Kitchen'!K70+'F&amp;B Admin'!K70</f>
        <v>450</v>
      </c>
      <c r="L117" s="63">
        <f>'Lobby Lounge'!L94+'ADD-Mhub lounge'!L94+'Royal Court'!L94+'MP Cafe'!L94+'MP Dining'!L94+'Room Service'!L94+Banquet!L95+Minibar!L82+STW!L70+'Main Kitchen'!L70+'F&amp;B Admin'!L70</f>
        <v>450</v>
      </c>
      <c r="M117" s="63">
        <f>'Lobby Lounge'!M94+'ADD-Mhub lounge'!M94+'Royal Court'!M94+'MP Cafe'!M94+'MP Dining'!M94+'Room Service'!M94+Banquet!M95+Minibar!M82+STW!M70+'Main Kitchen'!M70+'F&amp;B Admin'!M70</f>
        <v>450</v>
      </c>
      <c r="N117" s="63">
        <f>'Lobby Lounge'!N94+'ADD-Mhub lounge'!N94+'Royal Court'!N94+'MP Cafe'!N94+'MP Dining'!N94+'Room Service'!N94+Banquet!N95+Minibar!N82+STW!N70+'Main Kitchen'!N70+'F&amp;B Admin'!N70</f>
        <v>450</v>
      </c>
      <c r="O117" s="63">
        <f>'Lobby Lounge'!O94+'ADD-Mhub lounge'!O94+'Royal Court'!O94+'MP Cafe'!O94+'MP Dining'!O94+'Room Service'!O94+Banquet!O95+Minibar!O82+STW!O70+'Main Kitchen'!O70+'F&amp;B Admin'!O70</f>
        <v>450</v>
      </c>
      <c r="P117" s="63">
        <f>'Lobby Lounge'!P94+'ADD-Mhub lounge'!P94+'Royal Court'!P94+'MP Cafe'!P94+'MP Dining'!P94+'Room Service'!P94+Banquet!P95+Minibar!P82+STW!P70+'Main Kitchen'!P70+'F&amp;B Admin'!P70</f>
        <v>450</v>
      </c>
      <c r="Q117" s="142">
        <f t="shared" si="11"/>
        <v>5400</v>
      </c>
      <c r="R117" s="142">
        <v>22104.07</v>
      </c>
      <c r="S117" s="142">
        <f t="shared" si="12"/>
        <v>6.2007091226525146E-2</v>
      </c>
      <c r="U117" s="157"/>
      <c r="V117" s="40" t="e">
        <f t="shared" si="13"/>
        <v>#DIV/0!</v>
      </c>
    </row>
    <row r="118" spans="1:22" s="84" customFormat="1" ht="24.95" customHeight="1">
      <c r="A118" s="3" t="s">
        <v>250</v>
      </c>
      <c r="B118" s="3" t="s">
        <v>415</v>
      </c>
      <c r="C118" s="3"/>
      <c r="D118" s="26" t="s">
        <v>251</v>
      </c>
      <c r="E118" s="63">
        <f>'Lobby Lounge'!E95+'ADD-Mhub lounge'!E95+'Royal Court'!E95+'MP Cafe'!E95+'MP Dining'!E95+'Room Service'!E95+Banquet!E96+Minibar!E83+STW!E71+'Main Kitchen'!E71+'F&amp;B Admin'!E71</f>
        <v>17140.849999999999</v>
      </c>
      <c r="F118" s="63">
        <f>'Lobby Lounge'!F95+'ADD-Mhub lounge'!F95+'Royal Court'!F95+'MP Cafe'!F95+'MP Dining'!F95+'Room Service'!F95+Banquet!F96+Minibar!F83+STW!F71+'Main Kitchen'!F71+'F&amp;B Admin'!F71</f>
        <v>18384.620000000003</v>
      </c>
      <c r="G118" s="63">
        <f>'Lobby Lounge'!G95+'ADD-Mhub lounge'!G95+'Royal Court'!G95+'MP Cafe'!G95+'MP Dining'!G95+'Room Service'!G95+Banquet!G96+Minibar!G83+STW!G71+'Main Kitchen'!G71+'F&amp;B Admin'!G71</f>
        <v>17094.87</v>
      </c>
      <c r="H118" s="63">
        <f>'Lobby Lounge'!H95+'ADD-Mhub lounge'!H95+'Royal Court'!H95+'MP Cafe'!H95+'MP Dining'!H95+'Room Service'!H95+Banquet!H96+Minibar!H83+STW!H71+'Main Kitchen'!H71+'F&amp;B Admin'!H71</f>
        <v>18491.25</v>
      </c>
      <c r="I118" s="63">
        <f>'Lobby Lounge'!I95+'ADD-Mhub lounge'!I95+'Royal Court'!I95+'MP Cafe'!I95+'MP Dining'!I95+'Room Service'!I95+Banquet!I96+Minibar!I83+STW!I71+'Main Kitchen'!I71+'F&amp;B Admin'!I71</f>
        <v>18663.370000000003</v>
      </c>
      <c r="J118" s="63">
        <f>'Lobby Lounge'!J95+'ADD-Mhub lounge'!J95+'Royal Court'!J95+'MP Cafe'!J95+'MP Dining'!J95+'Room Service'!J95+Banquet!J96+Minibar!J83+STW!J71+'Main Kitchen'!J71+'F&amp;B Admin'!J71</f>
        <v>18789.150000000001</v>
      </c>
      <c r="K118" s="63">
        <f>'Lobby Lounge'!K95+'ADD-Mhub lounge'!K95+'Royal Court'!K95+'MP Cafe'!K95+'MP Dining'!K95+'Room Service'!K95+Banquet!K96+Minibar!K83+STW!K71+'Main Kitchen'!K71+'F&amp;B Admin'!K71</f>
        <v>18650.509999999998</v>
      </c>
      <c r="L118" s="63">
        <f>'Lobby Lounge'!L95+'ADD-Mhub lounge'!L95+'Royal Court'!L95+'MP Cafe'!L95+'MP Dining'!L95+'Room Service'!L95+Banquet!L96+Minibar!L83+STW!L71+'Main Kitchen'!L71+'F&amp;B Admin'!L71</f>
        <v>18716.699999999997</v>
      </c>
      <c r="M118" s="63">
        <f>'Lobby Lounge'!M95+'ADD-Mhub lounge'!M95+'Royal Court'!M95+'MP Cafe'!M95+'MP Dining'!M95+'Room Service'!M95+Banquet!M96+Minibar!M83+STW!M71+'Main Kitchen'!M71+'F&amp;B Admin'!M71</f>
        <v>19583.510000000002</v>
      </c>
      <c r="N118" s="63">
        <f>'Lobby Lounge'!N95+'ADD-Mhub lounge'!N95+'Royal Court'!N95+'MP Cafe'!N95+'MP Dining'!N95+'Room Service'!N95+Banquet!N96+Minibar!N83+STW!N71+'Main Kitchen'!N71+'F&amp;B Admin'!N71</f>
        <v>20827.260000000002</v>
      </c>
      <c r="O118" s="63">
        <f>'Lobby Lounge'!O95+'ADD-Mhub lounge'!O95+'Royal Court'!O95+'MP Cafe'!O95+'MP Dining'!O95+'Room Service'!O95+Banquet!O96+Minibar!O83+STW!O71+'Main Kitchen'!O71+'F&amp;B Admin'!O71</f>
        <v>18140.79</v>
      </c>
      <c r="P118" s="63">
        <f>'Lobby Lounge'!P95+'ADD-Mhub lounge'!P95+'Royal Court'!P95+'MP Cafe'!P95+'MP Dining'!P95+'Room Service'!P95+Banquet!P96+Minibar!P83+STW!P71+'Main Kitchen'!P71+'F&amp;B Admin'!P71</f>
        <v>17889.239999999998</v>
      </c>
      <c r="Q118" s="142">
        <f t="shared" si="11"/>
        <v>222372.12</v>
      </c>
      <c r="R118" s="142">
        <v>308732.89</v>
      </c>
      <c r="S118" s="142">
        <f t="shared" si="12"/>
        <v>2.5534533946436659</v>
      </c>
      <c r="U118" s="157"/>
      <c r="V118" s="40" t="e">
        <f t="shared" si="13"/>
        <v>#DIV/0!</v>
      </c>
    </row>
    <row r="119" spans="1:22" s="84" customFormat="1" ht="24.95" hidden="1" customHeight="1">
      <c r="A119" s="3" t="s">
        <v>252</v>
      </c>
      <c r="B119" s="3" t="s">
        <v>415</v>
      </c>
      <c r="C119" s="3"/>
      <c r="D119" s="26" t="s">
        <v>253</v>
      </c>
      <c r="E119" s="63">
        <f>'Lobby Lounge'!E96+'ADD-Mhub lounge'!E96+'Royal Court'!E96+'MP Cafe'!E96+'MP Dining'!E96+'Room Service'!E96+Banquet!E97+Minibar!E84+STW!E72+'Main Kitchen'!E72+'F&amp;B Admin'!E72</f>
        <v>0</v>
      </c>
      <c r="F119" s="63">
        <f>'Lobby Lounge'!F96+'ADD-Mhub lounge'!F96+'Royal Court'!F96+'MP Cafe'!F96+'MP Dining'!F96+'Room Service'!F96+Banquet!F97+Minibar!F84+STW!F72+'Main Kitchen'!F72+'F&amp;B Admin'!F72</f>
        <v>0</v>
      </c>
      <c r="G119" s="63">
        <f>'Lobby Lounge'!G96+'ADD-Mhub lounge'!G96+'Royal Court'!G96+'MP Cafe'!G96+'MP Dining'!G96+'Room Service'!G96+Banquet!G97+Minibar!G84+STW!G72+'Main Kitchen'!G72+'F&amp;B Admin'!G72</f>
        <v>0</v>
      </c>
      <c r="H119" s="63">
        <f>'Lobby Lounge'!H96+'ADD-Mhub lounge'!H96+'Royal Court'!H96+'MP Cafe'!H96+'MP Dining'!H96+'Room Service'!H96+Banquet!H97+Minibar!H84+STW!H72+'Main Kitchen'!H72+'F&amp;B Admin'!H72</f>
        <v>0</v>
      </c>
      <c r="I119" s="63">
        <f>'Lobby Lounge'!I96+'ADD-Mhub lounge'!I96+'Royal Court'!I96+'MP Cafe'!I96+'MP Dining'!I96+'Room Service'!I96+Banquet!I97+Minibar!I84+STW!I72+'Main Kitchen'!I72+'F&amp;B Admin'!I72</f>
        <v>0</v>
      </c>
      <c r="J119" s="63">
        <f>'Lobby Lounge'!J96+'ADD-Mhub lounge'!J96+'Royal Court'!J96+'MP Cafe'!J96+'MP Dining'!J96+'Room Service'!J96+Banquet!J97+Minibar!J84+STW!J72+'Main Kitchen'!J72+'F&amp;B Admin'!J72</f>
        <v>0</v>
      </c>
      <c r="K119" s="63">
        <f>'Lobby Lounge'!K96+'ADD-Mhub lounge'!K96+'Royal Court'!K96+'MP Cafe'!K96+'MP Dining'!K96+'Room Service'!K96+Banquet!K97+Minibar!K84+STW!K72+'Main Kitchen'!K72+'F&amp;B Admin'!K72</f>
        <v>0</v>
      </c>
      <c r="L119" s="63">
        <f>'Lobby Lounge'!L96+'ADD-Mhub lounge'!L96+'Royal Court'!L96+'MP Cafe'!L96+'MP Dining'!L96+'Room Service'!L96+Banquet!L97+Minibar!L84+STW!L72+'Main Kitchen'!L72+'F&amp;B Admin'!L72</f>
        <v>0</v>
      </c>
      <c r="M119" s="63">
        <f>'Lobby Lounge'!M96+'ADD-Mhub lounge'!M96+'Royal Court'!M96+'MP Cafe'!M96+'MP Dining'!M96+'Room Service'!M96+Banquet!M97+Minibar!M84+STW!M72+'Main Kitchen'!M72+'F&amp;B Admin'!M72</f>
        <v>0</v>
      </c>
      <c r="N119" s="63">
        <f>'Lobby Lounge'!N96+'ADD-Mhub lounge'!N96+'Royal Court'!N96+'MP Cafe'!N96+'MP Dining'!N96+'Room Service'!N96+Banquet!N97+Minibar!N84+STW!N72+'Main Kitchen'!N72+'F&amp;B Admin'!N72</f>
        <v>0</v>
      </c>
      <c r="O119" s="63">
        <f>'Lobby Lounge'!O96+'ADD-Mhub lounge'!O96+'Royal Court'!O96+'MP Cafe'!O96+'MP Dining'!O96+'Room Service'!O96+Banquet!O97+Minibar!O84+STW!O72+'Main Kitchen'!O72+'F&amp;B Admin'!O72</f>
        <v>0</v>
      </c>
      <c r="P119" s="63">
        <f>'Lobby Lounge'!P96+'ADD-Mhub lounge'!P96+'Royal Court'!P96+'MP Cafe'!P96+'MP Dining'!P96+'Room Service'!P96+Banquet!P97+Minibar!P84+STW!P72+'Main Kitchen'!P72+'F&amp;B Admin'!P72</f>
        <v>0</v>
      </c>
      <c r="Q119" s="142">
        <f t="shared" si="11"/>
        <v>0</v>
      </c>
      <c r="R119" s="142">
        <v>24981.51</v>
      </c>
      <c r="S119" s="142">
        <f t="shared" si="12"/>
        <v>0</v>
      </c>
      <c r="U119" s="157"/>
      <c r="V119" s="40">
        <f t="shared" si="13"/>
        <v>0</v>
      </c>
    </row>
    <row r="120" spans="1:22" s="84" customFormat="1" ht="24.95" customHeight="1">
      <c r="A120" s="3" t="s">
        <v>254</v>
      </c>
      <c r="B120" s="3" t="s">
        <v>415</v>
      </c>
      <c r="C120" s="3"/>
      <c r="D120" s="26" t="s">
        <v>255</v>
      </c>
      <c r="E120" s="63">
        <f>'Lobby Lounge'!E97+'ADD-Mhub lounge'!E97+'Royal Court'!E97+'MP Cafe'!E97+'MP Dining'!E97+'Room Service'!E97+Banquet!E98+Minibar!E85+STW!E73+'Main Kitchen'!E73+'F&amp;B Admin'!E73</f>
        <v>1250</v>
      </c>
      <c r="F120" s="63">
        <f>'Lobby Lounge'!F97+'ADD-Mhub lounge'!F97+'Royal Court'!F97+'MP Cafe'!F97+'MP Dining'!F97+'Room Service'!F97+Banquet!F98+Minibar!F85+STW!F73+'Main Kitchen'!F73+'F&amp;B Admin'!F73</f>
        <v>1250</v>
      </c>
      <c r="G120" s="63">
        <f>'Lobby Lounge'!G97+'ADD-Mhub lounge'!G97+'Royal Court'!G97+'MP Cafe'!G97+'MP Dining'!G97+'Room Service'!G97+Banquet!G98+Minibar!G85+STW!G73+'Main Kitchen'!G73+'F&amp;B Admin'!G73</f>
        <v>1250</v>
      </c>
      <c r="H120" s="63">
        <f>'Lobby Lounge'!H97+'ADD-Mhub lounge'!H97+'Royal Court'!H97+'MP Cafe'!H97+'MP Dining'!H97+'Room Service'!H97+Banquet!H98+Minibar!H85+STW!H73+'Main Kitchen'!H73+'F&amp;B Admin'!H73</f>
        <v>1250</v>
      </c>
      <c r="I120" s="63">
        <f>'Lobby Lounge'!I97+'ADD-Mhub lounge'!I97+'Royal Court'!I97+'MP Cafe'!I97+'MP Dining'!I97+'Room Service'!I97+Banquet!I98+Minibar!I85+STW!I73+'Main Kitchen'!I73+'F&amp;B Admin'!I73</f>
        <v>1250</v>
      </c>
      <c r="J120" s="63">
        <f>'Lobby Lounge'!J97+'ADD-Mhub lounge'!J97+'Royal Court'!J97+'MP Cafe'!J97+'MP Dining'!J97+'Room Service'!J97+Banquet!J98+Minibar!J85+STW!J73+'Main Kitchen'!J73+'F&amp;B Admin'!J73</f>
        <v>1250</v>
      </c>
      <c r="K120" s="63">
        <f>'Lobby Lounge'!K97+'ADD-Mhub lounge'!K97+'Royal Court'!K97+'MP Cafe'!K97+'MP Dining'!K97+'Room Service'!K97+Banquet!K98+Minibar!K85+STW!K73+'Main Kitchen'!K73+'F&amp;B Admin'!K73</f>
        <v>1250</v>
      </c>
      <c r="L120" s="63">
        <f>'Lobby Lounge'!L97+'ADD-Mhub lounge'!L97+'Royal Court'!L97+'MP Cafe'!L97+'MP Dining'!L97+'Room Service'!L97+Banquet!L98+Minibar!L85+STW!L73+'Main Kitchen'!L73+'F&amp;B Admin'!L73</f>
        <v>1250</v>
      </c>
      <c r="M120" s="63">
        <f>'Lobby Lounge'!M97+'ADD-Mhub lounge'!M97+'Royal Court'!M97+'MP Cafe'!M97+'MP Dining'!M97+'Room Service'!M97+Banquet!M98+Minibar!M85+STW!M73+'Main Kitchen'!M73+'F&amp;B Admin'!M73</f>
        <v>1250</v>
      </c>
      <c r="N120" s="63">
        <f>'Lobby Lounge'!N97+'ADD-Mhub lounge'!N97+'Royal Court'!N97+'MP Cafe'!N97+'MP Dining'!N97+'Room Service'!N97+Banquet!N98+Minibar!N85+STW!N73+'Main Kitchen'!N73+'F&amp;B Admin'!N73</f>
        <v>1250</v>
      </c>
      <c r="O120" s="63">
        <f>'Lobby Lounge'!O97+'ADD-Mhub lounge'!O97+'Royal Court'!O97+'MP Cafe'!O97+'MP Dining'!O97+'Room Service'!O97+Banquet!O98+Minibar!O85+STW!O73+'Main Kitchen'!O73+'F&amp;B Admin'!O73</f>
        <v>1250</v>
      </c>
      <c r="P120" s="63">
        <f>'Lobby Lounge'!P97+'ADD-Mhub lounge'!P97+'Royal Court'!P97+'MP Cafe'!P97+'MP Dining'!P97+'Room Service'!P97+Banquet!P98+Minibar!P85+STW!P73+'Main Kitchen'!P73+'F&amp;B Admin'!P73</f>
        <v>1250</v>
      </c>
      <c r="Q120" s="142">
        <f t="shared" si="11"/>
        <v>15000</v>
      </c>
      <c r="R120" s="142">
        <v>36880.5</v>
      </c>
      <c r="S120" s="142">
        <f t="shared" si="12"/>
        <v>0.17224192007368094</v>
      </c>
      <c r="U120" s="157"/>
      <c r="V120" s="40" t="e">
        <f t="shared" si="13"/>
        <v>#DIV/0!</v>
      </c>
    </row>
    <row r="121" spans="1:22" s="84" customFormat="1" ht="24.95" hidden="1" customHeight="1">
      <c r="A121" s="3" t="s">
        <v>256</v>
      </c>
      <c r="B121" s="3" t="s">
        <v>415</v>
      </c>
      <c r="C121" s="3"/>
      <c r="D121" s="26" t="s">
        <v>257</v>
      </c>
      <c r="E121" s="63">
        <f>'Lobby Lounge'!E98+'ADD-Mhub lounge'!E98+'Royal Court'!E98+'MP Cafe'!E98+'MP Dining'!E98+'Room Service'!E98+Banquet!E99+Minibar!E86+STW!E74+'Main Kitchen'!E74+'F&amp;B Admin'!E74</f>
        <v>0</v>
      </c>
      <c r="F121" s="63">
        <f>'Lobby Lounge'!F98+'ADD-Mhub lounge'!F98+'Royal Court'!F98+'MP Cafe'!F98+'MP Dining'!F98+'Room Service'!F98+Banquet!F99+Minibar!F86+STW!F74+'Main Kitchen'!F74+'F&amp;B Admin'!F74</f>
        <v>0</v>
      </c>
      <c r="G121" s="63">
        <f>'Lobby Lounge'!G98+'ADD-Mhub lounge'!G98+'Royal Court'!G98+'MP Cafe'!G98+'MP Dining'!G98+'Room Service'!G98+Banquet!G99+Minibar!G86+STW!G74+'Main Kitchen'!G74+'F&amp;B Admin'!G74</f>
        <v>0</v>
      </c>
      <c r="H121" s="63">
        <f>'Lobby Lounge'!H98+'ADD-Mhub lounge'!H98+'Royal Court'!H98+'MP Cafe'!H98+'MP Dining'!H98+'Room Service'!H98+Banquet!H99+Minibar!H86+STW!H74+'Main Kitchen'!H74+'F&amp;B Admin'!H74</f>
        <v>0</v>
      </c>
      <c r="I121" s="63">
        <f>'Lobby Lounge'!I98+'ADD-Mhub lounge'!I98+'Royal Court'!I98+'MP Cafe'!I98+'MP Dining'!I98+'Room Service'!I98+Banquet!I99+Minibar!I86+STW!I74+'Main Kitchen'!I74+'F&amp;B Admin'!I74</f>
        <v>0</v>
      </c>
      <c r="J121" s="63">
        <f>'Lobby Lounge'!J98+'ADD-Mhub lounge'!J98+'Royal Court'!J98+'MP Cafe'!J98+'MP Dining'!J98+'Room Service'!J98+Banquet!J99+Minibar!J86+STW!J74+'Main Kitchen'!J74+'F&amp;B Admin'!J74</f>
        <v>0</v>
      </c>
      <c r="K121" s="63">
        <f>'Lobby Lounge'!K98+'ADD-Mhub lounge'!K98+'Royal Court'!K98+'MP Cafe'!K98+'MP Dining'!K98+'Room Service'!K98+Banquet!K99+Minibar!K86+STW!K74+'Main Kitchen'!K74+'F&amp;B Admin'!K74</f>
        <v>0</v>
      </c>
      <c r="L121" s="63">
        <f>'Lobby Lounge'!L98+'ADD-Mhub lounge'!L98+'Royal Court'!L98+'MP Cafe'!L98+'MP Dining'!L98+'Room Service'!L98+Banquet!L99+Minibar!L86+STW!L74+'Main Kitchen'!L74+'F&amp;B Admin'!L74</f>
        <v>0</v>
      </c>
      <c r="M121" s="63">
        <f>'Lobby Lounge'!M98+'ADD-Mhub lounge'!M98+'Royal Court'!M98+'MP Cafe'!M98+'MP Dining'!M98+'Room Service'!M98+Banquet!M99+Minibar!M86+STW!M74+'Main Kitchen'!M74+'F&amp;B Admin'!M74</f>
        <v>0</v>
      </c>
      <c r="N121" s="63">
        <f>'Lobby Lounge'!N98+'ADD-Mhub lounge'!N98+'Royal Court'!N98+'MP Cafe'!N98+'MP Dining'!N98+'Room Service'!N98+Banquet!N99+Minibar!N86+STW!N74+'Main Kitchen'!N74+'F&amp;B Admin'!N74</f>
        <v>0</v>
      </c>
      <c r="O121" s="63">
        <f>'Lobby Lounge'!O98+'ADD-Mhub lounge'!O98+'Royal Court'!O98+'MP Cafe'!O98+'MP Dining'!O98+'Room Service'!O98+Banquet!O99+Minibar!O86+STW!O74+'Main Kitchen'!O74+'F&amp;B Admin'!O74</f>
        <v>0</v>
      </c>
      <c r="P121" s="63">
        <f>'Lobby Lounge'!P98+'ADD-Mhub lounge'!P98+'Royal Court'!P98+'MP Cafe'!P98+'MP Dining'!P98+'Room Service'!P98+Banquet!P99+Minibar!P86+STW!P74+'Main Kitchen'!P74+'F&amp;B Admin'!P74</f>
        <v>0</v>
      </c>
      <c r="Q121" s="142">
        <f t="shared" si="11"/>
        <v>0</v>
      </c>
      <c r="R121" s="142">
        <v>0</v>
      </c>
      <c r="S121" s="142">
        <f t="shared" si="12"/>
        <v>0</v>
      </c>
      <c r="U121" s="157"/>
      <c r="V121" s="40">
        <f t="shared" si="13"/>
        <v>0</v>
      </c>
    </row>
    <row r="122" spans="1:22" s="84" customFormat="1" ht="24.95" customHeight="1">
      <c r="A122" s="3" t="s">
        <v>258</v>
      </c>
      <c r="B122" s="3" t="s">
        <v>415</v>
      </c>
      <c r="C122" s="3"/>
      <c r="D122" s="26" t="s">
        <v>259</v>
      </c>
      <c r="E122" s="63">
        <f>'Lobby Lounge'!E99+'ADD-Mhub lounge'!E99+'Royal Court'!E99+'MP Cafe'!E99+'MP Dining'!E99+'Room Service'!E99+Banquet!E100+Minibar!E87+STW!E75+'Main Kitchen'!E75+'F&amp;B Admin'!E75</f>
        <v>300</v>
      </c>
      <c r="F122" s="63">
        <f>'Lobby Lounge'!F99+'ADD-Mhub lounge'!F99+'Royal Court'!F99+'MP Cafe'!F99+'MP Dining'!F99+'Room Service'!F99+Banquet!F100+Minibar!F87+STW!F75+'Main Kitchen'!F75+'F&amp;B Admin'!F75</f>
        <v>300</v>
      </c>
      <c r="G122" s="63">
        <f>'Lobby Lounge'!G99+'ADD-Mhub lounge'!G99+'Royal Court'!G99+'MP Cafe'!G99+'MP Dining'!G99+'Room Service'!G99+Banquet!G100+Minibar!G87+STW!G75+'Main Kitchen'!G75+'F&amp;B Admin'!G75</f>
        <v>300</v>
      </c>
      <c r="H122" s="63">
        <f>'Lobby Lounge'!H99+'ADD-Mhub lounge'!H99+'Royal Court'!H99+'MP Cafe'!H99+'MP Dining'!H99+'Room Service'!H99+Banquet!H100+Minibar!H87+STW!H75+'Main Kitchen'!H75+'F&amp;B Admin'!H75</f>
        <v>300</v>
      </c>
      <c r="I122" s="63">
        <f>'Lobby Lounge'!I99+'ADD-Mhub lounge'!I99+'Royal Court'!I99+'MP Cafe'!I99+'MP Dining'!I99+'Room Service'!I99+Banquet!I100+Minibar!I87+STW!I75+'Main Kitchen'!I75+'F&amp;B Admin'!I75</f>
        <v>300</v>
      </c>
      <c r="J122" s="63">
        <f>'Lobby Lounge'!J99+'ADD-Mhub lounge'!J99+'Royal Court'!J99+'MP Cafe'!J99+'MP Dining'!J99+'Room Service'!J99+Banquet!J100+Minibar!J87+STW!J75+'Main Kitchen'!J75+'F&amp;B Admin'!J75</f>
        <v>300</v>
      </c>
      <c r="K122" s="63">
        <f>'Lobby Lounge'!K99+'ADD-Mhub lounge'!K99+'Royal Court'!K99+'MP Cafe'!K99+'MP Dining'!K99+'Room Service'!K99+Banquet!K100+Minibar!K87+STW!K75+'Main Kitchen'!K75+'F&amp;B Admin'!K75</f>
        <v>300</v>
      </c>
      <c r="L122" s="63">
        <f>'Lobby Lounge'!L99+'ADD-Mhub lounge'!L99+'Royal Court'!L99+'MP Cafe'!L99+'MP Dining'!L99+'Room Service'!L99+Banquet!L100+Minibar!L87+STW!L75+'Main Kitchen'!L75+'F&amp;B Admin'!L75</f>
        <v>300</v>
      </c>
      <c r="M122" s="63">
        <f>'Lobby Lounge'!M99+'ADD-Mhub lounge'!M99+'Royal Court'!M99+'MP Cafe'!M99+'MP Dining'!M99+'Room Service'!M99+Banquet!M100+Minibar!M87+STW!M75+'Main Kitchen'!M75+'F&amp;B Admin'!M75</f>
        <v>300</v>
      </c>
      <c r="N122" s="63">
        <f>'Lobby Lounge'!N99+'ADD-Mhub lounge'!N99+'Royal Court'!N99+'MP Cafe'!N99+'MP Dining'!N99+'Room Service'!N99+Banquet!N100+Minibar!N87+STW!N75+'Main Kitchen'!N75+'F&amp;B Admin'!N75</f>
        <v>300</v>
      </c>
      <c r="O122" s="63">
        <f>'Lobby Lounge'!O99+'ADD-Mhub lounge'!O99+'Royal Court'!O99+'MP Cafe'!O99+'MP Dining'!O99+'Room Service'!O99+Banquet!O100+Minibar!O87+STW!O75+'Main Kitchen'!O75+'F&amp;B Admin'!O75</f>
        <v>300</v>
      </c>
      <c r="P122" s="63">
        <f>'Lobby Lounge'!P99+'ADD-Mhub lounge'!P99+'Royal Court'!P99+'MP Cafe'!P99+'MP Dining'!P99+'Room Service'!P99+Banquet!P100+Minibar!P87+STW!P75+'Main Kitchen'!P75+'F&amp;B Admin'!P75</f>
        <v>300</v>
      </c>
      <c r="Q122" s="142">
        <f t="shared" si="11"/>
        <v>3600</v>
      </c>
      <c r="R122" s="142">
        <v>2265.8000000000002</v>
      </c>
      <c r="S122" s="142">
        <f t="shared" si="12"/>
        <v>4.1338060817683431E-2</v>
      </c>
      <c r="U122" s="157"/>
      <c r="V122" s="40"/>
    </row>
    <row r="123" spans="1:22" s="84" customFormat="1" ht="24.95" customHeight="1">
      <c r="A123" s="3" t="s">
        <v>260</v>
      </c>
      <c r="B123" s="3" t="s">
        <v>415</v>
      </c>
      <c r="C123" s="3"/>
      <c r="D123" s="26" t="s">
        <v>261</v>
      </c>
      <c r="E123" s="63">
        <f>'Lobby Lounge'!E100+'ADD-Mhub lounge'!E100+'Royal Court'!E100+'MP Cafe'!E100+'MP Dining'!E100+'Room Service'!E100+Banquet!E101+Minibar!E88+STW!E76+'Main Kitchen'!E76+'F&amp;B Admin'!E76</f>
        <v>0</v>
      </c>
      <c r="F123" s="63">
        <f>'Lobby Lounge'!F100+'ADD-Mhub lounge'!F100+'Royal Court'!F100+'MP Cafe'!F100+'MP Dining'!F100+'Room Service'!F100+Banquet!F101+Minibar!F88+STW!F76+'Main Kitchen'!F76+'F&amp;B Admin'!F76</f>
        <v>0</v>
      </c>
      <c r="G123" s="63">
        <f>'Lobby Lounge'!G100+'ADD-Mhub lounge'!G100+'Royal Court'!G100+'MP Cafe'!G100+'MP Dining'!G100+'Room Service'!G100+Banquet!G101+Minibar!G88+STW!G76+'Main Kitchen'!G76+'F&amp;B Admin'!G76</f>
        <v>0</v>
      </c>
      <c r="H123" s="63">
        <f>'Lobby Lounge'!H100+'ADD-Mhub lounge'!H100+'Royal Court'!H100+'MP Cafe'!H100+'MP Dining'!H100+'Room Service'!H100+Banquet!H101+Minibar!H88+STW!H76+'Main Kitchen'!H76+'F&amp;B Admin'!H76</f>
        <v>3000</v>
      </c>
      <c r="I123" s="63">
        <f>'Lobby Lounge'!I100+'ADD-Mhub lounge'!I100+'Royal Court'!I100+'MP Cafe'!I100+'MP Dining'!I100+'Room Service'!I100+Banquet!I101+Minibar!I88+STW!I76+'Main Kitchen'!I76+'F&amp;B Admin'!I76</f>
        <v>3000</v>
      </c>
      <c r="J123" s="63">
        <f>'Lobby Lounge'!J100+'ADD-Mhub lounge'!J100+'Royal Court'!J100+'MP Cafe'!J100+'MP Dining'!J100+'Room Service'!J100+Banquet!J101+Minibar!J88+STW!J76+'Main Kitchen'!J76+'F&amp;B Admin'!J76</f>
        <v>13000</v>
      </c>
      <c r="K123" s="63">
        <f>'Lobby Lounge'!K100+'ADD-Mhub lounge'!K100+'Royal Court'!K100+'MP Cafe'!K100+'MP Dining'!K100+'Room Service'!K100+Banquet!K101+Minibar!K88+STW!K76+'Main Kitchen'!K76+'F&amp;B Admin'!K76</f>
        <v>1500</v>
      </c>
      <c r="L123" s="63">
        <f>'Lobby Lounge'!L100+'ADD-Mhub lounge'!L100+'Royal Court'!L100+'MP Cafe'!L100+'MP Dining'!L100+'Room Service'!L100+Banquet!L101+Minibar!L88+STW!L76+'Main Kitchen'!L76+'F&amp;B Admin'!L76</f>
        <v>1500</v>
      </c>
      <c r="M123" s="63">
        <f>'Lobby Lounge'!M100+'ADD-Mhub lounge'!M100+'Royal Court'!M100+'MP Cafe'!M100+'MP Dining'!M100+'Room Service'!M100+Banquet!M101+Minibar!M88+STW!M76+'Main Kitchen'!M76+'F&amp;B Admin'!M76</f>
        <v>1500</v>
      </c>
      <c r="N123" s="63">
        <f>'Lobby Lounge'!N100+'ADD-Mhub lounge'!N100+'Royal Court'!N100+'MP Cafe'!N100+'MP Dining'!N100+'Room Service'!N100+Banquet!N101+Minibar!N88+STW!N76+'Main Kitchen'!N76+'F&amp;B Admin'!N76</f>
        <v>1500</v>
      </c>
      <c r="O123" s="63">
        <f>'Lobby Lounge'!O100+'ADD-Mhub lounge'!O100+'Royal Court'!O100+'MP Cafe'!O100+'MP Dining'!O100+'Room Service'!O100+Banquet!O101+Minibar!O88+STW!O76+'Main Kitchen'!O76+'F&amp;B Admin'!O76</f>
        <v>1500</v>
      </c>
      <c r="P123" s="63">
        <f>'Lobby Lounge'!P100+'ADD-Mhub lounge'!P100+'Royal Court'!P100+'MP Cafe'!P100+'MP Dining'!P100+'Room Service'!P100+Banquet!P101+Minibar!P88+STW!P76+'Main Kitchen'!P76+'F&amp;B Admin'!P76</f>
        <v>1500</v>
      </c>
      <c r="Q123" s="142">
        <f t="shared" si="11"/>
        <v>28000</v>
      </c>
      <c r="R123" s="142">
        <v>9977.18</v>
      </c>
      <c r="S123" s="142">
        <f t="shared" si="12"/>
        <v>0.32151825080420443</v>
      </c>
      <c r="U123" s="157"/>
      <c r="V123" s="40" t="e">
        <f t="shared" si="13"/>
        <v>#DIV/0!</v>
      </c>
    </row>
    <row r="124" spans="1:22" s="84" customFormat="1" ht="24.95" hidden="1" customHeight="1">
      <c r="A124" s="3" t="s">
        <v>262</v>
      </c>
      <c r="B124" s="3" t="s">
        <v>415</v>
      </c>
      <c r="C124" s="3"/>
      <c r="D124" s="26" t="s">
        <v>263</v>
      </c>
      <c r="E124" s="63">
        <f>'Lobby Lounge'!E101+'ADD-Mhub lounge'!E101+'Royal Court'!E101+'MP Cafe'!E101+'MP Dining'!E101+'Room Service'!E101+Banquet!E102+Minibar!E89+STW!E77+'Main Kitchen'!E77+'F&amp;B Admin'!E77</f>
        <v>0</v>
      </c>
      <c r="F124" s="63">
        <f>'Lobby Lounge'!F101+'ADD-Mhub lounge'!F101+'Royal Court'!F101+'MP Cafe'!F101+'MP Dining'!F101+'Room Service'!F101+Banquet!F102+Minibar!F89+STW!F77+'Main Kitchen'!F77+'F&amp;B Admin'!F77</f>
        <v>0</v>
      </c>
      <c r="G124" s="63">
        <f>'Lobby Lounge'!G101+'ADD-Mhub lounge'!G101+'Royal Court'!G101+'MP Cafe'!G101+'MP Dining'!G101+'Room Service'!G101+Banquet!G102+Minibar!G89+STW!G77+'Main Kitchen'!G77+'F&amp;B Admin'!G77</f>
        <v>0</v>
      </c>
      <c r="H124" s="63">
        <f>'Lobby Lounge'!H101+'ADD-Mhub lounge'!H101+'Royal Court'!H101+'MP Cafe'!H101+'MP Dining'!H101+'Room Service'!H101+Banquet!H102+Minibar!H89+STW!H77+'Main Kitchen'!H77+'F&amp;B Admin'!H77</f>
        <v>0</v>
      </c>
      <c r="I124" s="63">
        <f>'Lobby Lounge'!I101+'ADD-Mhub lounge'!I101+'Royal Court'!I101+'MP Cafe'!I101+'MP Dining'!I101+'Room Service'!I101+Banquet!I102+Minibar!I89+STW!I77+'Main Kitchen'!I77+'F&amp;B Admin'!I77</f>
        <v>0</v>
      </c>
      <c r="J124" s="63">
        <f>'Lobby Lounge'!J101+'ADD-Mhub lounge'!J101+'Royal Court'!J101+'MP Cafe'!J101+'MP Dining'!J101+'Room Service'!J101+Banquet!J102+Minibar!J89+STW!J77+'Main Kitchen'!J77+'F&amp;B Admin'!J77</f>
        <v>0</v>
      </c>
      <c r="K124" s="63">
        <f>'Lobby Lounge'!K101+'ADD-Mhub lounge'!K101+'Royal Court'!K101+'MP Cafe'!K101+'MP Dining'!K101+'Room Service'!K101+Banquet!K102+Minibar!K89+STW!K77+'Main Kitchen'!K77+'F&amp;B Admin'!K77</f>
        <v>0</v>
      </c>
      <c r="L124" s="63">
        <f>'Lobby Lounge'!L101+'ADD-Mhub lounge'!L101+'Royal Court'!L101+'MP Cafe'!L101+'MP Dining'!L101+'Room Service'!L101+Banquet!L102+Minibar!L89+STW!L77+'Main Kitchen'!L77+'F&amp;B Admin'!L77</f>
        <v>0</v>
      </c>
      <c r="M124" s="63">
        <f>'Lobby Lounge'!M101+'ADD-Mhub lounge'!M101+'Royal Court'!M101+'MP Cafe'!M101+'MP Dining'!M101+'Room Service'!M101+Banquet!M102+Minibar!M89+STW!M77+'Main Kitchen'!M77+'F&amp;B Admin'!M77</f>
        <v>0</v>
      </c>
      <c r="N124" s="63">
        <f>'Lobby Lounge'!N101+'ADD-Mhub lounge'!N101+'Royal Court'!N101+'MP Cafe'!N101+'MP Dining'!N101+'Room Service'!N101+Banquet!N102+Minibar!N89+STW!N77+'Main Kitchen'!N77+'F&amp;B Admin'!N77</f>
        <v>0</v>
      </c>
      <c r="O124" s="63">
        <f>'Lobby Lounge'!O101+'ADD-Mhub lounge'!O101+'Royal Court'!O101+'MP Cafe'!O101+'MP Dining'!O101+'Room Service'!O101+Banquet!O102+Minibar!O89+STW!O77+'Main Kitchen'!O77+'F&amp;B Admin'!O77</f>
        <v>0</v>
      </c>
      <c r="P124" s="63">
        <f>'Lobby Lounge'!P101+'ADD-Mhub lounge'!P101+'Royal Court'!P101+'MP Cafe'!P101+'MP Dining'!P101+'Room Service'!P101+Banquet!P102+Minibar!P89+STW!P77+'Main Kitchen'!P77+'F&amp;B Admin'!P77</f>
        <v>0</v>
      </c>
      <c r="Q124" s="142">
        <f t="shared" si="11"/>
        <v>0</v>
      </c>
      <c r="R124" s="142">
        <v>0</v>
      </c>
      <c r="S124" s="142">
        <f t="shared" si="12"/>
        <v>0</v>
      </c>
      <c r="U124" s="157"/>
      <c r="V124" s="40">
        <f t="shared" ref="V124:V148" si="14">IF(Q124-U124=0,0,(Q124-U124)/U124)</f>
        <v>0</v>
      </c>
    </row>
    <row r="125" spans="1:22" s="84" customFormat="1" ht="24.95" hidden="1" customHeight="1">
      <c r="A125" s="3" t="s">
        <v>264</v>
      </c>
      <c r="B125" s="3" t="s">
        <v>415</v>
      </c>
      <c r="C125" s="3"/>
      <c r="D125" s="26" t="s">
        <v>265</v>
      </c>
      <c r="E125" s="63">
        <f>'Lobby Lounge'!E102+'ADD-Mhub lounge'!E102+'Royal Court'!E102+'MP Cafe'!E102+'MP Dining'!E102+'Room Service'!E102+Banquet!E103+Minibar!E90+STW!E78+'Main Kitchen'!E78+'F&amp;B Admin'!E78</f>
        <v>0</v>
      </c>
      <c r="F125" s="63">
        <f>'Lobby Lounge'!F102+'ADD-Mhub lounge'!F102+'Royal Court'!F102+'MP Cafe'!F102+'MP Dining'!F102+'Room Service'!F102+Banquet!F103+Minibar!F90+STW!F78+'Main Kitchen'!F78+'F&amp;B Admin'!F78</f>
        <v>0</v>
      </c>
      <c r="G125" s="63">
        <f>'Lobby Lounge'!G102+'ADD-Mhub lounge'!G102+'Royal Court'!G102+'MP Cafe'!G102+'MP Dining'!G102+'Room Service'!G102+Banquet!G103+Minibar!G90+STW!G78+'Main Kitchen'!G78+'F&amp;B Admin'!G78</f>
        <v>0</v>
      </c>
      <c r="H125" s="63">
        <f>'Lobby Lounge'!H102+'ADD-Mhub lounge'!H102+'Royal Court'!H102+'MP Cafe'!H102+'MP Dining'!H102+'Room Service'!H102+Banquet!H103+Minibar!H90+STW!H78+'Main Kitchen'!H78+'F&amp;B Admin'!H78</f>
        <v>0</v>
      </c>
      <c r="I125" s="63">
        <f>'Lobby Lounge'!I102+'ADD-Mhub lounge'!I102+'Royal Court'!I102+'MP Cafe'!I102+'MP Dining'!I102+'Room Service'!I102+Banquet!I103+Minibar!I90+STW!I78+'Main Kitchen'!I78+'F&amp;B Admin'!I78</f>
        <v>0</v>
      </c>
      <c r="J125" s="63">
        <f>'Lobby Lounge'!J102+'ADD-Mhub lounge'!J102+'Royal Court'!J102+'MP Cafe'!J102+'MP Dining'!J102+'Room Service'!J102+Banquet!J103+Minibar!J90+STW!J78+'Main Kitchen'!J78+'F&amp;B Admin'!J78</f>
        <v>0</v>
      </c>
      <c r="K125" s="63">
        <f>'Lobby Lounge'!K102+'ADD-Mhub lounge'!K102+'Royal Court'!K102+'MP Cafe'!K102+'MP Dining'!K102+'Room Service'!K102+Banquet!K103+Minibar!K90+STW!K78+'Main Kitchen'!K78+'F&amp;B Admin'!K78</f>
        <v>0</v>
      </c>
      <c r="L125" s="63">
        <f>'Lobby Lounge'!L102+'ADD-Mhub lounge'!L102+'Royal Court'!L102+'MP Cafe'!L102+'MP Dining'!L102+'Room Service'!L102+Banquet!L103+Minibar!L90+STW!L78+'Main Kitchen'!L78+'F&amp;B Admin'!L78</f>
        <v>0</v>
      </c>
      <c r="M125" s="63">
        <f>'Lobby Lounge'!M102+'ADD-Mhub lounge'!M102+'Royal Court'!M102+'MP Cafe'!M102+'MP Dining'!M102+'Room Service'!M102+Banquet!M103+Minibar!M90+STW!M78+'Main Kitchen'!M78+'F&amp;B Admin'!M78</f>
        <v>0</v>
      </c>
      <c r="N125" s="63">
        <f>'Lobby Lounge'!N102+'ADD-Mhub lounge'!N102+'Royal Court'!N102+'MP Cafe'!N102+'MP Dining'!N102+'Room Service'!N102+Banquet!N103+Minibar!N90+STW!N78+'Main Kitchen'!N78+'F&amp;B Admin'!N78</f>
        <v>0</v>
      </c>
      <c r="O125" s="63">
        <f>'Lobby Lounge'!O102+'ADD-Mhub lounge'!O102+'Royal Court'!O102+'MP Cafe'!O102+'MP Dining'!O102+'Room Service'!O102+Banquet!O103+Minibar!O90+STW!O78+'Main Kitchen'!O78+'F&amp;B Admin'!O78</f>
        <v>0</v>
      </c>
      <c r="P125" s="63">
        <f>'Lobby Lounge'!P102+'ADD-Mhub lounge'!P102+'Royal Court'!P102+'MP Cafe'!P102+'MP Dining'!P102+'Room Service'!P102+Banquet!P103+Minibar!P90+STW!P78+'Main Kitchen'!P78+'F&amp;B Admin'!P78</f>
        <v>0</v>
      </c>
      <c r="Q125" s="142">
        <f t="shared" si="11"/>
        <v>0</v>
      </c>
      <c r="R125" s="142">
        <v>0</v>
      </c>
      <c r="S125" s="142">
        <f t="shared" si="12"/>
        <v>0</v>
      </c>
      <c r="U125" s="157"/>
      <c r="V125" s="40">
        <f t="shared" si="14"/>
        <v>0</v>
      </c>
    </row>
    <row r="126" spans="1:22" s="84" customFormat="1" ht="24.95" hidden="1" customHeight="1">
      <c r="A126" s="3" t="s">
        <v>266</v>
      </c>
      <c r="B126" s="3" t="s">
        <v>415</v>
      </c>
      <c r="C126" s="3"/>
      <c r="D126" s="26" t="s">
        <v>267</v>
      </c>
      <c r="E126" s="63">
        <f>'Lobby Lounge'!E103+'ADD-Mhub lounge'!E103+'Royal Court'!E103+'MP Cafe'!E103+'MP Dining'!E103+'Room Service'!E103+Banquet!E104+Minibar!E91+STW!E79+'Main Kitchen'!E79+'F&amp;B Admin'!E79</f>
        <v>0</v>
      </c>
      <c r="F126" s="63">
        <f>'Lobby Lounge'!F103+'ADD-Mhub lounge'!F103+'Royal Court'!F103+'MP Cafe'!F103+'MP Dining'!F103+'Room Service'!F103+Banquet!F104+Minibar!F91+STW!F79+'Main Kitchen'!F79+'F&amp;B Admin'!F79</f>
        <v>0</v>
      </c>
      <c r="G126" s="63">
        <f>'Lobby Lounge'!G103+'ADD-Mhub lounge'!G103+'Royal Court'!G103+'MP Cafe'!G103+'MP Dining'!G103+'Room Service'!G103+Banquet!G104+Minibar!G91+STW!G79+'Main Kitchen'!G79+'F&amp;B Admin'!G79</f>
        <v>0</v>
      </c>
      <c r="H126" s="63">
        <f>'Lobby Lounge'!H103+'ADD-Mhub lounge'!H103+'Royal Court'!H103+'MP Cafe'!H103+'MP Dining'!H103+'Room Service'!H103+Banquet!H104+Minibar!H91+STW!H79+'Main Kitchen'!H79+'F&amp;B Admin'!H79</f>
        <v>0</v>
      </c>
      <c r="I126" s="63">
        <f>'Lobby Lounge'!I103+'ADD-Mhub lounge'!I103+'Royal Court'!I103+'MP Cafe'!I103+'MP Dining'!I103+'Room Service'!I103+Banquet!I104+Minibar!I91+STW!I79+'Main Kitchen'!I79+'F&amp;B Admin'!I79</f>
        <v>0</v>
      </c>
      <c r="J126" s="63">
        <f>'Lobby Lounge'!J103+'ADD-Mhub lounge'!J103+'Royal Court'!J103+'MP Cafe'!J103+'MP Dining'!J103+'Room Service'!J103+Banquet!J104+Minibar!J91+STW!J79+'Main Kitchen'!J79+'F&amp;B Admin'!J79</f>
        <v>0</v>
      </c>
      <c r="K126" s="63">
        <f>'Lobby Lounge'!K103+'ADD-Mhub lounge'!K103+'Royal Court'!K103+'MP Cafe'!K103+'MP Dining'!K103+'Room Service'!K103+Banquet!K104+Minibar!K91+STW!K79+'Main Kitchen'!K79+'F&amp;B Admin'!K79</f>
        <v>0</v>
      </c>
      <c r="L126" s="63">
        <f>'Lobby Lounge'!L103+'ADD-Mhub lounge'!L103+'Royal Court'!L103+'MP Cafe'!L103+'MP Dining'!L103+'Room Service'!L103+Banquet!L104+Minibar!L91+STW!L79+'Main Kitchen'!L79+'F&amp;B Admin'!L79</f>
        <v>0</v>
      </c>
      <c r="M126" s="63">
        <f>'Lobby Lounge'!M103+'ADD-Mhub lounge'!M103+'Royal Court'!M103+'MP Cafe'!M103+'MP Dining'!M103+'Room Service'!M103+Banquet!M104+Minibar!M91+STW!M79+'Main Kitchen'!M79+'F&amp;B Admin'!M79</f>
        <v>0</v>
      </c>
      <c r="N126" s="63">
        <f>'Lobby Lounge'!N103+'ADD-Mhub lounge'!N103+'Royal Court'!N103+'MP Cafe'!N103+'MP Dining'!N103+'Room Service'!N103+Banquet!N104+Minibar!N91+STW!N79+'Main Kitchen'!N79+'F&amp;B Admin'!N79</f>
        <v>0</v>
      </c>
      <c r="O126" s="63">
        <f>'Lobby Lounge'!O103+'ADD-Mhub lounge'!O103+'Royal Court'!O103+'MP Cafe'!O103+'MP Dining'!O103+'Room Service'!O103+Banquet!O104+Minibar!O91+STW!O79+'Main Kitchen'!O79+'F&amp;B Admin'!O79</f>
        <v>0</v>
      </c>
      <c r="P126" s="63">
        <f>'Lobby Lounge'!P103+'ADD-Mhub lounge'!P103+'Royal Court'!P103+'MP Cafe'!P103+'MP Dining'!P103+'Room Service'!P103+Banquet!P104+Minibar!P91+STW!P79+'Main Kitchen'!P79+'F&amp;B Admin'!P79</f>
        <v>0</v>
      </c>
      <c r="Q126" s="142">
        <f t="shared" si="11"/>
        <v>0</v>
      </c>
      <c r="R126" s="142">
        <v>0</v>
      </c>
      <c r="S126" s="142">
        <f t="shared" si="12"/>
        <v>0</v>
      </c>
      <c r="U126" s="157"/>
      <c r="V126" s="40">
        <f t="shared" si="14"/>
        <v>0</v>
      </c>
    </row>
    <row r="127" spans="1:22" s="84" customFormat="1" ht="24.95" hidden="1" customHeight="1">
      <c r="A127" s="3" t="s">
        <v>268</v>
      </c>
      <c r="B127" s="3" t="s">
        <v>415</v>
      </c>
      <c r="C127" s="3"/>
      <c r="D127" s="26" t="s">
        <v>269</v>
      </c>
      <c r="E127" s="63">
        <f>'Lobby Lounge'!E104+'ADD-Mhub lounge'!E104+'Royal Court'!E104+'MP Cafe'!E104+'MP Dining'!E104+'Room Service'!E104+Banquet!E105+Minibar!E92+STW!E80+'Main Kitchen'!E80+'F&amp;B Admin'!E80</f>
        <v>0</v>
      </c>
      <c r="F127" s="63">
        <f>'Lobby Lounge'!F104+'ADD-Mhub lounge'!F104+'Royal Court'!F104+'MP Cafe'!F104+'MP Dining'!F104+'Room Service'!F104+Banquet!F105+Minibar!F92+STW!F80+'Main Kitchen'!F80+'F&amp;B Admin'!F80</f>
        <v>0</v>
      </c>
      <c r="G127" s="63">
        <f>'Lobby Lounge'!G104+'ADD-Mhub lounge'!G104+'Royal Court'!G104+'MP Cafe'!G104+'MP Dining'!G104+'Room Service'!G104+Banquet!G105+Minibar!G92+STW!G80+'Main Kitchen'!G80+'F&amp;B Admin'!G80</f>
        <v>0</v>
      </c>
      <c r="H127" s="63">
        <f>'Lobby Lounge'!H104+'ADD-Mhub lounge'!H104+'Royal Court'!H104+'MP Cafe'!H104+'MP Dining'!H104+'Room Service'!H104+Banquet!H105+Minibar!H92+STW!H80+'Main Kitchen'!H80+'F&amp;B Admin'!H80</f>
        <v>0</v>
      </c>
      <c r="I127" s="63">
        <f>'Lobby Lounge'!I104+'ADD-Mhub lounge'!I104+'Royal Court'!I104+'MP Cafe'!I104+'MP Dining'!I104+'Room Service'!I104+Banquet!I105+Minibar!I92+STW!I80+'Main Kitchen'!I80+'F&amp;B Admin'!I80</f>
        <v>0</v>
      </c>
      <c r="J127" s="63">
        <f>'Lobby Lounge'!J104+'ADD-Mhub lounge'!J104+'Royal Court'!J104+'MP Cafe'!J104+'MP Dining'!J104+'Room Service'!J104+Banquet!J105+Minibar!J92+STW!J80+'Main Kitchen'!J80+'F&amp;B Admin'!J80</f>
        <v>0</v>
      </c>
      <c r="K127" s="63">
        <f>'Lobby Lounge'!K104+'ADD-Mhub lounge'!K104+'Royal Court'!K104+'MP Cafe'!K104+'MP Dining'!K104+'Room Service'!K104+Banquet!K105+Minibar!K92+STW!K80+'Main Kitchen'!K80+'F&amp;B Admin'!K80</f>
        <v>0</v>
      </c>
      <c r="L127" s="63">
        <f>'Lobby Lounge'!L104+'ADD-Mhub lounge'!L104+'Royal Court'!L104+'MP Cafe'!L104+'MP Dining'!L104+'Room Service'!L104+Banquet!L105+Minibar!L92+STW!L80+'Main Kitchen'!L80+'F&amp;B Admin'!L80</f>
        <v>0</v>
      </c>
      <c r="M127" s="63">
        <f>'Lobby Lounge'!M104+'ADD-Mhub lounge'!M104+'Royal Court'!M104+'MP Cafe'!M104+'MP Dining'!M104+'Room Service'!M104+Banquet!M105+Minibar!M92+STW!M80+'Main Kitchen'!M80+'F&amp;B Admin'!M80</f>
        <v>0</v>
      </c>
      <c r="N127" s="63">
        <f>'Lobby Lounge'!N104+'ADD-Mhub lounge'!N104+'Royal Court'!N104+'MP Cafe'!N104+'MP Dining'!N104+'Room Service'!N104+Banquet!N105+Minibar!N92+STW!N80+'Main Kitchen'!N80+'F&amp;B Admin'!N80</f>
        <v>0</v>
      </c>
      <c r="O127" s="63">
        <f>'Lobby Lounge'!O104+'ADD-Mhub lounge'!O104+'Royal Court'!O104+'MP Cafe'!O104+'MP Dining'!O104+'Room Service'!O104+Banquet!O105+Minibar!O92+STW!O80+'Main Kitchen'!O80+'F&amp;B Admin'!O80</f>
        <v>0</v>
      </c>
      <c r="P127" s="63">
        <f>'Lobby Lounge'!P104+'ADD-Mhub lounge'!P104+'Royal Court'!P104+'MP Cafe'!P104+'MP Dining'!P104+'Room Service'!P104+Banquet!P105+Minibar!P92+STW!P80+'Main Kitchen'!P80+'F&amp;B Admin'!P80</f>
        <v>0</v>
      </c>
      <c r="Q127" s="142">
        <f t="shared" ref="Q127:Q129" si="15">SUM(E127:P127)</f>
        <v>0</v>
      </c>
      <c r="R127" s="142">
        <v>0</v>
      </c>
      <c r="S127" s="142">
        <f>Q127/$Q$148</f>
        <v>0</v>
      </c>
      <c r="U127" s="157"/>
      <c r="V127" s="40">
        <f t="shared" si="14"/>
        <v>0</v>
      </c>
    </row>
    <row r="128" spans="1:22" s="84" customFormat="1" ht="24.95" hidden="1" customHeight="1">
      <c r="A128" s="3" t="s">
        <v>270</v>
      </c>
      <c r="B128" s="3" t="s">
        <v>415</v>
      </c>
      <c r="C128" s="3"/>
      <c r="D128" s="26" t="s">
        <v>271</v>
      </c>
      <c r="E128" s="63">
        <f>'Lobby Lounge'!E105+'ADD-Mhub lounge'!E105+'Royal Court'!E105+'MP Cafe'!E105+'MP Dining'!E105+'Room Service'!E105+Banquet!E106+Minibar!E93+STW!E81+'Main Kitchen'!E81+'F&amp;B Admin'!E81</f>
        <v>0</v>
      </c>
      <c r="F128" s="63">
        <f>'Lobby Lounge'!F105+'ADD-Mhub lounge'!F105+'Royal Court'!F105+'MP Cafe'!F105+'MP Dining'!F105+'Room Service'!F105+Banquet!F106+Minibar!F93+STW!F81+'Main Kitchen'!F81+'F&amp;B Admin'!F81</f>
        <v>0</v>
      </c>
      <c r="G128" s="63">
        <f>'Lobby Lounge'!G105+'ADD-Mhub lounge'!G105+'Royal Court'!G105+'MP Cafe'!G105+'MP Dining'!G105+'Room Service'!G105+Banquet!G106+Minibar!G93+STW!G81+'Main Kitchen'!G81+'F&amp;B Admin'!G81</f>
        <v>0</v>
      </c>
      <c r="H128" s="63">
        <f>'Lobby Lounge'!H105+'ADD-Mhub lounge'!H105+'Royal Court'!H105+'MP Cafe'!H105+'MP Dining'!H105+'Room Service'!H105+Banquet!H106+Minibar!H93+STW!H81+'Main Kitchen'!H81+'F&amp;B Admin'!H81</f>
        <v>0</v>
      </c>
      <c r="I128" s="63">
        <f>'Lobby Lounge'!I105+'ADD-Mhub lounge'!I105+'Royal Court'!I105+'MP Cafe'!I105+'MP Dining'!I105+'Room Service'!I105+Banquet!I106+Minibar!I93+STW!I81+'Main Kitchen'!I81+'F&amp;B Admin'!I81</f>
        <v>0</v>
      </c>
      <c r="J128" s="63">
        <f>'Lobby Lounge'!J105+'ADD-Mhub lounge'!J105+'Royal Court'!J105+'MP Cafe'!J105+'MP Dining'!J105+'Room Service'!J105+Banquet!J106+Minibar!J93+STW!J81+'Main Kitchen'!J81+'F&amp;B Admin'!J81</f>
        <v>0</v>
      </c>
      <c r="K128" s="63">
        <f>'Lobby Lounge'!K105+'ADD-Mhub lounge'!K105+'Royal Court'!K105+'MP Cafe'!K105+'MP Dining'!K105+'Room Service'!K105+Banquet!K106+Minibar!K93+STW!K81+'Main Kitchen'!K81+'F&amp;B Admin'!K81</f>
        <v>0</v>
      </c>
      <c r="L128" s="63">
        <f>'Lobby Lounge'!L105+'ADD-Mhub lounge'!L105+'Royal Court'!L105+'MP Cafe'!L105+'MP Dining'!L105+'Room Service'!L105+Banquet!L106+Minibar!L93+STW!L81+'Main Kitchen'!L81+'F&amp;B Admin'!L81</f>
        <v>0</v>
      </c>
      <c r="M128" s="63">
        <f>'Lobby Lounge'!M105+'ADD-Mhub lounge'!M105+'Royal Court'!M105+'MP Cafe'!M105+'MP Dining'!M105+'Room Service'!M105+Banquet!M106+Minibar!M93+STW!M81+'Main Kitchen'!M81+'F&amp;B Admin'!M81</f>
        <v>0</v>
      </c>
      <c r="N128" s="63">
        <f>'Lobby Lounge'!N105+'ADD-Mhub lounge'!N105+'Royal Court'!N105+'MP Cafe'!N105+'MP Dining'!N105+'Room Service'!N105+Banquet!N106+Minibar!N93+STW!N81+'Main Kitchen'!N81+'F&amp;B Admin'!N81</f>
        <v>0</v>
      </c>
      <c r="O128" s="63">
        <f>'Lobby Lounge'!O105+'ADD-Mhub lounge'!O105+'Royal Court'!O105+'MP Cafe'!O105+'MP Dining'!O105+'Room Service'!O105+Banquet!O106+Minibar!O93+STW!O81+'Main Kitchen'!O81+'F&amp;B Admin'!O81</f>
        <v>0</v>
      </c>
      <c r="P128" s="63">
        <f>'Lobby Lounge'!P105+'ADD-Mhub lounge'!P105+'Royal Court'!P105+'MP Cafe'!P105+'MP Dining'!P105+'Room Service'!P105+Banquet!P106+Minibar!P93+STW!P81+'Main Kitchen'!P81+'F&amp;B Admin'!P81</f>
        <v>0</v>
      </c>
      <c r="Q128" s="142">
        <f t="shared" si="15"/>
        <v>0</v>
      </c>
      <c r="R128" s="142">
        <v>0</v>
      </c>
      <c r="S128" s="142">
        <f>Q128/$Q$148</f>
        <v>0</v>
      </c>
      <c r="U128" s="157"/>
      <c r="V128" s="40">
        <f t="shared" si="14"/>
        <v>0</v>
      </c>
    </row>
    <row r="129" spans="1:22" s="84" customFormat="1" ht="24.95" customHeight="1">
      <c r="A129" s="3" t="s">
        <v>272</v>
      </c>
      <c r="B129" s="3" t="s">
        <v>415</v>
      </c>
      <c r="C129" s="3"/>
      <c r="D129" s="26" t="s">
        <v>273</v>
      </c>
      <c r="E129" s="63">
        <f>'Lobby Lounge'!E106+'ADD-Mhub lounge'!E106+'Royal Court'!E106+'MP Cafe'!E106+'MP Dining'!E106+'Room Service'!E106+Banquet!E107+Minibar!E94+STW!E82+'Main Kitchen'!E82+'F&amp;B Admin'!E82</f>
        <v>300</v>
      </c>
      <c r="F129" s="63">
        <f>'Lobby Lounge'!F106+'ADD-Mhub lounge'!F106+'Royal Court'!F106+'MP Cafe'!F106+'MP Dining'!F106+'Room Service'!F106+Banquet!F107+Minibar!F94+STW!F82+'Main Kitchen'!F82+'F&amp;B Admin'!F82</f>
        <v>300</v>
      </c>
      <c r="G129" s="63">
        <f>'Lobby Lounge'!G106+'ADD-Mhub lounge'!G106+'Royal Court'!G106+'MP Cafe'!G106+'MP Dining'!G106+'Room Service'!G106+Banquet!G107+Minibar!G94+STW!G82+'Main Kitchen'!G82+'F&amp;B Admin'!G82</f>
        <v>300</v>
      </c>
      <c r="H129" s="63">
        <f>'Lobby Lounge'!H106+'ADD-Mhub lounge'!H106+'Royal Court'!H106+'MP Cafe'!H106+'MP Dining'!H106+'Room Service'!H106+Banquet!H107+Minibar!H94+STW!H82+'Main Kitchen'!H82+'F&amp;B Admin'!H82</f>
        <v>300</v>
      </c>
      <c r="I129" s="63">
        <f>'Lobby Lounge'!I106+'ADD-Mhub lounge'!I106+'Royal Court'!I106+'MP Cafe'!I106+'MP Dining'!I106+'Room Service'!I106+Banquet!I107+Minibar!I94+STW!I82+'Main Kitchen'!I82+'F&amp;B Admin'!I82</f>
        <v>1500</v>
      </c>
      <c r="J129" s="63">
        <f>'Lobby Lounge'!J106+'ADD-Mhub lounge'!J106+'Royal Court'!J106+'MP Cafe'!J106+'MP Dining'!J106+'Room Service'!J106+Banquet!J107+Minibar!J94+STW!J82+'Main Kitchen'!J82+'F&amp;B Admin'!J82</f>
        <v>300</v>
      </c>
      <c r="K129" s="63">
        <f>'Lobby Lounge'!K106+'ADD-Mhub lounge'!K106+'Royal Court'!K106+'MP Cafe'!K106+'MP Dining'!K106+'Room Service'!K106+Banquet!K107+Minibar!K94+STW!K82+'Main Kitchen'!K82+'F&amp;B Admin'!K82</f>
        <v>5800</v>
      </c>
      <c r="L129" s="63">
        <f>'Lobby Lounge'!L106+'ADD-Mhub lounge'!L106+'Royal Court'!L106+'MP Cafe'!L106+'MP Dining'!L106+'Room Service'!L106+Banquet!L107+Minibar!L94+STW!L82+'Main Kitchen'!L82+'F&amp;B Admin'!L82</f>
        <v>300</v>
      </c>
      <c r="M129" s="63">
        <f>'Lobby Lounge'!M106+'ADD-Mhub lounge'!M106+'Royal Court'!M106+'MP Cafe'!M106+'MP Dining'!M106+'Room Service'!M106+Banquet!M107+Minibar!M94+STW!M82+'Main Kitchen'!M82+'F&amp;B Admin'!M82</f>
        <v>300</v>
      </c>
      <c r="N129" s="63">
        <f>'Lobby Lounge'!N106+'ADD-Mhub lounge'!N106+'Royal Court'!N106+'MP Cafe'!N106+'MP Dining'!N106+'Room Service'!N106+Banquet!N107+Minibar!N94+STW!N82+'Main Kitchen'!N82+'F&amp;B Admin'!N82</f>
        <v>300</v>
      </c>
      <c r="O129" s="63">
        <f>'Lobby Lounge'!O106+'ADD-Mhub lounge'!O106+'Royal Court'!O106+'MP Cafe'!O106+'MP Dining'!O106+'Room Service'!O106+Banquet!O107+Minibar!O94+STW!O82+'Main Kitchen'!O82+'F&amp;B Admin'!O82</f>
        <v>300</v>
      </c>
      <c r="P129" s="63">
        <f>'Lobby Lounge'!P106+'ADD-Mhub lounge'!P106+'Royal Court'!P106+'MP Cafe'!P106+'MP Dining'!P106+'Room Service'!P106+Banquet!P107+Minibar!P94+STW!P82+'Main Kitchen'!P82+'F&amp;B Admin'!P82</f>
        <v>300</v>
      </c>
      <c r="Q129" s="142">
        <f t="shared" si="15"/>
        <v>10300</v>
      </c>
      <c r="R129" s="142">
        <v>909275.95</v>
      </c>
      <c r="S129" s="142">
        <f>Q129/$Q$148</f>
        <v>0.11827278511726091</v>
      </c>
      <c r="U129" s="157"/>
      <c r="V129" s="40" t="e">
        <f>-IF(Q129-U129=0,0,(Q129-U129)/U129)</f>
        <v>#DIV/0!</v>
      </c>
    </row>
    <row r="130" spans="1:22" s="84" customFormat="1" ht="24.95" customHeight="1">
      <c r="A130" s="3"/>
      <c r="B130" s="3"/>
      <c r="C130" s="3"/>
      <c r="D130" s="19" t="s">
        <v>274</v>
      </c>
      <c r="E130" s="160">
        <f>SUM(E62:E129)</f>
        <v>53130.889999999992</v>
      </c>
      <c r="F130" s="160">
        <f t="shared" ref="F130:Q130" si="16">SUM(F62:F129)</f>
        <v>42891.3</v>
      </c>
      <c r="G130" s="160">
        <f t="shared" si="16"/>
        <v>44273.229999999996</v>
      </c>
      <c r="H130" s="160">
        <f t="shared" si="16"/>
        <v>77301.77</v>
      </c>
      <c r="I130" s="160">
        <f t="shared" si="16"/>
        <v>78359.97</v>
      </c>
      <c r="J130" s="160">
        <f t="shared" si="16"/>
        <v>75196.010000000009</v>
      </c>
      <c r="K130" s="160">
        <f t="shared" si="16"/>
        <v>72883.17</v>
      </c>
      <c r="L130" s="160">
        <f t="shared" si="16"/>
        <v>63384.24</v>
      </c>
      <c r="M130" s="160">
        <f t="shared" si="16"/>
        <v>71940.929999999993</v>
      </c>
      <c r="N130" s="160">
        <f t="shared" si="16"/>
        <v>72743.899999999994</v>
      </c>
      <c r="O130" s="160">
        <f t="shared" si="16"/>
        <v>64878.450000000004</v>
      </c>
      <c r="P130" s="160">
        <f t="shared" si="16"/>
        <v>58964.37999999999</v>
      </c>
      <c r="Q130" s="160">
        <f t="shared" si="16"/>
        <v>775948.24</v>
      </c>
      <c r="R130" s="160">
        <v>4016768.97</v>
      </c>
      <c r="S130" s="142">
        <f>Q130/$Q$148</f>
        <v>8.9100543156928929</v>
      </c>
      <c r="T130" s="182">
        <f>Q130/Q50</f>
        <v>7.2858551835932622E-2</v>
      </c>
      <c r="U130" s="157"/>
      <c r="V130" s="40" t="e">
        <f>-IF(Q130-U130=0,0,(Q130-U130)/U130)</f>
        <v>#DIV/0!</v>
      </c>
    </row>
    <row r="131" spans="1:22" s="84" customFormat="1" ht="24.95" customHeight="1">
      <c r="A131" s="3"/>
      <c r="B131" s="3"/>
      <c r="C131" s="3"/>
      <c r="D131" s="19" t="s">
        <v>275</v>
      </c>
      <c r="E131" s="160">
        <f t="shared" ref="E131:Q131" si="17">E50-E57-E59-E130</f>
        <v>58916.980000000061</v>
      </c>
      <c r="F131" s="160">
        <f t="shared" si="17"/>
        <v>-106133.82000000002</v>
      </c>
      <c r="G131" s="160">
        <f t="shared" si="17"/>
        <v>1158.2800000000716</v>
      </c>
      <c r="H131" s="160">
        <f t="shared" si="17"/>
        <v>94944.019999999975</v>
      </c>
      <c r="I131" s="160">
        <f t="shared" si="17"/>
        <v>177430.21</v>
      </c>
      <c r="J131" s="160">
        <f t="shared" si="17"/>
        <v>53990.499999999942</v>
      </c>
      <c r="K131" s="160">
        <f t="shared" si="17"/>
        <v>142952.56999999995</v>
      </c>
      <c r="L131" s="160">
        <f t="shared" si="17"/>
        <v>166091.65999999997</v>
      </c>
      <c r="M131" s="160">
        <f t="shared" si="17"/>
        <v>166008.02999999997</v>
      </c>
      <c r="N131" s="160">
        <f t="shared" si="17"/>
        <v>235351.88999999993</v>
      </c>
      <c r="O131" s="160">
        <f t="shared" si="17"/>
        <v>109417.28999999992</v>
      </c>
      <c r="P131" s="160">
        <f t="shared" si="17"/>
        <v>65854.720000000045</v>
      </c>
      <c r="Q131" s="160">
        <f t="shared" si="17"/>
        <v>1165982.3300000022</v>
      </c>
      <c r="R131" s="160">
        <v>8810268.4114999995</v>
      </c>
      <c r="U131" s="157"/>
      <c r="V131" s="40" t="e">
        <f t="shared" si="14"/>
        <v>#DIV/0!</v>
      </c>
    </row>
    <row r="132" spans="1:22" s="84" customFormat="1" ht="24.95" customHeight="1">
      <c r="A132" s="3"/>
      <c r="B132" s="3"/>
      <c r="C132" s="3"/>
      <c r="D132" s="19" t="s">
        <v>276</v>
      </c>
      <c r="E132" s="137">
        <f t="shared" ref="E132:P132" si="18">IF(E131=0,0,E131/E50)</f>
        <v>7.1614521038147819E-2</v>
      </c>
      <c r="F132" s="137">
        <f t="shared" si="18"/>
        <v>-0.1940104779801555</v>
      </c>
      <c r="G132" s="137">
        <f t="shared" si="18"/>
        <v>1.739086044430672E-3</v>
      </c>
      <c r="H132" s="137">
        <f t="shared" si="18"/>
        <v>0.10878245347094595</v>
      </c>
      <c r="I132" s="137">
        <f t="shared" si="18"/>
        <v>0.16150221549866015</v>
      </c>
      <c r="J132" s="137">
        <f t="shared" si="18"/>
        <v>6.5271504700375182E-2</v>
      </c>
      <c r="K132" s="137">
        <f t="shared" si="18"/>
        <v>0.15296112214413499</v>
      </c>
      <c r="L132" s="137">
        <f t="shared" si="18"/>
        <v>0.17351679049903468</v>
      </c>
      <c r="M132" s="137">
        <f t="shared" si="18"/>
        <v>0.16277722758685606</v>
      </c>
      <c r="N132" s="137">
        <f t="shared" si="18"/>
        <v>0.18612131358599546</v>
      </c>
      <c r="O132" s="137">
        <f t="shared" si="18"/>
        <v>0.12879168000677982</v>
      </c>
      <c r="P132" s="137">
        <f t="shared" si="18"/>
        <v>8.335956091583889E-2</v>
      </c>
      <c r="Q132" s="400">
        <f>IF(Q131=0,0,Q131/Q50)</f>
        <v>0.109481251004689</v>
      </c>
      <c r="R132" s="137">
        <v>0.22160082510058901</v>
      </c>
      <c r="U132" s="40"/>
      <c r="V132" s="40" t="e">
        <f t="shared" si="14"/>
        <v>#DIV/0!</v>
      </c>
    </row>
    <row r="133" spans="1:22" s="84" customFormat="1" ht="24.95" customHeight="1">
      <c r="A133" s="3"/>
      <c r="B133" s="3"/>
      <c r="C133" s="3"/>
      <c r="D133" s="19" t="s">
        <v>436</v>
      </c>
      <c r="E133" s="3"/>
      <c r="F133" s="3"/>
      <c r="G133" s="3"/>
      <c r="H133" s="3"/>
      <c r="I133" s="3"/>
      <c r="J133" s="3"/>
      <c r="K133" s="3"/>
      <c r="L133" s="3"/>
      <c r="M133" s="3"/>
      <c r="N133" s="3"/>
      <c r="O133" s="3"/>
      <c r="P133" s="3"/>
      <c r="U133" s="157"/>
      <c r="V133" s="40"/>
    </row>
    <row r="134" spans="1:22" s="84" customFormat="1" ht="24.95" customHeight="1">
      <c r="A134" s="50" t="s">
        <v>437</v>
      </c>
      <c r="B134" s="3" t="s">
        <v>380</v>
      </c>
      <c r="C134" s="3"/>
      <c r="D134" s="26" t="s">
        <v>438</v>
      </c>
      <c r="E134" s="81">
        <f>+'Lobby Lounge'!E117</f>
        <v>0</v>
      </c>
      <c r="F134" s="81">
        <f>+'Lobby Lounge'!F117</f>
        <v>0</v>
      </c>
      <c r="G134" s="81">
        <f>+'Lobby Lounge'!G117</f>
        <v>0</v>
      </c>
      <c r="H134" s="81">
        <f>+'Lobby Lounge'!H117</f>
        <v>0</v>
      </c>
      <c r="I134" s="81">
        <f>+'Lobby Lounge'!I117</f>
        <v>0</v>
      </c>
      <c r="J134" s="81">
        <f>+'Lobby Lounge'!J117</f>
        <v>0</v>
      </c>
      <c r="K134" s="81">
        <f>+'Lobby Lounge'!K117</f>
        <v>0</v>
      </c>
      <c r="L134" s="81">
        <f>+'Lobby Lounge'!L117</f>
        <v>0</v>
      </c>
      <c r="M134" s="81">
        <f>+'Lobby Lounge'!M117</f>
        <v>0</v>
      </c>
      <c r="N134" s="81">
        <f>+'Lobby Lounge'!N117</f>
        <v>0</v>
      </c>
      <c r="O134" s="81">
        <f>+'Lobby Lounge'!O117</f>
        <v>0</v>
      </c>
      <c r="P134" s="81">
        <f>+'Lobby Lounge'!P117</f>
        <v>0</v>
      </c>
      <c r="Q134" s="171">
        <f>SUM(E134:P134)</f>
        <v>0</v>
      </c>
      <c r="R134" s="171">
        <v>68396</v>
      </c>
      <c r="U134" s="157"/>
      <c r="V134" s="40">
        <f t="shared" si="14"/>
        <v>0</v>
      </c>
    </row>
    <row r="135" spans="1:22" s="84" customFormat="1" ht="24.95" customHeight="1">
      <c r="A135" s="3" t="s">
        <v>437</v>
      </c>
      <c r="B135" s="3" t="s">
        <v>382</v>
      </c>
      <c r="C135" s="3"/>
      <c r="D135" s="26" t="s">
        <v>383</v>
      </c>
      <c r="E135" s="81">
        <f>+'ADD-Mhub lounge'!E117</f>
        <v>4687.6445012787717</v>
      </c>
      <c r="F135" s="81">
        <f>+'ADD-Mhub lounge'!F117</f>
        <v>3944.6581415174765</v>
      </c>
      <c r="G135" s="81">
        <f>+'ADD-Mhub lounge'!G117</f>
        <v>5119.536764705882</v>
      </c>
      <c r="H135" s="81">
        <f>+'ADD-Mhub lounge'!H117</f>
        <v>5903.0110294117649</v>
      </c>
      <c r="I135" s="81">
        <f>+'ADD-Mhub lounge'!I117</f>
        <v>6343.6102941176468</v>
      </c>
      <c r="J135" s="81">
        <f>+'ADD-Mhub lounge'!J117</f>
        <v>5773.6544117647063</v>
      </c>
      <c r="K135" s="81">
        <f>+'ADD-Mhub lounge'!K117</f>
        <v>6388.3602941176468</v>
      </c>
      <c r="L135" s="81">
        <f>+'ADD-Mhub lounge'!L117</f>
        <v>6448.3602941176468</v>
      </c>
      <c r="M135" s="81">
        <f>+'ADD-Mhub lounge'!M117</f>
        <v>6558.3602941176468</v>
      </c>
      <c r="N135" s="81">
        <f>+'ADD-Mhub lounge'!N117</f>
        <v>6830.8970588235297</v>
      </c>
      <c r="O135" s="81">
        <f>+'ADD-Mhub lounge'!O117</f>
        <v>6463.3602941176468</v>
      </c>
      <c r="P135" s="81">
        <f>+'ADD-Mhub lounge'!P117</f>
        <v>6273.3602941176468</v>
      </c>
      <c r="Q135" s="171">
        <f t="shared" ref="Q135:Q147" si="19">SUM(E135:P135)</f>
        <v>70734.813672208023</v>
      </c>
      <c r="R135" s="171">
        <v>57902</v>
      </c>
      <c r="U135" s="157"/>
      <c r="V135" s="40" t="e">
        <f t="shared" si="14"/>
        <v>#DIV/0!</v>
      </c>
    </row>
    <row r="136" spans="1:22" s="84" customFormat="1" ht="24.95" hidden="1" customHeight="1">
      <c r="A136" s="3" t="s">
        <v>437</v>
      </c>
      <c r="B136" s="3" t="s">
        <v>384</v>
      </c>
      <c r="C136" s="3"/>
      <c r="D136" s="26" t="s">
        <v>385</v>
      </c>
      <c r="E136" s="81">
        <f>+'Royal Court'!E117</f>
        <v>0</v>
      </c>
      <c r="F136" s="81">
        <f>+'Royal Court'!F117</f>
        <v>0</v>
      </c>
      <c r="G136" s="81">
        <f>+'Royal Court'!G117</f>
        <v>0</v>
      </c>
      <c r="H136" s="81">
        <f>+'Royal Court'!H117</f>
        <v>0</v>
      </c>
      <c r="I136" s="81">
        <f>+'Royal Court'!I117</f>
        <v>0</v>
      </c>
      <c r="J136" s="81">
        <f>+'Royal Court'!J117</f>
        <v>0</v>
      </c>
      <c r="K136" s="81">
        <f>+'Royal Court'!K117</f>
        <v>0</v>
      </c>
      <c r="L136" s="81">
        <f>+'Royal Court'!L117</f>
        <v>0</v>
      </c>
      <c r="M136" s="81">
        <f>+'Royal Court'!M117</f>
        <v>0</v>
      </c>
      <c r="N136" s="81">
        <f>+'Royal Court'!N117</f>
        <v>0</v>
      </c>
      <c r="O136" s="81">
        <f>+'Royal Court'!O117</f>
        <v>0</v>
      </c>
      <c r="P136" s="81">
        <f>+'Royal Court'!P117</f>
        <v>0</v>
      </c>
      <c r="Q136" s="171">
        <f t="shared" si="19"/>
        <v>0</v>
      </c>
      <c r="R136" s="171">
        <v>10657</v>
      </c>
      <c r="U136" s="157"/>
      <c r="V136" s="40">
        <f t="shared" si="14"/>
        <v>0</v>
      </c>
    </row>
    <row r="137" spans="1:22" s="84" customFormat="1" ht="24.95" hidden="1" customHeight="1">
      <c r="A137" s="3" t="s">
        <v>437</v>
      </c>
      <c r="B137" s="3" t="s">
        <v>386</v>
      </c>
      <c r="C137" s="3"/>
      <c r="D137" s="26" t="s">
        <v>387</v>
      </c>
      <c r="E137" s="81">
        <f>+'MP Cafe'!E117</f>
        <v>0</v>
      </c>
      <c r="F137" s="81">
        <f>+'MP Cafe'!F117</f>
        <v>0</v>
      </c>
      <c r="G137" s="81">
        <f>+'MP Cafe'!G117</f>
        <v>0</v>
      </c>
      <c r="H137" s="81">
        <f>+'MP Cafe'!H117</f>
        <v>0</v>
      </c>
      <c r="I137" s="81">
        <f>+'MP Cafe'!I117</f>
        <v>0</v>
      </c>
      <c r="J137" s="81">
        <f>+'MP Cafe'!J117</f>
        <v>0</v>
      </c>
      <c r="K137" s="81">
        <f>+'MP Cafe'!K117</f>
        <v>0</v>
      </c>
      <c r="L137" s="81">
        <f>+'MP Cafe'!L117</f>
        <v>0</v>
      </c>
      <c r="M137" s="81">
        <f>+'MP Cafe'!M117</f>
        <v>0</v>
      </c>
      <c r="N137" s="81">
        <f>+'MP Cafe'!N117</f>
        <v>0</v>
      </c>
      <c r="O137" s="81">
        <f>+'MP Cafe'!O117</f>
        <v>0</v>
      </c>
      <c r="P137" s="81">
        <f>+'MP Cafe'!P117</f>
        <v>0</v>
      </c>
      <c r="Q137" s="171">
        <f t="shared" si="19"/>
        <v>0</v>
      </c>
      <c r="R137" s="171">
        <v>16840</v>
      </c>
      <c r="U137" s="157"/>
      <c r="V137" s="40">
        <f t="shared" si="14"/>
        <v>0</v>
      </c>
    </row>
    <row r="138" spans="1:22" s="84" customFormat="1" ht="24.95" hidden="1" customHeight="1">
      <c r="A138" s="3" t="s">
        <v>437</v>
      </c>
      <c r="B138" s="3" t="s">
        <v>388</v>
      </c>
      <c r="C138" s="3"/>
      <c r="D138" s="26" t="s">
        <v>389</v>
      </c>
      <c r="E138" s="81">
        <f>+'MP Dining'!E117</f>
        <v>0</v>
      </c>
      <c r="F138" s="81">
        <f>+'MP Dining'!F117</f>
        <v>0</v>
      </c>
      <c r="G138" s="81">
        <f>+'MP Dining'!G117</f>
        <v>0</v>
      </c>
      <c r="H138" s="81">
        <f>+'MP Dining'!H117</f>
        <v>0</v>
      </c>
      <c r="I138" s="81">
        <f>+'MP Dining'!I117</f>
        <v>0</v>
      </c>
      <c r="J138" s="81">
        <f>+'MP Dining'!J117</f>
        <v>0</v>
      </c>
      <c r="K138" s="81">
        <f>+'MP Dining'!K117</f>
        <v>0</v>
      </c>
      <c r="L138" s="81">
        <f>+'MP Dining'!L117</f>
        <v>0</v>
      </c>
      <c r="M138" s="81">
        <f>+'MP Dining'!M117</f>
        <v>0</v>
      </c>
      <c r="N138" s="81">
        <f>+'MP Dining'!N117</f>
        <v>0</v>
      </c>
      <c r="O138" s="81">
        <f>+'MP Dining'!O117</f>
        <v>0</v>
      </c>
      <c r="P138" s="81">
        <f>+'MP Dining'!P117</f>
        <v>0</v>
      </c>
      <c r="Q138" s="171">
        <f t="shared" si="19"/>
        <v>0</v>
      </c>
      <c r="R138" s="171">
        <v>5065</v>
      </c>
      <c r="U138" s="157"/>
      <c r="V138" s="40">
        <f t="shared" si="14"/>
        <v>0</v>
      </c>
    </row>
    <row r="139" spans="1:22" s="84" customFormat="1" ht="24.95" hidden="1" customHeight="1">
      <c r="A139" s="3" t="s">
        <v>437</v>
      </c>
      <c r="B139" s="3" t="s">
        <v>390</v>
      </c>
      <c r="C139" s="3"/>
      <c r="D139" s="3" t="s">
        <v>391</v>
      </c>
      <c r="E139" s="81">
        <v>0</v>
      </c>
      <c r="F139" s="81">
        <v>0</v>
      </c>
      <c r="G139" s="81">
        <v>0</v>
      </c>
      <c r="H139" s="81">
        <v>0</v>
      </c>
      <c r="I139" s="81">
        <v>0</v>
      </c>
      <c r="J139" s="81">
        <v>0</v>
      </c>
      <c r="K139" s="81">
        <v>0</v>
      </c>
      <c r="L139" s="81">
        <v>0</v>
      </c>
      <c r="M139" s="81">
        <v>0</v>
      </c>
      <c r="N139" s="81">
        <v>0</v>
      </c>
      <c r="O139" s="81">
        <v>0</v>
      </c>
      <c r="P139" s="81">
        <v>0</v>
      </c>
      <c r="Q139" s="171">
        <f t="shared" si="19"/>
        <v>0</v>
      </c>
      <c r="R139" s="171">
        <v>0</v>
      </c>
      <c r="U139" s="157"/>
      <c r="V139" s="40">
        <f t="shared" si="14"/>
        <v>0</v>
      </c>
    </row>
    <row r="140" spans="1:22" s="84" customFormat="1" ht="24.95" hidden="1" customHeight="1">
      <c r="A140" s="3" t="s">
        <v>437</v>
      </c>
      <c r="B140" s="3" t="s">
        <v>392</v>
      </c>
      <c r="C140" s="3"/>
      <c r="D140" s="3" t="s">
        <v>393</v>
      </c>
      <c r="E140" s="81">
        <v>0</v>
      </c>
      <c r="F140" s="81">
        <v>0</v>
      </c>
      <c r="G140" s="81">
        <v>0</v>
      </c>
      <c r="H140" s="81">
        <v>0</v>
      </c>
      <c r="I140" s="81">
        <v>0</v>
      </c>
      <c r="J140" s="81">
        <v>0</v>
      </c>
      <c r="K140" s="81">
        <v>0</v>
      </c>
      <c r="L140" s="81">
        <v>0</v>
      </c>
      <c r="M140" s="81">
        <v>0</v>
      </c>
      <c r="N140" s="81">
        <v>0</v>
      </c>
      <c r="O140" s="81">
        <v>0</v>
      </c>
      <c r="P140" s="81">
        <v>0</v>
      </c>
      <c r="Q140" s="171">
        <f t="shared" si="19"/>
        <v>0</v>
      </c>
      <c r="R140" s="171">
        <v>0</v>
      </c>
      <c r="U140" s="157"/>
      <c r="V140" s="40">
        <f t="shared" si="14"/>
        <v>0</v>
      </c>
    </row>
    <row r="141" spans="1:22" s="84" customFormat="1" ht="24.95" hidden="1" customHeight="1">
      <c r="A141" s="3" t="s">
        <v>437</v>
      </c>
      <c r="B141" s="3" t="s">
        <v>394</v>
      </c>
      <c r="C141" s="3"/>
      <c r="D141" s="3" t="s">
        <v>395</v>
      </c>
      <c r="E141" s="81">
        <v>0</v>
      </c>
      <c r="F141" s="81">
        <v>0</v>
      </c>
      <c r="G141" s="81">
        <v>0</v>
      </c>
      <c r="H141" s="81">
        <v>0</v>
      </c>
      <c r="I141" s="81">
        <v>0</v>
      </c>
      <c r="J141" s="81">
        <v>0</v>
      </c>
      <c r="K141" s="81">
        <v>0</v>
      </c>
      <c r="L141" s="81">
        <v>0</v>
      </c>
      <c r="M141" s="81">
        <v>0</v>
      </c>
      <c r="N141" s="81">
        <v>0</v>
      </c>
      <c r="O141" s="81">
        <v>0</v>
      </c>
      <c r="P141" s="81">
        <v>0</v>
      </c>
      <c r="Q141" s="171">
        <f t="shared" si="19"/>
        <v>0</v>
      </c>
      <c r="R141" s="171">
        <v>0</v>
      </c>
      <c r="U141" s="157"/>
      <c r="V141" s="40">
        <f t="shared" si="14"/>
        <v>0</v>
      </c>
    </row>
    <row r="142" spans="1:22" s="84" customFormat="1" ht="24.95" hidden="1" customHeight="1">
      <c r="A142" s="3" t="s">
        <v>437</v>
      </c>
      <c r="B142" s="3" t="s">
        <v>396</v>
      </c>
      <c r="C142" s="3"/>
      <c r="D142" s="3" t="s">
        <v>397</v>
      </c>
      <c r="E142" s="81">
        <v>0</v>
      </c>
      <c r="F142" s="81">
        <v>0</v>
      </c>
      <c r="G142" s="81">
        <v>0</v>
      </c>
      <c r="H142" s="81">
        <v>0</v>
      </c>
      <c r="I142" s="81">
        <v>0</v>
      </c>
      <c r="J142" s="81">
        <v>0</v>
      </c>
      <c r="K142" s="81">
        <v>0</v>
      </c>
      <c r="L142" s="81">
        <v>0</v>
      </c>
      <c r="M142" s="81">
        <v>0</v>
      </c>
      <c r="N142" s="81">
        <v>0</v>
      </c>
      <c r="O142" s="81">
        <v>0</v>
      </c>
      <c r="P142" s="81">
        <v>0</v>
      </c>
      <c r="Q142" s="171">
        <f t="shared" si="19"/>
        <v>0</v>
      </c>
      <c r="R142" s="171">
        <v>0</v>
      </c>
      <c r="U142" s="157"/>
      <c r="V142" s="40">
        <f t="shared" si="14"/>
        <v>0</v>
      </c>
    </row>
    <row r="143" spans="1:22" s="84" customFormat="1" ht="24.95" hidden="1" customHeight="1">
      <c r="A143" s="3" t="s">
        <v>437</v>
      </c>
      <c r="B143" s="3" t="s">
        <v>398</v>
      </c>
      <c r="C143" s="3"/>
      <c r="D143" s="3" t="s">
        <v>381</v>
      </c>
      <c r="E143" s="81">
        <v>0</v>
      </c>
      <c r="F143" s="81">
        <v>0</v>
      </c>
      <c r="G143" s="81">
        <v>0</v>
      </c>
      <c r="H143" s="81">
        <v>0</v>
      </c>
      <c r="I143" s="81">
        <v>0</v>
      </c>
      <c r="J143" s="81">
        <v>0</v>
      </c>
      <c r="K143" s="81">
        <v>0</v>
      </c>
      <c r="L143" s="81">
        <v>0</v>
      </c>
      <c r="M143" s="81">
        <v>0</v>
      </c>
      <c r="N143" s="81">
        <v>0</v>
      </c>
      <c r="O143" s="81">
        <v>0</v>
      </c>
      <c r="P143" s="81">
        <v>0</v>
      </c>
      <c r="Q143" s="171">
        <f t="shared" si="19"/>
        <v>0</v>
      </c>
      <c r="R143" s="171">
        <v>0</v>
      </c>
      <c r="U143" s="157"/>
      <c r="V143" s="40">
        <f t="shared" si="14"/>
        <v>0</v>
      </c>
    </row>
    <row r="144" spans="1:22" s="84" customFormat="1" ht="24.95" hidden="1" customHeight="1">
      <c r="A144" s="3" t="s">
        <v>437</v>
      </c>
      <c r="B144" s="3" t="s">
        <v>399</v>
      </c>
      <c r="C144" s="3"/>
      <c r="D144" s="3" t="s">
        <v>400</v>
      </c>
      <c r="E144" s="81">
        <v>0</v>
      </c>
      <c r="F144" s="81">
        <v>0</v>
      </c>
      <c r="G144" s="81">
        <v>0</v>
      </c>
      <c r="H144" s="81">
        <v>0</v>
      </c>
      <c r="I144" s="81">
        <v>0</v>
      </c>
      <c r="J144" s="81">
        <v>0</v>
      </c>
      <c r="K144" s="81">
        <v>0</v>
      </c>
      <c r="L144" s="81">
        <v>0</v>
      </c>
      <c r="M144" s="81">
        <v>0</v>
      </c>
      <c r="N144" s="81">
        <v>0</v>
      </c>
      <c r="O144" s="81">
        <v>0</v>
      </c>
      <c r="P144" s="81">
        <v>0</v>
      </c>
      <c r="Q144" s="171">
        <f t="shared" si="19"/>
        <v>0</v>
      </c>
      <c r="R144" s="171">
        <v>0</v>
      </c>
      <c r="U144" s="157"/>
      <c r="V144" s="40">
        <f t="shared" si="14"/>
        <v>0</v>
      </c>
    </row>
    <row r="145" spans="1:22" s="84" customFormat="1" ht="24.95" hidden="1" customHeight="1">
      <c r="A145" s="3" t="s">
        <v>437</v>
      </c>
      <c r="B145" s="3" t="s">
        <v>401</v>
      </c>
      <c r="C145" s="3"/>
      <c r="D145" s="3" t="s">
        <v>402</v>
      </c>
      <c r="E145" s="81">
        <v>0</v>
      </c>
      <c r="F145" s="81">
        <v>0</v>
      </c>
      <c r="G145" s="81">
        <v>0</v>
      </c>
      <c r="H145" s="81">
        <v>0</v>
      </c>
      <c r="I145" s="81">
        <v>0</v>
      </c>
      <c r="J145" s="81">
        <v>0</v>
      </c>
      <c r="K145" s="81">
        <v>0</v>
      </c>
      <c r="L145" s="81">
        <v>0</v>
      </c>
      <c r="M145" s="81">
        <v>0</v>
      </c>
      <c r="N145" s="81">
        <v>0</v>
      </c>
      <c r="O145" s="81">
        <v>0</v>
      </c>
      <c r="P145" s="81">
        <v>0</v>
      </c>
      <c r="Q145" s="171">
        <f t="shared" si="19"/>
        <v>0</v>
      </c>
      <c r="R145" s="171">
        <v>0</v>
      </c>
      <c r="U145" s="157"/>
      <c r="V145" s="40">
        <f t="shared" si="14"/>
        <v>0</v>
      </c>
    </row>
    <row r="146" spans="1:22" s="84" customFormat="1" ht="24.95" customHeight="1">
      <c r="A146" s="3" t="s">
        <v>437</v>
      </c>
      <c r="B146" s="3" t="s">
        <v>405</v>
      </c>
      <c r="C146" s="3"/>
      <c r="D146" s="3" t="s">
        <v>406</v>
      </c>
      <c r="E146" s="81">
        <f>+'Room Service'!E117</f>
        <v>0</v>
      </c>
      <c r="F146" s="81">
        <f>+'Room Service'!F117</f>
        <v>0</v>
      </c>
      <c r="G146" s="81">
        <f>+'Room Service'!G117</f>
        <v>0</v>
      </c>
      <c r="H146" s="81">
        <f>+'Room Service'!H117</f>
        <v>0</v>
      </c>
      <c r="I146" s="81">
        <f>+'Room Service'!I117</f>
        <v>0</v>
      </c>
      <c r="J146" s="81">
        <f>+'Room Service'!J117</f>
        <v>0</v>
      </c>
      <c r="K146" s="81">
        <f>+'Room Service'!K117</f>
        <v>0</v>
      </c>
      <c r="L146" s="81">
        <f>+'Room Service'!L117</f>
        <v>0</v>
      </c>
      <c r="M146" s="81">
        <f>+'Room Service'!M117</f>
        <v>0</v>
      </c>
      <c r="N146" s="81">
        <f>+'Room Service'!N117</f>
        <v>0</v>
      </c>
      <c r="O146" s="81">
        <f>+'Room Service'!O117</f>
        <v>0</v>
      </c>
      <c r="P146" s="81">
        <f>+'Room Service'!P117</f>
        <v>0</v>
      </c>
      <c r="Q146" s="171">
        <f t="shared" si="19"/>
        <v>0</v>
      </c>
      <c r="R146" s="171">
        <v>5376</v>
      </c>
      <c r="U146" s="157"/>
      <c r="V146" s="40">
        <f t="shared" si="14"/>
        <v>0</v>
      </c>
    </row>
    <row r="147" spans="1:22" s="84" customFormat="1" ht="24.95" customHeight="1">
      <c r="A147" s="3" t="s">
        <v>437</v>
      </c>
      <c r="B147" s="3" t="s">
        <v>407</v>
      </c>
      <c r="C147" s="3"/>
      <c r="D147" s="3" t="s">
        <v>408</v>
      </c>
      <c r="E147" s="81">
        <f>+Banquet!E118</f>
        <v>1215</v>
      </c>
      <c r="F147" s="81">
        <f>+Banquet!F118</f>
        <v>860</v>
      </c>
      <c r="G147" s="81">
        <f>+Banquet!G118</f>
        <v>999</v>
      </c>
      <c r="H147" s="81">
        <f>+Banquet!H118</f>
        <v>1222</v>
      </c>
      <c r="I147" s="81">
        <f>+Banquet!I118</f>
        <v>1281</v>
      </c>
      <c r="J147" s="81">
        <f>+Banquet!J118</f>
        <v>1245</v>
      </c>
      <c r="K147" s="81">
        <f>+Banquet!K118</f>
        <v>1690</v>
      </c>
      <c r="L147" s="81">
        <f>+Banquet!L118</f>
        <v>1700</v>
      </c>
      <c r="M147" s="81">
        <f>+Banquet!M118</f>
        <v>1865</v>
      </c>
      <c r="N147" s="81">
        <f>+Banquet!N118</f>
        <v>1915</v>
      </c>
      <c r="O147" s="81">
        <f>+Banquet!O118</f>
        <v>1210</v>
      </c>
      <c r="P147" s="81">
        <f>+Banquet!P118</f>
        <v>1150</v>
      </c>
      <c r="Q147" s="171">
        <f t="shared" si="19"/>
        <v>16352</v>
      </c>
      <c r="R147" s="171">
        <v>11529</v>
      </c>
      <c r="U147" s="157"/>
      <c r="V147" s="40" t="e">
        <f t="shared" si="14"/>
        <v>#DIV/0!</v>
      </c>
    </row>
    <row r="148" spans="1:22" s="84" customFormat="1" ht="24.95" customHeight="1">
      <c r="A148" s="3"/>
      <c r="B148" s="3"/>
      <c r="C148" s="3"/>
      <c r="D148" s="19" t="s">
        <v>439</v>
      </c>
      <c r="E148" s="169">
        <f>SUM(E134:E147)</f>
        <v>5902.6445012787717</v>
      </c>
      <c r="F148" s="169">
        <f t="shared" ref="F148:Q148" si="20">SUM(F134:F147)</f>
        <v>4804.6581415174769</v>
      </c>
      <c r="G148" s="169">
        <f t="shared" si="20"/>
        <v>6118.536764705882</v>
      </c>
      <c r="H148" s="169">
        <f t="shared" si="20"/>
        <v>7125.0110294117649</v>
      </c>
      <c r="I148" s="169">
        <f t="shared" si="20"/>
        <v>7624.6102941176468</v>
      </c>
      <c r="J148" s="169">
        <f t="shared" si="20"/>
        <v>7018.6544117647063</v>
      </c>
      <c r="K148" s="169">
        <f t="shared" si="20"/>
        <v>8078.3602941176468</v>
      </c>
      <c r="L148" s="169">
        <f t="shared" si="20"/>
        <v>8148.3602941176468</v>
      </c>
      <c r="M148" s="169">
        <f t="shared" si="20"/>
        <v>8423.3602941176468</v>
      </c>
      <c r="N148" s="169">
        <f t="shared" si="20"/>
        <v>8745.8970588235297</v>
      </c>
      <c r="O148" s="169">
        <f t="shared" si="20"/>
        <v>7673.3602941176468</v>
      </c>
      <c r="P148" s="169">
        <f t="shared" si="20"/>
        <v>7423.3602941176468</v>
      </c>
      <c r="Q148" s="169">
        <f t="shared" si="20"/>
        <v>87086.813672208023</v>
      </c>
      <c r="R148" s="169">
        <v>175765</v>
      </c>
      <c r="U148" s="157"/>
      <c r="V148" s="40" t="e">
        <f t="shared" si="14"/>
        <v>#DIV/0!</v>
      </c>
    </row>
    <row r="149" spans="1:22" s="84" customFormat="1" ht="24.95" customHeight="1">
      <c r="A149" s="3"/>
      <c r="B149" s="3"/>
      <c r="C149" s="3"/>
      <c r="D149" s="3"/>
      <c r="E149" s="3"/>
      <c r="F149" s="3"/>
      <c r="G149" s="3"/>
      <c r="H149" s="3"/>
      <c r="I149" s="3"/>
      <c r="J149" s="3"/>
      <c r="K149" s="3"/>
      <c r="L149" s="161"/>
      <c r="U149" s="157"/>
      <c r="V149" s="40"/>
    </row>
    <row r="150" spans="1:22" s="84" customFormat="1" ht="24.95" customHeight="1">
      <c r="A150" s="3"/>
      <c r="B150" s="3"/>
      <c r="C150" s="3"/>
      <c r="D150" s="19" t="s">
        <v>440</v>
      </c>
      <c r="E150" s="3"/>
      <c r="F150" s="3"/>
      <c r="G150" s="3"/>
      <c r="H150" s="3"/>
      <c r="I150" s="3"/>
      <c r="J150" s="3"/>
      <c r="K150" s="3"/>
      <c r="L150" s="161"/>
      <c r="U150" s="157"/>
      <c r="V150" s="40"/>
    </row>
    <row r="151" spans="1:22" s="84" customFormat="1" ht="24.95" customHeight="1">
      <c r="A151" s="3"/>
      <c r="B151" s="3"/>
      <c r="C151" s="3"/>
      <c r="D151" s="26" t="s">
        <v>412</v>
      </c>
      <c r="E151" s="172">
        <f t="shared" ref="E151:Q151" si="21">IF(E134=0,0,ROUND(E12/E134,2))</f>
        <v>0</v>
      </c>
      <c r="F151" s="172">
        <f t="shared" si="21"/>
        <v>0</v>
      </c>
      <c r="G151" s="172">
        <f t="shared" si="21"/>
        <v>0</v>
      </c>
      <c r="H151" s="61">
        <f t="shared" si="21"/>
        <v>0</v>
      </c>
      <c r="I151" s="61">
        <f t="shared" si="21"/>
        <v>0</v>
      </c>
      <c r="J151" s="61">
        <f t="shared" si="21"/>
        <v>0</v>
      </c>
      <c r="K151" s="61">
        <f t="shared" si="21"/>
        <v>0</v>
      </c>
      <c r="L151" s="61">
        <f t="shared" si="21"/>
        <v>0</v>
      </c>
      <c r="M151" s="61">
        <f t="shared" si="21"/>
        <v>0</v>
      </c>
      <c r="N151" s="61">
        <f t="shared" si="21"/>
        <v>0</v>
      </c>
      <c r="O151" s="61">
        <f t="shared" si="21"/>
        <v>0</v>
      </c>
      <c r="P151" s="61">
        <f t="shared" si="21"/>
        <v>0</v>
      </c>
      <c r="Q151" s="61">
        <f t="shared" si="21"/>
        <v>0</v>
      </c>
      <c r="R151" s="172">
        <v>95.54</v>
      </c>
      <c r="U151" s="157"/>
      <c r="V151" s="40">
        <f t="shared" ref="V151:V165" si="22">IF(Q151-U151=0,0,(Q151-U151)/U151)</f>
        <v>0</v>
      </c>
    </row>
    <row r="152" spans="1:22" s="84" customFormat="1" ht="24.95" customHeight="1">
      <c r="A152" s="3"/>
      <c r="B152" s="3"/>
      <c r="C152" s="3"/>
      <c r="D152" s="26" t="s">
        <v>441</v>
      </c>
      <c r="E152" s="172">
        <f t="shared" ref="E152:Q152" si="23">IF(E135=0,0,ROUND(E13/E135,2))</f>
        <v>84.66</v>
      </c>
      <c r="F152" s="172">
        <f t="shared" si="23"/>
        <v>77.150000000000006</v>
      </c>
      <c r="G152" s="172">
        <f t="shared" si="23"/>
        <v>71.78</v>
      </c>
      <c r="H152" s="61">
        <f t="shared" si="23"/>
        <v>73.03</v>
      </c>
      <c r="I152" s="61">
        <f t="shared" si="23"/>
        <v>76.27</v>
      </c>
      <c r="J152" s="61">
        <f t="shared" si="23"/>
        <v>75.319999999999993</v>
      </c>
      <c r="K152" s="61">
        <f t="shared" si="23"/>
        <v>71.989999999999995</v>
      </c>
      <c r="L152" s="61">
        <f t="shared" si="23"/>
        <v>71.69</v>
      </c>
      <c r="M152" s="61">
        <f t="shared" si="23"/>
        <v>72.38</v>
      </c>
      <c r="N152" s="61">
        <f t="shared" si="23"/>
        <v>73.97</v>
      </c>
      <c r="O152" s="61">
        <f t="shared" si="23"/>
        <v>73.47</v>
      </c>
      <c r="P152" s="61">
        <f t="shared" si="23"/>
        <v>75.760000000000005</v>
      </c>
      <c r="Q152" s="61">
        <f t="shared" si="23"/>
        <v>74.510000000000005</v>
      </c>
      <c r="R152" s="172">
        <v>128.96</v>
      </c>
      <c r="U152" s="157"/>
      <c r="V152" s="40" t="e">
        <f t="shared" si="22"/>
        <v>#DIV/0!</v>
      </c>
    </row>
    <row r="153" spans="1:22" s="84" customFormat="1" ht="24.95" customHeight="1">
      <c r="A153" s="3"/>
      <c r="B153" s="3"/>
      <c r="C153" s="3"/>
      <c r="D153" s="26" t="s">
        <v>385</v>
      </c>
      <c r="E153" s="172">
        <f t="shared" ref="E153:Q153" si="24">IF(E136=0,0,ROUND(E14/E136,2))</f>
        <v>0</v>
      </c>
      <c r="F153" s="172">
        <f t="shared" si="24"/>
        <v>0</v>
      </c>
      <c r="G153" s="172">
        <f t="shared" si="24"/>
        <v>0</v>
      </c>
      <c r="H153" s="61">
        <f t="shared" si="24"/>
        <v>0</v>
      </c>
      <c r="I153" s="61">
        <f t="shared" si="24"/>
        <v>0</v>
      </c>
      <c r="J153" s="61">
        <f t="shared" si="24"/>
        <v>0</v>
      </c>
      <c r="K153" s="61">
        <f t="shared" si="24"/>
        <v>0</v>
      </c>
      <c r="L153" s="61">
        <f t="shared" si="24"/>
        <v>0</v>
      </c>
      <c r="M153" s="61">
        <f t="shared" si="24"/>
        <v>0</v>
      </c>
      <c r="N153" s="61">
        <f t="shared" si="24"/>
        <v>0</v>
      </c>
      <c r="O153" s="61">
        <f t="shared" si="24"/>
        <v>0</v>
      </c>
      <c r="P153" s="61">
        <f t="shared" si="24"/>
        <v>0</v>
      </c>
      <c r="Q153" s="61">
        <f t="shared" si="24"/>
        <v>0</v>
      </c>
      <c r="R153" s="172">
        <v>817.83</v>
      </c>
      <c r="U153" s="157"/>
      <c r="V153" s="40">
        <f t="shared" si="22"/>
        <v>0</v>
      </c>
    </row>
    <row r="154" spans="1:22" s="84" customFormat="1" ht="24.95" customHeight="1">
      <c r="A154" s="3"/>
      <c r="B154" s="3"/>
      <c r="C154" s="3"/>
      <c r="D154" s="26" t="s">
        <v>387</v>
      </c>
      <c r="E154" s="172">
        <f t="shared" ref="E154:Q154" si="25">IF(E137=0,0,ROUND(E15/E137,2))</f>
        <v>0</v>
      </c>
      <c r="F154" s="172">
        <f t="shared" si="25"/>
        <v>0</v>
      </c>
      <c r="G154" s="172">
        <f t="shared" si="25"/>
        <v>0</v>
      </c>
      <c r="H154" s="61">
        <f t="shared" si="25"/>
        <v>0</v>
      </c>
      <c r="I154" s="61">
        <f t="shared" si="25"/>
        <v>0</v>
      </c>
      <c r="J154" s="61">
        <f t="shared" si="25"/>
        <v>0</v>
      </c>
      <c r="K154" s="61">
        <f t="shared" si="25"/>
        <v>0</v>
      </c>
      <c r="L154" s="61">
        <f t="shared" si="25"/>
        <v>0</v>
      </c>
      <c r="M154" s="61">
        <f t="shared" si="25"/>
        <v>0</v>
      </c>
      <c r="N154" s="61">
        <f t="shared" si="25"/>
        <v>0</v>
      </c>
      <c r="O154" s="61">
        <f t="shared" si="25"/>
        <v>0</v>
      </c>
      <c r="P154" s="61">
        <f t="shared" si="25"/>
        <v>0</v>
      </c>
      <c r="Q154" s="61">
        <f t="shared" si="25"/>
        <v>0</v>
      </c>
      <c r="R154" s="172">
        <v>27.12</v>
      </c>
      <c r="U154" s="157"/>
      <c r="V154" s="40">
        <f t="shared" si="22"/>
        <v>0</v>
      </c>
    </row>
    <row r="155" spans="1:22" s="84" customFormat="1" ht="24.95" customHeight="1">
      <c r="A155" s="3"/>
      <c r="B155" s="3"/>
      <c r="C155" s="3"/>
      <c r="D155" s="26" t="s">
        <v>389</v>
      </c>
      <c r="E155" s="172">
        <f t="shared" ref="E155:Q155" si="26">IF(E138=0,0,ROUND(E16/E138,2))</f>
        <v>0</v>
      </c>
      <c r="F155" s="172">
        <f t="shared" si="26"/>
        <v>0</v>
      </c>
      <c r="G155" s="172">
        <f t="shared" si="26"/>
        <v>0</v>
      </c>
      <c r="H155" s="61">
        <f t="shared" si="26"/>
        <v>0</v>
      </c>
      <c r="I155" s="61">
        <f t="shared" si="26"/>
        <v>0</v>
      </c>
      <c r="J155" s="61">
        <f t="shared" si="26"/>
        <v>0</v>
      </c>
      <c r="K155" s="61">
        <f t="shared" si="26"/>
        <v>0</v>
      </c>
      <c r="L155" s="61">
        <f t="shared" si="26"/>
        <v>0</v>
      </c>
      <c r="M155" s="61">
        <f t="shared" si="26"/>
        <v>0</v>
      </c>
      <c r="N155" s="61">
        <f t="shared" si="26"/>
        <v>0</v>
      </c>
      <c r="O155" s="61">
        <f t="shared" si="26"/>
        <v>0</v>
      </c>
      <c r="P155" s="61">
        <f t="shared" si="26"/>
        <v>0</v>
      </c>
      <c r="Q155" s="61">
        <f t="shared" si="26"/>
        <v>0</v>
      </c>
      <c r="R155" s="172">
        <v>83.4</v>
      </c>
      <c r="U155" s="157"/>
      <c r="V155" s="40">
        <f t="shared" si="22"/>
        <v>0</v>
      </c>
    </row>
    <row r="156" spans="1:22" s="84" customFormat="1" ht="24.95" hidden="1" customHeight="1">
      <c r="A156" s="3"/>
      <c r="B156" s="3"/>
      <c r="C156" s="3"/>
      <c r="D156" s="3" t="s">
        <v>391</v>
      </c>
      <c r="E156" s="172">
        <f t="shared" ref="E156:Q156" si="27">IF(E139=0,0,ROUND(E17/E139,2))</f>
        <v>0</v>
      </c>
      <c r="F156" s="172">
        <f t="shared" si="27"/>
        <v>0</v>
      </c>
      <c r="G156" s="172">
        <f t="shared" si="27"/>
        <v>0</v>
      </c>
      <c r="H156" s="61">
        <f t="shared" si="27"/>
        <v>0</v>
      </c>
      <c r="I156" s="61">
        <f t="shared" si="27"/>
        <v>0</v>
      </c>
      <c r="J156" s="61">
        <f t="shared" si="27"/>
        <v>0</v>
      </c>
      <c r="K156" s="61">
        <f t="shared" si="27"/>
        <v>0</v>
      </c>
      <c r="L156" s="61">
        <f t="shared" si="27"/>
        <v>0</v>
      </c>
      <c r="M156" s="61">
        <f t="shared" si="27"/>
        <v>0</v>
      </c>
      <c r="N156" s="61">
        <f t="shared" si="27"/>
        <v>0</v>
      </c>
      <c r="O156" s="61">
        <f t="shared" si="27"/>
        <v>0</v>
      </c>
      <c r="P156" s="61">
        <f t="shared" si="27"/>
        <v>0</v>
      </c>
      <c r="Q156" s="61">
        <f t="shared" si="27"/>
        <v>0</v>
      </c>
      <c r="R156" s="172">
        <v>0</v>
      </c>
      <c r="U156" s="157"/>
      <c r="V156" s="40">
        <f t="shared" si="22"/>
        <v>0</v>
      </c>
    </row>
    <row r="157" spans="1:22" s="84" customFormat="1" ht="24.95" hidden="1" customHeight="1">
      <c r="A157" s="3"/>
      <c r="B157" s="3"/>
      <c r="C157" s="3"/>
      <c r="D157" s="3" t="s">
        <v>393</v>
      </c>
      <c r="E157" s="172">
        <f t="shared" ref="E157:Q157" si="28">IF(E140=0,0,ROUND(E18/E140,2))</f>
        <v>0</v>
      </c>
      <c r="F157" s="172">
        <f t="shared" si="28"/>
        <v>0</v>
      </c>
      <c r="G157" s="172">
        <f t="shared" si="28"/>
        <v>0</v>
      </c>
      <c r="H157" s="61">
        <f t="shared" si="28"/>
        <v>0</v>
      </c>
      <c r="I157" s="61">
        <f t="shared" si="28"/>
        <v>0</v>
      </c>
      <c r="J157" s="61">
        <f t="shared" si="28"/>
        <v>0</v>
      </c>
      <c r="K157" s="61">
        <f t="shared" si="28"/>
        <v>0</v>
      </c>
      <c r="L157" s="61">
        <f t="shared" si="28"/>
        <v>0</v>
      </c>
      <c r="M157" s="61">
        <f t="shared" si="28"/>
        <v>0</v>
      </c>
      <c r="N157" s="61">
        <f t="shared" si="28"/>
        <v>0</v>
      </c>
      <c r="O157" s="61">
        <f t="shared" si="28"/>
        <v>0</v>
      </c>
      <c r="P157" s="61">
        <f t="shared" si="28"/>
        <v>0</v>
      </c>
      <c r="Q157" s="61">
        <f t="shared" si="28"/>
        <v>0</v>
      </c>
      <c r="R157" s="172">
        <v>0</v>
      </c>
      <c r="U157" s="157"/>
      <c r="V157" s="40">
        <f t="shared" si="22"/>
        <v>0</v>
      </c>
    </row>
    <row r="158" spans="1:22" s="84" customFormat="1" ht="24.95" hidden="1" customHeight="1">
      <c r="A158" s="3"/>
      <c r="B158" s="3"/>
      <c r="C158" s="3"/>
      <c r="D158" s="3" t="s">
        <v>395</v>
      </c>
      <c r="E158" s="172">
        <f t="shared" ref="E158:Q158" si="29">IF(E141=0,0,ROUND(E19/E141,2))</f>
        <v>0</v>
      </c>
      <c r="F158" s="172">
        <f t="shared" si="29"/>
        <v>0</v>
      </c>
      <c r="G158" s="172">
        <f t="shared" si="29"/>
        <v>0</v>
      </c>
      <c r="H158" s="61">
        <f t="shared" si="29"/>
        <v>0</v>
      </c>
      <c r="I158" s="61">
        <f t="shared" si="29"/>
        <v>0</v>
      </c>
      <c r="J158" s="61">
        <f t="shared" si="29"/>
        <v>0</v>
      </c>
      <c r="K158" s="61">
        <f t="shared" si="29"/>
        <v>0</v>
      </c>
      <c r="L158" s="61">
        <f t="shared" si="29"/>
        <v>0</v>
      </c>
      <c r="M158" s="61">
        <f t="shared" si="29"/>
        <v>0</v>
      </c>
      <c r="N158" s="61">
        <f t="shared" si="29"/>
        <v>0</v>
      </c>
      <c r="O158" s="61">
        <f t="shared" si="29"/>
        <v>0</v>
      </c>
      <c r="P158" s="61">
        <f t="shared" si="29"/>
        <v>0</v>
      </c>
      <c r="Q158" s="61">
        <f t="shared" si="29"/>
        <v>0</v>
      </c>
      <c r="R158" s="172">
        <v>0</v>
      </c>
      <c r="U158" s="157"/>
      <c r="V158" s="40">
        <f t="shared" si="22"/>
        <v>0</v>
      </c>
    </row>
    <row r="159" spans="1:22" s="84" customFormat="1" ht="24.95" hidden="1" customHeight="1">
      <c r="A159" s="3"/>
      <c r="B159" s="3"/>
      <c r="C159" s="3"/>
      <c r="D159" s="3" t="s">
        <v>397</v>
      </c>
      <c r="E159" s="172">
        <f t="shared" ref="E159:Q159" si="30">IF(E142=0,0,ROUND(E20/E142,2))</f>
        <v>0</v>
      </c>
      <c r="F159" s="172">
        <f t="shared" si="30"/>
        <v>0</v>
      </c>
      <c r="G159" s="172">
        <f t="shared" si="30"/>
        <v>0</v>
      </c>
      <c r="H159" s="61">
        <f t="shared" si="30"/>
        <v>0</v>
      </c>
      <c r="I159" s="61">
        <f t="shared" si="30"/>
        <v>0</v>
      </c>
      <c r="J159" s="61">
        <f t="shared" si="30"/>
        <v>0</v>
      </c>
      <c r="K159" s="61">
        <f t="shared" si="30"/>
        <v>0</v>
      </c>
      <c r="L159" s="61">
        <f t="shared" si="30"/>
        <v>0</v>
      </c>
      <c r="M159" s="61">
        <f t="shared" si="30"/>
        <v>0</v>
      </c>
      <c r="N159" s="61">
        <f t="shared" si="30"/>
        <v>0</v>
      </c>
      <c r="O159" s="61">
        <f t="shared" si="30"/>
        <v>0</v>
      </c>
      <c r="P159" s="61">
        <f t="shared" si="30"/>
        <v>0</v>
      </c>
      <c r="Q159" s="61">
        <f t="shared" si="30"/>
        <v>0</v>
      </c>
      <c r="R159" s="172">
        <v>0</v>
      </c>
      <c r="U159" s="157"/>
      <c r="V159" s="40">
        <f t="shared" si="22"/>
        <v>0</v>
      </c>
    </row>
    <row r="160" spans="1:22" s="84" customFormat="1" ht="24.95" hidden="1" customHeight="1">
      <c r="A160" s="3"/>
      <c r="B160" s="3"/>
      <c r="C160" s="3"/>
      <c r="D160" s="3" t="s">
        <v>381</v>
      </c>
      <c r="E160" s="172">
        <f t="shared" ref="E160:Q160" si="31">IF(E143=0,0,ROUND(E21/E143,2))</f>
        <v>0</v>
      </c>
      <c r="F160" s="172">
        <f t="shared" si="31"/>
        <v>0</v>
      </c>
      <c r="G160" s="172">
        <f t="shared" si="31"/>
        <v>0</v>
      </c>
      <c r="H160" s="61">
        <f t="shared" si="31"/>
        <v>0</v>
      </c>
      <c r="I160" s="61">
        <f t="shared" si="31"/>
        <v>0</v>
      </c>
      <c r="J160" s="61">
        <f t="shared" si="31"/>
        <v>0</v>
      </c>
      <c r="K160" s="61">
        <f t="shared" si="31"/>
        <v>0</v>
      </c>
      <c r="L160" s="61">
        <f t="shared" si="31"/>
        <v>0</v>
      </c>
      <c r="M160" s="61">
        <f t="shared" si="31"/>
        <v>0</v>
      </c>
      <c r="N160" s="61">
        <f t="shared" si="31"/>
        <v>0</v>
      </c>
      <c r="O160" s="61">
        <f t="shared" si="31"/>
        <v>0</v>
      </c>
      <c r="P160" s="61">
        <f t="shared" si="31"/>
        <v>0</v>
      </c>
      <c r="Q160" s="61">
        <f t="shared" si="31"/>
        <v>0</v>
      </c>
      <c r="R160" s="172">
        <v>0</v>
      </c>
      <c r="U160" s="157"/>
      <c r="V160" s="40">
        <f t="shared" si="22"/>
        <v>0</v>
      </c>
    </row>
    <row r="161" spans="1:22" s="84" customFormat="1" ht="24.95" hidden="1" customHeight="1">
      <c r="A161" s="3"/>
      <c r="B161" s="3"/>
      <c r="C161" s="3"/>
      <c r="D161" s="3" t="s">
        <v>400</v>
      </c>
      <c r="E161" s="172">
        <f t="shared" ref="E161:Q161" si="32">IF(E144=0,0,ROUND(E22/E144,2))</f>
        <v>0</v>
      </c>
      <c r="F161" s="172">
        <f t="shared" si="32"/>
        <v>0</v>
      </c>
      <c r="G161" s="172">
        <f t="shared" si="32"/>
        <v>0</v>
      </c>
      <c r="H161" s="61">
        <f t="shared" si="32"/>
        <v>0</v>
      </c>
      <c r="I161" s="61">
        <f t="shared" si="32"/>
        <v>0</v>
      </c>
      <c r="J161" s="61">
        <f t="shared" si="32"/>
        <v>0</v>
      </c>
      <c r="K161" s="61">
        <f t="shared" si="32"/>
        <v>0</v>
      </c>
      <c r="L161" s="61">
        <f t="shared" si="32"/>
        <v>0</v>
      </c>
      <c r="M161" s="61">
        <f t="shared" si="32"/>
        <v>0</v>
      </c>
      <c r="N161" s="61">
        <f t="shared" si="32"/>
        <v>0</v>
      </c>
      <c r="O161" s="61">
        <f t="shared" si="32"/>
        <v>0</v>
      </c>
      <c r="P161" s="61">
        <f t="shared" si="32"/>
        <v>0</v>
      </c>
      <c r="Q161" s="61">
        <f t="shared" si="32"/>
        <v>0</v>
      </c>
      <c r="R161" s="172">
        <v>0</v>
      </c>
      <c r="U161" s="157"/>
      <c r="V161" s="40">
        <f t="shared" si="22"/>
        <v>0</v>
      </c>
    </row>
    <row r="162" spans="1:22" s="84" customFormat="1" ht="24.95" hidden="1" customHeight="1">
      <c r="A162" s="3"/>
      <c r="B162" s="3"/>
      <c r="C162" s="3"/>
      <c r="D162" s="3" t="s">
        <v>402</v>
      </c>
      <c r="E162" s="172">
        <f t="shared" ref="E162:Q162" si="33">IF(E145=0,0,ROUND(E23/E145,2))</f>
        <v>0</v>
      </c>
      <c r="F162" s="172">
        <f t="shared" si="33"/>
        <v>0</v>
      </c>
      <c r="G162" s="172">
        <f t="shared" si="33"/>
        <v>0</v>
      </c>
      <c r="H162" s="61">
        <f t="shared" si="33"/>
        <v>0</v>
      </c>
      <c r="I162" s="61">
        <f t="shared" si="33"/>
        <v>0</v>
      </c>
      <c r="J162" s="61">
        <f t="shared" si="33"/>
        <v>0</v>
      </c>
      <c r="K162" s="61">
        <f t="shared" si="33"/>
        <v>0</v>
      </c>
      <c r="L162" s="61">
        <f t="shared" si="33"/>
        <v>0</v>
      </c>
      <c r="M162" s="61">
        <f t="shared" si="33"/>
        <v>0</v>
      </c>
      <c r="N162" s="61">
        <f t="shared" si="33"/>
        <v>0</v>
      </c>
      <c r="O162" s="61">
        <f t="shared" si="33"/>
        <v>0</v>
      </c>
      <c r="P162" s="61">
        <f t="shared" si="33"/>
        <v>0</v>
      </c>
      <c r="Q162" s="61">
        <f t="shared" si="33"/>
        <v>0</v>
      </c>
      <c r="R162" s="172">
        <v>0</v>
      </c>
      <c r="U162" s="157"/>
      <c r="V162" s="40">
        <f t="shared" si="22"/>
        <v>0</v>
      </c>
    </row>
    <row r="163" spans="1:22" s="84" customFormat="1" ht="24.95" customHeight="1">
      <c r="A163" s="3"/>
      <c r="B163" s="3"/>
      <c r="C163" s="3"/>
      <c r="D163" s="3" t="s">
        <v>406</v>
      </c>
      <c r="E163" s="172">
        <f t="shared" ref="E163:Q163" si="34">IF(E146=0,0,ROUND(E25/E146,2))</f>
        <v>0</v>
      </c>
      <c r="F163" s="172">
        <f t="shared" si="34"/>
        <v>0</v>
      </c>
      <c r="G163" s="172">
        <f t="shared" si="34"/>
        <v>0</v>
      </c>
      <c r="H163" s="61">
        <f t="shared" si="34"/>
        <v>0</v>
      </c>
      <c r="I163" s="61">
        <f t="shared" si="34"/>
        <v>0</v>
      </c>
      <c r="J163" s="61">
        <f t="shared" si="34"/>
        <v>0</v>
      </c>
      <c r="K163" s="61">
        <f t="shared" si="34"/>
        <v>0</v>
      </c>
      <c r="L163" s="61">
        <f t="shared" si="34"/>
        <v>0</v>
      </c>
      <c r="M163" s="61">
        <f t="shared" si="34"/>
        <v>0</v>
      </c>
      <c r="N163" s="61">
        <f t="shared" si="34"/>
        <v>0</v>
      </c>
      <c r="O163" s="61">
        <f t="shared" si="34"/>
        <v>0</v>
      </c>
      <c r="P163" s="61">
        <f t="shared" si="34"/>
        <v>0</v>
      </c>
      <c r="Q163" s="61">
        <f t="shared" si="34"/>
        <v>0</v>
      </c>
      <c r="R163" s="172">
        <v>112.78</v>
      </c>
      <c r="U163" s="157"/>
      <c r="V163" s="40">
        <f t="shared" si="22"/>
        <v>0</v>
      </c>
    </row>
    <row r="164" spans="1:22" s="84" customFormat="1" ht="24.95" customHeight="1">
      <c r="A164" s="3"/>
      <c r="B164" s="3"/>
      <c r="C164" s="3"/>
      <c r="D164" s="3" t="s">
        <v>408</v>
      </c>
      <c r="E164" s="172">
        <f t="shared" ref="E164:Q164" si="35">IF(E147=0,0,ROUND(E26/E147,2))</f>
        <v>238.68</v>
      </c>
      <c r="F164" s="172">
        <f t="shared" si="35"/>
        <v>209.3</v>
      </c>
      <c r="G164" s="172">
        <f t="shared" si="35"/>
        <v>240.24</v>
      </c>
      <c r="H164" s="61">
        <f t="shared" si="35"/>
        <v>261.87</v>
      </c>
      <c r="I164" s="61">
        <f t="shared" si="35"/>
        <v>288.83999999999997</v>
      </c>
      <c r="J164" s="61">
        <f t="shared" si="35"/>
        <v>249</v>
      </c>
      <c r="K164" s="61">
        <f t="shared" si="35"/>
        <v>218.93</v>
      </c>
      <c r="L164" s="61">
        <f t="shared" si="35"/>
        <v>229.41</v>
      </c>
      <c r="M164" s="61">
        <f t="shared" si="35"/>
        <v>252.01</v>
      </c>
      <c r="N164" s="61">
        <f t="shared" si="35"/>
        <v>219.32</v>
      </c>
      <c r="O164" s="61">
        <f t="shared" si="35"/>
        <v>206.61</v>
      </c>
      <c r="P164" s="61">
        <f t="shared" si="35"/>
        <v>200</v>
      </c>
      <c r="Q164" s="61">
        <f t="shared" si="35"/>
        <v>234.83</v>
      </c>
      <c r="R164" s="172">
        <v>632.54999999999995</v>
      </c>
      <c r="U164" s="157"/>
      <c r="V164" s="40" t="e">
        <f t="shared" si="22"/>
        <v>#DIV/0!</v>
      </c>
    </row>
    <row r="165" spans="1:22" s="84" customFormat="1" ht="24.95" customHeight="1">
      <c r="A165" s="3"/>
      <c r="B165" s="3"/>
      <c r="C165" s="3"/>
      <c r="D165" s="19" t="s">
        <v>442</v>
      </c>
      <c r="E165" s="173">
        <f>IF(E148=0,0,ROUND((E27+E45)/E148,2))</f>
        <v>116.96</v>
      </c>
      <c r="F165" s="173">
        <f>IF(F148=0,0,ROUND((F27+F45)/F148,2))</f>
        <v>101.11</v>
      </c>
      <c r="G165" s="173">
        <f>IF(G148=0,0,ROUND((G27+G45)/G148,2))</f>
        <v>99.86</v>
      </c>
      <c r="H165" s="170">
        <f>IF(H148=0,0,ROUND(H27/H148,2))</f>
        <v>105.41</v>
      </c>
      <c r="I165" s="170">
        <f t="shared" ref="I165:Q165" si="36">IF(I148=0,0,ROUND(I27/I148,2))</f>
        <v>111.98</v>
      </c>
      <c r="J165" s="170">
        <f t="shared" si="36"/>
        <v>106.13</v>
      </c>
      <c r="K165" s="170">
        <f t="shared" si="36"/>
        <v>102.73</v>
      </c>
      <c r="L165" s="170">
        <f t="shared" si="36"/>
        <v>104.6</v>
      </c>
      <c r="M165" s="170">
        <f t="shared" si="36"/>
        <v>112.15</v>
      </c>
      <c r="N165" s="170">
        <f t="shared" si="36"/>
        <v>105.8</v>
      </c>
      <c r="O165" s="170">
        <f t="shared" si="36"/>
        <v>94.47</v>
      </c>
      <c r="P165" s="170">
        <f t="shared" si="36"/>
        <v>95.01</v>
      </c>
      <c r="Q165" s="170">
        <f t="shared" si="36"/>
        <v>104.62</v>
      </c>
      <c r="R165" s="173">
        <v>190.76</v>
      </c>
      <c r="U165" s="157"/>
      <c r="V165" s="40" t="e">
        <f t="shared" si="22"/>
        <v>#DIV/0!</v>
      </c>
    </row>
    <row r="166" spans="1:22" s="84" customFormat="1" ht="24.95" customHeight="1">
      <c r="A166" s="3"/>
      <c r="B166" s="3"/>
      <c r="C166" s="3"/>
      <c r="D166" s="3"/>
      <c r="E166" s="3"/>
      <c r="F166" s="3"/>
      <c r="G166" s="3"/>
      <c r="H166" s="3"/>
      <c r="I166" s="3"/>
      <c r="J166" s="3"/>
      <c r="K166" s="3"/>
      <c r="L166" s="161"/>
      <c r="U166" s="157"/>
      <c r="V166" s="40"/>
    </row>
    <row r="167" spans="1:22" s="84" customFormat="1" ht="24.95" customHeight="1">
      <c r="A167" s="3"/>
      <c r="B167" s="3"/>
      <c r="C167" s="3"/>
      <c r="D167" s="19" t="s">
        <v>443</v>
      </c>
      <c r="E167" s="160">
        <f t="shared" ref="E167:Q167" si="37">IF(E148=0,0,ROUND((E57+E59+E130)/E148,2))</f>
        <v>129.4</v>
      </c>
      <c r="F167" s="160">
        <f t="shared" si="37"/>
        <v>135.94999999999999</v>
      </c>
      <c r="G167" s="160">
        <f t="shared" si="37"/>
        <v>108.66</v>
      </c>
      <c r="H167" s="160">
        <f t="shared" si="37"/>
        <v>109.17</v>
      </c>
      <c r="I167" s="160">
        <f t="shared" si="37"/>
        <v>120.82</v>
      </c>
      <c r="J167" s="160">
        <f t="shared" si="37"/>
        <v>110.16</v>
      </c>
      <c r="K167" s="160">
        <f t="shared" si="37"/>
        <v>97.99</v>
      </c>
      <c r="L167" s="160">
        <f t="shared" si="37"/>
        <v>97.09</v>
      </c>
      <c r="M167" s="160">
        <f t="shared" si="37"/>
        <v>101.37</v>
      </c>
      <c r="N167" s="160">
        <f t="shared" si="37"/>
        <v>117.67</v>
      </c>
      <c r="O167" s="160">
        <f t="shared" si="37"/>
        <v>96.46</v>
      </c>
      <c r="P167" s="160">
        <f t="shared" si="37"/>
        <v>97.55</v>
      </c>
      <c r="Q167" s="160">
        <f t="shared" si="37"/>
        <v>108.9</v>
      </c>
      <c r="R167" s="160">
        <v>176.07</v>
      </c>
      <c r="U167" s="157"/>
      <c r="V167" s="40" t="e">
        <f>-IF(Q167-U167=0,0,(Q167-U167)/U167)</f>
        <v>#DIV/0!</v>
      </c>
    </row>
    <row r="168" spans="1:22" s="84" customFormat="1" ht="24.95" customHeight="1">
      <c r="A168" s="3"/>
      <c r="B168" s="3"/>
      <c r="C168" s="3"/>
      <c r="D168" s="3"/>
      <c r="E168" s="3"/>
      <c r="F168" s="3"/>
      <c r="G168" s="3"/>
      <c r="H168" s="3"/>
      <c r="I168" s="3"/>
      <c r="J168" s="3"/>
      <c r="K168" s="3"/>
      <c r="L168" s="161"/>
      <c r="U168" s="157"/>
      <c r="V168" s="40"/>
    </row>
    <row r="169" spans="1:22" s="84" customFormat="1" ht="24.95" customHeight="1">
      <c r="A169" s="3"/>
      <c r="B169" s="3"/>
      <c r="C169" s="3"/>
      <c r="D169" s="19" t="s">
        <v>293</v>
      </c>
      <c r="E169" s="3"/>
      <c r="F169" s="3"/>
      <c r="G169" s="3"/>
      <c r="H169" s="3"/>
      <c r="I169" s="3"/>
      <c r="J169" s="3"/>
      <c r="K169" s="3"/>
      <c r="L169" s="161"/>
      <c r="U169" s="157"/>
      <c r="V169" s="40"/>
    </row>
    <row r="170" spans="1:22" s="84" customFormat="1" ht="24.95" customHeight="1">
      <c r="A170" s="3"/>
      <c r="B170" s="3"/>
      <c r="C170" s="3"/>
      <c r="D170" s="19" t="s">
        <v>444</v>
      </c>
      <c r="E170" s="3"/>
      <c r="F170" s="3"/>
      <c r="G170" s="3"/>
      <c r="H170" s="3"/>
      <c r="I170" s="3"/>
      <c r="J170" s="3"/>
      <c r="K170" s="3"/>
      <c r="L170" s="161"/>
      <c r="U170" s="157"/>
      <c r="V170" s="40"/>
    </row>
    <row r="171" spans="1:22" s="84" customFormat="1" ht="24.95" customHeight="1">
      <c r="A171" s="3" t="s">
        <v>295</v>
      </c>
      <c r="B171" s="75" t="s">
        <v>445</v>
      </c>
      <c r="C171" s="3"/>
      <c r="D171" s="3" t="s">
        <v>297</v>
      </c>
      <c r="E171" s="63">
        <f>'Lobby Lounge'!E131+'ADD-Mhub lounge'!E131+'Royal Court'!E131+'MP Cafe'!E131+'MP Dining'!E131+'Room Service'!E131+Banquet!E132+STW!E90+'Main Kitchen'!E90+'F&amp;B Admin'!E90</f>
        <v>70700</v>
      </c>
      <c r="F171" s="63">
        <f>'Lobby Lounge'!F131+'ADD-Mhub lounge'!F131+'Royal Court'!F131+'MP Cafe'!F131+'MP Dining'!F131+'Room Service'!F131+Banquet!F132+STW!F90+'Main Kitchen'!F90+'F&amp;B Admin'!F90</f>
        <v>70700</v>
      </c>
      <c r="G171" s="63">
        <f>'Lobby Lounge'!G131+'ADD-Mhub lounge'!G131+'Royal Court'!G131+'MP Cafe'!G131+'MP Dining'!G131+'Room Service'!G131+Banquet!G132+STW!G90+'Main Kitchen'!G90+'F&amp;B Admin'!G90</f>
        <v>70700</v>
      </c>
      <c r="H171" s="63">
        <f>'Lobby Lounge'!H131+'ADD-Mhub lounge'!H131+'Royal Court'!H131+'MP Cafe'!H131+'MP Dining'!H131+'Room Service'!H131+Banquet!H132+STW!H90+'Main Kitchen'!H90+'F&amp;B Admin'!H90</f>
        <v>70700</v>
      </c>
      <c r="I171" s="63">
        <f>'Lobby Lounge'!I131+'ADD-Mhub lounge'!I131+'Royal Court'!I131+'MP Cafe'!I131+'MP Dining'!I131+'Room Service'!I131+Banquet!I132+STW!I90+'Main Kitchen'!I90+'F&amp;B Admin'!I90</f>
        <v>70700</v>
      </c>
      <c r="J171" s="63">
        <f>'Lobby Lounge'!J131+'ADD-Mhub lounge'!J131+'Royal Court'!J131+'MP Cafe'!J131+'MP Dining'!J131+'Room Service'!J131+Banquet!J132+STW!J90+'Main Kitchen'!J90+'F&amp;B Admin'!J90</f>
        <v>70700</v>
      </c>
      <c r="K171" s="63">
        <f>'Lobby Lounge'!K131+'ADD-Mhub lounge'!K131+'Royal Court'!K131+'MP Cafe'!K131+'MP Dining'!K131+'Room Service'!K131+Banquet!K132+STW!K90+'Main Kitchen'!K90+'F&amp;B Admin'!K90</f>
        <v>70700</v>
      </c>
      <c r="L171" s="63">
        <f>'Lobby Lounge'!L131+'ADD-Mhub lounge'!L131+'Royal Court'!L131+'MP Cafe'!L131+'MP Dining'!L131+'Room Service'!L131+Banquet!L132+STW!L90+'Main Kitchen'!L90+'F&amp;B Admin'!L90</f>
        <v>70700</v>
      </c>
      <c r="M171" s="63">
        <f>'Lobby Lounge'!M131+'ADD-Mhub lounge'!M131+'Royal Court'!M131+'MP Cafe'!M131+'MP Dining'!M131+'Room Service'!M131+Banquet!M132+STW!M90+'Main Kitchen'!M90+'F&amp;B Admin'!M90</f>
        <v>70700</v>
      </c>
      <c r="N171" s="63">
        <f>'Lobby Lounge'!N131+'ADD-Mhub lounge'!N131+'Royal Court'!N131+'MP Cafe'!N131+'MP Dining'!N131+'Room Service'!N131+Banquet!N132+STW!N90+'Main Kitchen'!N90+'F&amp;B Admin'!N90</f>
        <v>70700</v>
      </c>
      <c r="O171" s="63">
        <f>'Lobby Lounge'!O131+'ADD-Mhub lounge'!O131+'Royal Court'!O131+'MP Cafe'!O131+'MP Dining'!O131+'Room Service'!O131+Banquet!O132+STW!O90+'Main Kitchen'!O90+'F&amp;B Admin'!O90</f>
        <v>70700</v>
      </c>
      <c r="P171" s="63">
        <f>'Lobby Lounge'!P131+'ADD-Mhub lounge'!P131+'Royal Court'!P131+'MP Cafe'!P131+'MP Dining'!P131+'Room Service'!P131+Banquet!P132+STW!P90+'Main Kitchen'!P90+'F&amp;B Admin'!P90</f>
        <v>70700</v>
      </c>
      <c r="Q171" s="142">
        <f>SUM(E171:P171)</f>
        <v>848400</v>
      </c>
      <c r="R171" s="142">
        <v>0</v>
      </c>
      <c r="S171" s="142">
        <f>Q171/$Q$148</f>
        <v>9.7420029993673953</v>
      </c>
      <c r="U171" s="157"/>
      <c r="V171" s="40" t="e">
        <f>-IF(Q171-U171=0,0,(Q171-U171)/U171)</f>
        <v>#DIV/0!</v>
      </c>
    </row>
    <row r="172" spans="1:22" s="84" customFormat="1" ht="24.95" customHeight="1">
      <c r="A172" s="50" t="s">
        <v>298</v>
      </c>
      <c r="B172" s="181" t="s">
        <v>446</v>
      </c>
      <c r="C172" s="3"/>
      <c r="D172" s="3" t="s">
        <v>447</v>
      </c>
      <c r="E172" s="63">
        <f>'Lobby Lounge'!E132+'ADD-Mhub lounge'!E132+'Royal Court'!E132+'MP Cafe'!E132+'MP Dining'!E132+'Room Service'!E132+Banquet!E133+STW!E91+'Main Kitchen'!E91+'F&amp;B Admin'!E91</f>
        <v>80700</v>
      </c>
      <c r="F172" s="63">
        <f>'Lobby Lounge'!F132+'ADD-Mhub lounge'!F132+'Royal Court'!F132+'MP Cafe'!F132+'MP Dining'!F132+'Room Service'!F132+Banquet!F133+STW!F91+'Main Kitchen'!F91+'F&amp;B Admin'!F91</f>
        <v>80700</v>
      </c>
      <c r="G172" s="63">
        <f>'Lobby Lounge'!G132+'ADD-Mhub lounge'!G132+'Royal Court'!G132+'MP Cafe'!G132+'MP Dining'!G132+'Room Service'!G132+Banquet!G133+STW!G91+'Main Kitchen'!G91+'F&amp;B Admin'!G91</f>
        <v>80700</v>
      </c>
      <c r="H172" s="63">
        <f>'Lobby Lounge'!H132+'ADD-Mhub lounge'!H132+'Royal Court'!H132+'MP Cafe'!H132+'MP Dining'!H132+'Room Service'!H132+Banquet!H133+STW!H91+'Main Kitchen'!H91+'F&amp;B Admin'!H91</f>
        <v>80700</v>
      </c>
      <c r="I172" s="63">
        <f>'Lobby Lounge'!I132+'ADD-Mhub lounge'!I132+'Royal Court'!I132+'MP Cafe'!I132+'MP Dining'!I132+'Room Service'!I132+Banquet!I133+STW!I91+'Main Kitchen'!I91+'F&amp;B Admin'!I91</f>
        <v>80700</v>
      </c>
      <c r="J172" s="63">
        <f>'Lobby Lounge'!J132+'ADD-Mhub lounge'!J132+'Royal Court'!J132+'MP Cafe'!J132+'MP Dining'!J132+'Room Service'!J132+Banquet!J133+STW!J91+'Main Kitchen'!J91+'F&amp;B Admin'!J91</f>
        <v>80700</v>
      </c>
      <c r="K172" s="63">
        <f>'Lobby Lounge'!K132+'ADD-Mhub lounge'!K132+'Royal Court'!K132+'MP Cafe'!K132+'MP Dining'!K132+'Room Service'!K132+Banquet!K133+STW!K91+'Main Kitchen'!K91+'F&amp;B Admin'!K91</f>
        <v>76820</v>
      </c>
      <c r="L172" s="63">
        <f>'Lobby Lounge'!L132+'ADD-Mhub lounge'!L132+'Royal Court'!L132+'MP Cafe'!L132+'MP Dining'!L132+'Room Service'!L132+Banquet!L133+STW!L91+'Main Kitchen'!L91+'F&amp;B Admin'!L91</f>
        <v>76820</v>
      </c>
      <c r="M172" s="63">
        <f>'Lobby Lounge'!M132+'ADD-Mhub lounge'!M132+'Royal Court'!M132+'MP Cafe'!M132+'MP Dining'!M132+'Room Service'!M132+Banquet!M133+STW!M91+'Main Kitchen'!M91+'F&amp;B Admin'!M91</f>
        <v>76820</v>
      </c>
      <c r="N172" s="63">
        <f>'Lobby Lounge'!N132+'ADD-Mhub lounge'!N132+'Royal Court'!N132+'MP Cafe'!N132+'MP Dining'!N132+'Room Service'!N132+Banquet!N133+STW!N91+'Main Kitchen'!N91+'F&amp;B Admin'!N91</f>
        <v>76820</v>
      </c>
      <c r="O172" s="63">
        <f>'Lobby Lounge'!O132+'ADD-Mhub lounge'!O132+'Royal Court'!O132+'MP Cafe'!O132+'MP Dining'!O132+'Room Service'!O132+Banquet!O133+STW!O91+'Main Kitchen'!O91+'F&amp;B Admin'!O91</f>
        <v>76820</v>
      </c>
      <c r="P172" s="63">
        <f>'Lobby Lounge'!P132+'ADD-Mhub lounge'!P132+'Royal Court'!P132+'MP Cafe'!P132+'MP Dining'!P132+'Room Service'!P132+Banquet!P133+STW!P91+'Main Kitchen'!P91+'F&amp;B Admin'!P91</f>
        <v>76820</v>
      </c>
      <c r="Q172" s="142">
        <f>SUM(E172:P172)</f>
        <v>945120</v>
      </c>
      <c r="R172" s="142">
        <v>1903735.58</v>
      </c>
      <c r="S172" s="142">
        <f>Q172/$Q$148</f>
        <v>10.85261890000249</v>
      </c>
      <c r="U172" s="157"/>
      <c r="V172" s="40" t="e">
        <f t="shared" ref="V172:V193" si="38">-IF(Q172-U172=0,0,(Q172-U172)/U172)</f>
        <v>#DIV/0!</v>
      </c>
    </row>
    <row r="173" spans="1:22" s="84" customFormat="1" ht="24.95" customHeight="1">
      <c r="A173" s="50" t="s">
        <v>298</v>
      </c>
      <c r="B173" s="181" t="s">
        <v>448</v>
      </c>
      <c r="C173" s="3"/>
      <c r="D173" s="3" t="s">
        <v>449</v>
      </c>
      <c r="E173" s="63">
        <f>'Lobby Lounge'!E133+'ADD-Mhub lounge'!E133+'Royal Court'!E133+'MP Cafe'!E133+'MP Dining'!E133+'Room Service'!E133+Banquet!E134</f>
        <v>0</v>
      </c>
      <c r="F173" s="63">
        <f>'Lobby Lounge'!F133+'ADD-Mhub lounge'!F133+'Royal Court'!F133+'MP Cafe'!F133+'MP Dining'!F133+'Room Service'!F133+Banquet!F134</f>
        <v>0</v>
      </c>
      <c r="G173" s="63">
        <f>'Lobby Lounge'!G133+'ADD-Mhub lounge'!G133+'Royal Court'!G133+'MP Cafe'!G133+'MP Dining'!G133+'Room Service'!G133+Banquet!G134</f>
        <v>0</v>
      </c>
      <c r="H173" s="63">
        <f>'Lobby Lounge'!H133+'ADD-Mhub lounge'!H133+'Royal Court'!H133+'MP Cafe'!H133+'MP Dining'!H133+'Room Service'!H133+Banquet!H134</f>
        <v>0</v>
      </c>
      <c r="I173" s="63">
        <f>'Lobby Lounge'!I133+'ADD-Mhub lounge'!I133+'Royal Court'!I133+'MP Cafe'!I133+'MP Dining'!I133+'Room Service'!I133+Banquet!I134</f>
        <v>0</v>
      </c>
      <c r="J173" s="63">
        <f>'Lobby Lounge'!J133+'ADD-Mhub lounge'!J133+'Royal Court'!J133+'MP Cafe'!J133+'MP Dining'!J133+'Room Service'!J133+Banquet!J134</f>
        <v>0</v>
      </c>
      <c r="K173" s="63">
        <f>'Lobby Lounge'!K133+'ADD-Mhub lounge'!K133+'Royal Court'!K133+'MP Cafe'!K133+'MP Dining'!K133+'Room Service'!K133+Banquet!K134</f>
        <v>0</v>
      </c>
      <c r="L173" s="63">
        <f>'Lobby Lounge'!L133+'ADD-Mhub lounge'!L133+'Royal Court'!L133+'MP Cafe'!L133+'MP Dining'!L133+'Room Service'!L133+Banquet!L134</f>
        <v>0</v>
      </c>
      <c r="M173" s="63">
        <f>'Lobby Lounge'!M133+'ADD-Mhub lounge'!M133+'Royal Court'!M133+'MP Cafe'!M133+'MP Dining'!M133+'Room Service'!M133+Banquet!M134</f>
        <v>0</v>
      </c>
      <c r="N173" s="63">
        <f>'Lobby Lounge'!N133+'ADD-Mhub lounge'!N133+'Royal Court'!N133+'MP Cafe'!N133+'MP Dining'!N133+'Room Service'!N133+Banquet!N134</f>
        <v>0</v>
      </c>
      <c r="O173" s="63">
        <f>'Lobby Lounge'!O133+'ADD-Mhub lounge'!O133+'Royal Court'!O133+'MP Cafe'!O133+'MP Dining'!O133+'Room Service'!O133+Banquet!O134</f>
        <v>0</v>
      </c>
      <c r="P173" s="63">
        <f>'Lobby Lounge'!P133+'ADD-Mhub lounge'!P133+'Royal Court'!P133+'MP Cafe'!P133+'MP Dining'!P133+'Room Service'!P133+Banquet!P134</f>
        <v>0</v>
      </c>
      <c r="Q173" s="142">
        <f>SUM(E173:P173)</f>
        <v>0</v>
      </c>
      <c r="R173" s="142">
        <v>3753095.09</v>
      </c>
      <c r="S173" s="142">
        <f>Q173/$Q$148</f>
        <v>0</v>
      </c>
      <c r="U173" s="157"/>
      <c r="V173" s="40">
        <f t="shared" si="38"/>
        <v>0</v>
      </c>
    </row>
    <row r="174" spans="1:22" s="84" customFormat="1" ht="24.95" customHeight="1">
      <c r="A174" s="3"/>
      <c r="B174" s="3"/>
      <c r="C174" s="3"/>
      <c r="D174" s="19" t="s">
        <v>450</v>
      </c>
      <c r="E174" s="160">
        <f>SUM(E171:E173)</f>
        <v>151400</v>
      </c>
      <c r="F174" s="160">
        <f t="shared" ref="F174:Q174" si="39">SUM(F171:F173)</f>
        <v>151400</v>
      </c>
      <c r="G174" s="160">
        <f t="shared" si="39"/>
        <v>151400</v>
      </c>
      <c r="H174" s="160">
        <f t="shared" si="39"/>
        <v>151400</v>
      </c>
      <c r="I174" s="160">
        <f t="shared" si="39"/>
        <v>151400</v>
      </c>
      <c r="J174" s="160">
        <f t="shared" si="39"/>
        <v>151400</v>
      </c>
      <c r="K174" s="160">
        <f t="shared" si="39"/>
        <v>147520</v>
      </c>
      <c r="L174" s="160">
        <f t="shared" si="39"/>
        <v>147520</v>
      </c>
      <c r="M174" s="160">
        <f t="shared" si="39"/>
        <v>147520</v>
      </c>
      <c r="N174" s="160">
        <f t="shared" si="39"/>
        <v>147520</v>
      </c>
      <c r="O174" s="160">
        <f t="shared" si="39"/>
        <v>147520</v>
      </c>
      <c r="P174" s="160">
        <f t="shared" si="39"/>
        <v>147520</v>
      </c>
      <c r="Q174" s="160">
        <f t="shared" si="39"/>
        <v>1793520</v>
      </c>
      <c r="R174" s="160">
        <v>5656830.6699999999</v>
      </c>
      <c r="S174" s="142">
        <f>Q174/$Q$148</f>
        <v>20.594621899369884</v>
      </c>
      <c r="U174" s="157"/>
      <c r="V174" s="40" t="e">
        <f t="shared" si="38"/>
        <v>#DIV/0!</v>
      </c>
    </row>
    <row r="175" spans="1:22" s="84" customFormat="1" ht="24.95" customHeight="1">
      <c r="A175" s="3"/>
      <c r="B175" s="3"/>
      <c r="C175" s="3"/>
      <c r="D175" s="3"/>
      <c r="E175" s="3"/>
      <c r="F175" s="3"/>
      <c r="G175" s="3"/>
      <c r="H175" s="3"/>
      <c r="I175" s="3"/>
      <c r="J175" s="3"/>
      <c r="K175" s="3"/>
      <c r="L175" s="3"/>
      <c r="M175" s="3"/>
      <c r="N175" s="3"/>
      <c r="O175" s="3"/>
      <c r="P175" s="3"/>
      <c r="U175" s="157"/>
      <c r="V175" s="40"/>
    </row>
    <row r="176" spans="1:22" s="84" customFormat="1" ht="24.95" customHeight="1">
      <c r="A176" s="3" t="s">
        <v>306</v>
      </c>
      <c r="B176" s="3" t="s">
        <v>415</v>
      </c>
      <c r="C176" s="3"/>
      <c r="D176" s="26" t="s">
        <v>307</v>
      </c>
      <c r="E176" s="63">
        <f>'Lobby Lounge'!E136+'ADD-Mhub lounge'!E136+'Royal Court'!E136+'MP Cafe'!E136+'MP Dining'!E136+'Room Service'!E136+Banquet!E137+STW!E94+'Main Kitchen'!E94+'F&amp;B Admin'!E94</f>
        <v>9517.7099999999991</v>
      </c>
      <c r="F176" s="63">
        <f>'Lobby Lounge'!F136+'ADD-Mhub lounge'!F136+'Royal Court'!F136+'MP Cafe'!F136+'MP Dining'!F136+'Room Service'!F136+Banquet!F137+STW!F94+'Main Kitchen'!F94+'F&amp;B Admin'!F94</f>
        <v>28553.15</v>
      </c>
      <c r="G176" s="63">
        <f>'Lobby Lounge'!G136+'ADD-Mhub lounge'!G136+'Royal Court'!G136+'MP Cafe'!G136+'MP Dining'!G136+'Room Service'!G136+Banquet!G137+STW!G94+'Main Kitchen'!G94+'F&amp;B Admin'!G94</f>
        <v>0</v>
      </c>
      <c r="H176" s="63">
        <f>'Lobby Lounge'!H136+'ADD-Mhub lounge'!H136+'Royal Court'!H136+'MP Cafe'!H136+'MP Dining'!H136+'Room Service'!H136+Banquet!H137+STW!H94+'Main Kitchen'!H94+'F&amp;B Admin'!H94</f>
        <v>9517.7099999999991</v>
      </c>
      <c r="I176" s="63">
        <f>'Lobby Lounge'!I136+'ADD-Mhub lounge'!I136+'Royal Court'!I136+'MP Cafe'!I136+'MP Dining'!I136+'Room Service'!I136+Banquet!I137+STW!I94+'Main Kitchen'!I94+'F&amp;B Admin'!I94</f>
        <v>9517.7099999999991</v>
      </c>
      <c r="J176" s="63">
        <f>'Lobby Lounge'!J136+'ADD-Mhub lounge'!J136+'Royal Court'!J136+'MP Cafe'!J136+'MP Dining'!J136+'Room Service'!J136+Banquet!J137+STW!J94+'Main Kitchen'!J94+'F&amp;B Admin'!J94</f>
        <v>9517.7099999999991</v>
      </c>
      <c r="K176" s="63">
        <f>'Lobby Lounge'!K136+'ADD-Mhub lounge'!K136+'Royal Court'!K136+'MP Cafe'!K136+'MP Dining'!K136+'Room Service'!K136+Banquet!K137+STW!K94+'Main Kitchen'!K94+'F&amp;B Admin'!K94</f>
        <v>0</v>
      </c>
      <c r="L176" s="63">
        <f>'Lobby Lounge'!L136+'ADD-Mhub lounge'!L136+'Royal Court'!L136+'MP Cafe'!L136+'MP Dining'!L136+'Room Service'!L136+Banquet!L137+STW!L94+'Main Kitchen'!L94+'F&amp;B Admin'!L94</f>
        <v>0</v>
      </c>
      <c r="M176" s="63">
        <f>'Lobby Lounge'!M136+'ADD-Mhub lounge'!M136+'Royal Court'!M136+'MP Cafe'!M136+'MP Dining'!M136+'Room Service'!M136+Banquet!M137+STW!M94+'Main Kitchen'!M94+'F&amp;B Admin'!M94</f>
        <v>9755.6500000000015</v>
      </c>
      <c r="N176" s="63">
        <f>'Lobby Lounge'!N136+'ADD-Mhub lounge'!N136+'Royal Court'!N136+'MP Cafe'!N136+'MP Dining'!N136+'Room Service'!N136+Banquet!N137+STW!N94+'Main Kitchen'!N94+'F&amp;B Admin'!N94</f>
        <v>29266.97</v>
      </c>
      <c r="O176" s="63">
        <f>'Lobby Lounge'!O136+'ADD-Mhub lounge'!O136+'Royal Court'!O136+'MP Cafe'!O136+'MP Dining'!O136+'Room Service'!O136+Banquet!O137+STW!O94+'Main Kitchen'!O94+'F&amp;B Admin'!O94</f>
        <v>0</v>
      </c>
      <c r="P176" s="63">
        <f>'Lobby Lounge'!P136+'ADD-Mhub lounge'!P136+'Royal Court'!P136+'MP Cafe'!P136+'MP Dining'!P136+'Room Service'!P136+Banquet!P137+STW!P94+'Main Kitchen'!P94+'F&amp;B Admin'!P94</f>
        <v>0</v>
      </c>
      <c r="Q176" s="142">
        <f>SUM(E176:P176)</f>
        <v>105646.60999999999</v>
      </c>
      <c r="R176" s="142">
        <v>323821.08</v>
      </c>
      <c r="S176" s="142">
        <f t="shared" ref="S176:S183" si="40">Q176/$Q$148</f>
        <v>1.2131183303783559</v>
      </c>
      <c r="U176" s="157"/>
      <c r="V176" s="40" t="e">
        <f t="shared" si="38"/>
        <v>#DIV/0!</v>
      </c>
    </row>
    <row r="177" spans="1:22" s="84" customFormat="1" ht="24.95" customHeight="1">
      <c r="A177" s="3" t="s">
        <v>308</v>
      </c>
      <c r="B177" s="3" t="s">
        <v>415</v>
      </c>
      <c r="C177" s="3"/>
      <c r="D177" s="26" t="s">
        <v>309</v>
      </c>
      <c r="E177" s="63">
        <f>'Lobby Lounge'!E137+'ADD-Mhub lounge'!E137+'Royal Court'!E137+'MP Cafe'!E137+'MP Dining'!E137+'Room Service'!E137+Banquet!E138+STW!E95+'Main Kitchen'!E95+'F&amp;B Admin'!E95</f>
        <v>27516.67</v>
      </c>
      <c r="F177" s="63">
        <f>'Lobby Lounge'!F137+'ADD-Mhub lounge'!F137+'Royal Court'!F137+'MP Cafe'!F137+'MP Dining'!F137+'Room Service'!F137+Banquet!F138+STW!F95+'Main Kitchen'!F95+'F&amp;B Admin'!F95</f>
        <v>26550</v>
      </c>
      <c r="G177" s="63">
        <f>'Lobby Lounge'!G137+'ADD-Mhub lounge'!G137+'Royal Court'!G137+'MP Cafe'!G137+'MP Dining'!G137+'Room Service'!G137+Banquet!G138+STW!G95+'Main Kitchen'!G95+'F&amp;B Admin'!G95</f>
        <v>26550</v>
      </c>
      <c r="H177" s="63">
        <f>'Lobby Lounge'!H137+'ADD-Mhub lounge'!H137+'Royal Court'!H137+'MP Cafe'!H137+'MP Dining'!H137+'Room Service'!H137+Banquet!H138+STW!H95+'Main Kitchen'!H95+'F&amp;B Admin'!H95</f>
        <v>26550</v>
      </c>
      <c r="I177" s="63">
        <f>'Lobby Lounge'!I137+'ADD-Mhub lounge'!I137+'Royal Court'!I137+'MP Cafe'!I137+'MP Dining'!I137+'Room Service'!I137+Banquet!I138+STW!I95+'Main Kitchen'!I95+'F&amp;B Admin'!I95</f>
        <v>26550</v>
      </c>
      <c r="J177" s="63">
        <f>'Lobby Lounge'!J137+'ADD-Mhub lounge'!J137+'Royal Court'!J137+'MP Cafe'!J137+'MP Dining'!J137+'Room Service'!J137+Banquet!J138+STW!J95+'Main Kitchen'!J95+'F&amp;B Admin'!J95</f>
        <v>26550</v>
      </c>
      <c r="K177" s="63">
        <f>'Lobby Lounge'!K137+'ADD-Mhub lounge'!K137+'Royal Court'!K137+'MP Cafe'!K137+'MP Dining'!K137+'Room Service'!K137+Banquet!K138+STW!K95+'Main Kitchen'!K95+'F&amp;B Admin'!K95</f>
        <v>26065</v>
      </c>
      <c r="L177" s="63">
        <f>'Lobby Lounge'!L137+'ADD-Mhub lounge'!L137+'Royal Court'!L137+'MP Cafe'!L137+'MP Dining'!L137+'Room Service'!L137+Banquet!L138+STW!L95+'Main Kitchen'!L95+'F&amp;B Admin'!L95</f>
        <v>26065</v>
      </c>
      <c r="M177" s="63">
        <f>'Lobby Lounge'!M137+'ADD-Mhub lounge'!M137+'Royal Court'!M137+'MP Cafe'!M137+'MP Dining'!M137+'Room Service'!M137+Banquet!M138+STW!M95+'Main Kitchen'!M95+'F&amp;B Admin'!M95</f>
        <v>26065</v>
      </c>
      <c r="N177" s="63">
        <f>'Lobby Lounge'!N137+'ADD-Mhub lounge'!N137+'Royal Court'!N137+'MP Cafe'!N137+'MP Dining'!N137+'Room Service'!N137+Banquet!N138+STW!N95+'Main Kitchen'!N95+'F&amp;B Admin'!N95</f>
        <v>26065</v>
      </c>
      <c r="O177" s="63">
        <f>'Lobby Lounge'!O137+'ADD-Mhub lounge'!O137+'Royal Court'!O137+'MP Cafe'!O137+'MP Dining'!O137+'Room Service'!O137+Banquet!O138+STW!O95+'Main Kitchen'!O95+'F&amp;B Admin'!O95</f>
        <v>26065</v>
      </c>
      <c r="P177" s="63">
        <f>'Lobby Lounge'!P137+'ADD-Mhub lounge'!P137+'Royal Court'!P137+'MP Cafe'!P137+'MP Dining'!P137+'Room Service'!P137+Banquet!P138+STW!P95+'Main Kitchen'!P95+'F&amp;B Admin'!P95</f>
        <v>26065</v>
      </c>
      <c r="Q177" s="142">
        <f t="shared" ref="Q177:Q182" si="41">SUM(E177:P177)</f>
        <v>316656.67</v>
      </c>
      <c r="R177" s="142">
        <v>1180735.8700000001</v>
      </c>
      <c r="S177" s="142">
        <f t="shared" si="40"/>
        <v>3.6361035229958643</v>
      </c>
      <c r="U177" s="157"/>
      <c r="V177" s="40" t="e">
        <f t="shared" si="38"/>
        <v>#DIV/0!</v>
      </c>
    </row>
    <row r="178" spans="1:22" s="84" customFormat="1" ht="24.95" customHeight="1">
      <c r="A178" s="3" t="s">
        <v>310</v>
      </c>
      <c r="B178" s="3" t="s">
        <v>415</v>
      </c>
      <c r="C178" s="3"/>
      <c r="D178" s="26" t="s">
        <v>311</v>
      </c>
      <c r="E178" s="63">
        <f>'Lobby Lounge'!E138+'ADD-Mhub lounge'!E138+'Royal Court'!E138+'MP Cafe'!E138+'MP Dining'!E138+'Room Service'!E138+Banquet!E139+STW!E96+'Main Kitchen'!E96+'F&amp;B Admin'!E96</f>
        <v>0</v>
      </c>
      <c r="F178" s="63">
        <f>'Lobby Lounge'!F138+'ADD-Mhub lounge'!F138+'Royal Court'!F138+'MP Cafe'!F138+'MP Dining'!F138+'Room Service'!F138+Banquet!F139+STW!F96+'Main Kitchen'!F96+'F&amp;B Admin'!F96</f>
        <v>0</v>
      </c>
      <c r="G178" s="63">
        <f>'Lobby Lounge'!G138+'ADD-Mhub lounge'!G138+'Royal Court'!G138+'MP Cafe'!G138+'MP Dining'!G138+'Room Service'!G138+Banquet!G139+STW!G96+'Main Kitchen'!G96+'F&amp;B Admin'!G96</f>
        <v>0</v>
      </c>
      <c r="H178" s="63">
        <f>'Lobby Lounge'!H138+'ADD-Mhub lounge'!H138+'Royal Court'!H138+'MP Cafe'!H138+'MP Dining'!H138+'Room Service'!H138+Banquet!H139+STW!H96+'Main Kitchen'!H96+'F&amp;B Admin'!H96</f>
        <v>0</v>
      </c>
      <c r="I178" s="63">
        <f>'Lobby Lounge'!I138+'ADD-Mhub lounge'!I138+'Royal Court'!I138+'MP Cafe'!I138+'MP Dining'!I138+'Room Service'!I138+Banquet!I139+STW!I96+'Main Kitchen'!I96+'F&amp;B Admin'!I96</f>
        <v>0</v>
      </c>
      <c r="J178" s="63">
        <f>'Lobby Lounge'!J138+'ADD-Mhub lounge'!J138+'Royal Court'!J138+'MP Cafe'!J138+'MP Dining'!J138+'Room Service'!J138+Banquet!J139+STW!J96+'Main Kitchen'!J96+'F&amp;B Admin'!J96</f>
        <v>0</v>
      </c>
      <c r="K178" s="63">
        <f>'Lobby Lounge'!K138+'ADD-Mhub lounge'!K138+'Royal Court'!K138+'MP Cafe'!K138+'MP Dining'!K138+'Room Service'!K138+Banquet!K139+STW!K96+'Main Kitchen'!K96+'F&amp;B Admin'!K96</f>
        <v>0</v>
      </c>
      <c r="L178" s="63">
        <f>'Lobby Lounge'!L138+'ADD-Mhub lounge'!L138+'Royal Court'!L138+'MP Cafe'!L138+'MP Dining'!L138+'Room Service'!L138+Banquet!L139+STW!L96+'Main Kitchen'!L96+'F&amp;B Admin'!L96</f>
        <v>0</v>
      </c>
      <c r="M178" s="63">
        <f>'Lobby Lounge'!M138+'ADD-Mhub lounge'!M138+'Royal Court'!M138+'MP Cafe'!M138+'MP Dining'!M138+'Room Service'!M138+Banquet!M139+STW!M96+'Main Kitchen'!M96+'F&amp;B Admin'!M96</f>
        <v>0</v>
      </c>
      <c r="N178" s="63">
        <f>'Lobby Lounge'!N138+'ADD-Mhub lounge'!N138+'Royal Court'!N138+'MP Cafe'!N138+'MP Dining'!N138+'Room Service'!N138+Banquet!N139+STW!N96+'Main Kitchen'!N96+'F&amp;B Admin'!N96</f>
        <v>0</v>
      </c>
      <c r="O178" s="63">
        <f>'Lobby Lounge'!O138+'ADD-Mhub lounge'!O138+'Royal Court'!O138+'MP Cafe'!O138+'MP Dining'!O138+'Room Service'!O138+Banquet!O139+STW!O96+'Main Kitchen'!O96+'F&amp;B Admin'!O96</f>
        <v>0</v>
      </c>
      <c r="P178" s="63">
        <f>'Lobby Lounge'!P138+'ADD-Mhub lounge'!P138+'Royal Court'!P138+'MP Cafe'!P138+'MP Dining'!P138+'Room Service'!P138+Banquet!P139+STW!P96+'Main Kitchen'!P96+'F&amp;B Admin'!P96</f>
        <v>0</v>
      </c>
      <c r="Q178" s="142">
        <f t="shared" si="41"/>
        <v>0</v>
      </c>
      <c r="R178" s="142">
        <v>81860</v>
      </c>
      <c r="S178" s="142">
        <f t="shared" si="40"/>
        <v>0</v>
      </c>
      <c r="U178" s="157"/>
      <c r="V178" s="40">
        <f t="shared" si="38"/>
        <v>0</v>
      </c>
    </row>
    <row r="179" spans="1:22" s="84" customFormat="1" ht="24.75" customHeight="1">
      <c r="A179" s="3" t="s">
        <v>312</v>
      </c>
      <c r="B179" s="3" t="s">
        <v>415</v>
      </c>
      <c r="C179" s="3"/>
      <c r="D179" s="26" t="s">
        <v>313</v>
      </c>
      <c r="E179" s="63">
        <f>'Lobby Lounge'!E139+'ADD-Mhub lounge'!E139+'Royal Court'!E139+'MP Cafe'!E139+'MP Dining'!E139+'Room Service'!E139+Banquet!E140+STW!E97+'Main Kitchen'!E97+'F&amp;B Admin'!E97</f>
        <v>0</v>
      </c>
      <c r="F179" s="63">
        <f>'Lobby Lounge'!F139+'ADD-Mhub lounge'!F139+'Royal Court'!F139+'MP Cafe'!F139+'MP Dining'!F139+'Room Service'!F139+Banquet!F140+STW!F97+'Main Kitchen'!F97+'F&amp;B Admin'!F97</f>
        <v>0</v>
      </c>
      <c r="G179" s="63">
        <f>'Lobby Lounge'!G139+'ADD-Mhub lounge'!G139+'Royal Court'!G139+'MP Cafe'!G139+'MP Dining'!G139+'Room Service'!G139+Banquet!G140+STW!G97+'Main Kitchen'!G97+'F&amp;B Admin'!G97</f>
        <v>0</v>
      </c>
      <c r="H179" s="63">
        <f>'Lobby Lounge'!H139+'ADD-Mhub lounge'!H139+'Royal Court'!H139+'MP Cafe'!H139+'MP Dining'!H139+'Room Service'!H139+Banquet!H140+STW!H97+'Main Kitchen'!H97+'F&amp;B Admin'!H97</f>
        <v>0</v>
      </c>
      <c r="I179" s="63">
        <f>'Lobby Lounge'!I139+'ADD-Mhub lounge'!I139+'Royal Court'!I139+'MP Cafe'!I139+'MP Dining'!I139+'Room Service'!I139+Banquet!I140+STW!I97+'Main Kitchen'!I97+'F&amp;B Admin'!I97</f>
        <v>0</v>
      </c>
      <c r="J179" s="63">
        <f>'Lobby Lounge'!J139+'ADD-Mhub lounge'!J139+'Royal Court'!J139+'MP Cafe'!J139+'MP Dining'!J139+'Room Service'!J139+Banquet!J140+STW!J97+'Main Kitchen'!J97+'F&amp;B Admin'!J97</f>
        <v>0</v>
      </c>
      <c r="K179" s="63">
        <f>'Lobby Lounge'!K139+'ADD-Mhub lounge'!K139+'Royal Court'!K139+'MP Cafe'!K139+'MP Dining'!K139+'Room Service'!K139+Banquet!K140+STW!K97+'Main Kitchen'!K97+'F&amp;B Admin'!K97</f>
        <v>0</v>
      </c>
      <c r="L179" s="63">
        <f>'Lobby Lounge'!L139+'ADD-Mhub lounge'!L139+'Royal Court'!L139+'MP Cafe'!L139+'MP Dining'!L139+'Room Service'!L139+Banquet!L140+STW!L97+'Main Kitchen'!L97+'F&amp;B Admin'!L97</f>
        <v>0</v>
      </c>
      <c r="M179" s="63">
        <f>'Lobby Lounge'!M139+'ADD-Mhub lounge'!M139+'Royal Court'!M139+'MP Cafe'!M139+'MP Dining'!M139+'Room Service'!M139+Banquet!M140+STW!M97+'Main Kitchen'!M97+'F&amp;B Admin'!M97</f>
        <v>0</v>
      </c>
      <c r="N179" s="63">
        <f>'Lobby Lounge'!N139+'ADD-Mhub lounge'!N139+'Royal Court'!N139+'MP Cafe'!N139+'MP Dining'!N139+'Room Service'!N139+Banquet!N140+STW!N97+'Main Kitchen'!N97+'F&amp;B Admin'!N97</f>
        <v>0</v>
      </c>
      <c r="O179" s="63">
        <f>'Lobby Lounge'!O139+'ADD-Mhub lounge'!O139+'Royal Court'!O139+'MP Cafe'!O139+'MP Dining'!O139+'Room Service'!O139+Banquet!O140+STW!O97+'Main Kitchen'!O97+'F&amp;B Admin'!O97</f>
        <v>0</v>
      </c>
      <c r="P179" s="63">
        <f>'Lobby Lounge'!P139+'ADD-Mhub lounge'!P139+'Royal Court'!P139+'MP Cafe'!P139+'MP Dining'!P139+'Room Service'!P139+Banquet!P140+STW!P97+'Main Kitchen'!P97+'F&amp;B Admin'!P97</f>
        <v>0</v>
      </c>
      <c r="Q179" s="142">
        <f t="shared" ref="Q179:Q180" si="42">SUM(E179:P179)</f>
        <v>0</v>
      </c>
      <c r="R179" s="142">
        <v>124300</v>
      </c>
      <c r="S179" s="142">
        <f t="shared" ref="S179:S180" si="43">Q179/$Q$148</f>
        <v>0</v>
      </c>
      <c r="U179" s="157"/>
      <c r="V179" s="40"/>
    </row>
    <row r="180" spans="1:22" s="84" customFormat="1" ht="24.95" customHeight="1">
      <c r="A180" s="3" t="s">
        <v>314</v>
      </c>
      <c r="B180" s="3" t="s">
        <v>415</v>
      </c>
      <c r="C180" s="3"/>
      <c r="D180" s="26" t="s">
        <v>315</v>
      </c>
      <c r="E180" s="63">
        <f>'Lobby Lounge'!E140+'ADD-Mhub lounge'!E140+'Royal Court'!E140+'MP Cafe'!E140+'MP Dining'!E140+'Room Service'!E140+Banquet!E141+STW!E98+'Main Kitchen'!E98+'F&amp;B Admin'!E98</f>
        <v>0</v>
      </c>
      <c r="F180" s="63">
        <f>'Lobby Lounge'!F140+'ADD-Mhub lounge'!F140+'Royal Court'!F140+'MP Cafe'!F140+'MP Dining'!F140+'Room Service'!F140+Banquet!F141+STW!F98+'Main Kitchen'!F98+'F&amp;B Admin'!F98</f>
        <v>0</v>
      </c>
      <c r="G180" s="63">
        <f>'Lobby Lounge'!G140+'ADD-Mhub lounge'!G140+'Royal Court'!G140+'MP Cafe'!G140+'MP Dining'!G140+'Room Service'!G140+Banquet!G141+STW!G98+'Main Kitchen'!G98+'F&amp;B Admin'!G98</f>
        <v>0</v>
      </c>
      <c r="H180" s="63">
        <f>'Lobby Lounge'!H140+'ADD-Mhub lounge'!H140+'Royal Court'!H140+'MP Cafe'!H140+'MP Dining'!H140+'Room Service'!H140+Banquet!H141+STW!H98+'Main Kitchen'!H98+'F&amp;B Admin'!H98</f>
        <v>0</v>
      </c>
      <c r="I180" s="63">
        <f>'Lobby Lounge'!I140+'ADD-Mhub lounge'!I140+'Royal Court'!I140+'MP Cafe'!I140+'MP Dining'!I140+'Room Service'!I140+Banquet!I141+STW!I98+'Main Kitchen'!I98+'F&amp;B Admin'!I98</f>
        <v>0</v>
      </c>
      <c r="J180" s="63">
        <f>'Lobby Lounge'!J140+'ADD-Mhub lounge'!J140+'Royal Court'!J140+'MP Cafe'!J140+'MP Dining'!J140+'Room Service'!J140+Banquet!J141+STW!J98+'Main Kitchen'!J98+'F&amp;B Admin'!J98</f>
        <v>0</v>
      </c>
      <c r="K180" s="63">
        <f>'Lobby Lounge'!K140+'ADD-Mhub lounge'!K140+'Royal Court'!K140+'MP Cafe'!K140+'MP Dining'!K140+'Room Service'!K140+Banquet!K141+STW!K98+'Main Kitchen'!K98+'F&amp;B Admin'!K98</f>
        <v>0</v>
      </c>
      <c r="L180" s="63">
        <f>'Lobby Lounge'!L140+'ADD-Mhub lounge'!L140+'Royal Court'!L140+'MP Cafe'!L140+'MP Dining'!L140+'Room Service'!L140+Banquet!L141+STW!L98+'Main Kitchen'!L98+'F&amp;B Admin'!L98</f>
        <v>0</v>
      </c>
      <c r="M180" s="63">
        <f>'Lobby Lounge'!M140+'ADD-Mhub lounge'!M140+'Royal Court'!M140+'MP Cafe'!M140+'MP Dining'!M140+'Room Service'!M140+Banquet!M141+STW!M98+'Main Kitchen'!M98+'F&amp;B Admin'!M98</f>
        <v>0</v>
      </c>
      <c r="N180" s="63">
        <f>'Lobby Lounge'!N140+'ADD-Mhub lounge'!N140+'Royal Court'!N140+'MP Cafe'!N140+'MP Dining'!N140+'Room Service'!N140+Banquet!N141+STW!N98+'Main Kitchen'!N98+'F&amp;B Admin'!N98</f>
        <v>0</v>
      </c>
      <c r="O180" s="63">
        <f>'Lobby Lounge'!O140+'ADD-Mhub lounge'!O140+'Royal Court'!O140+'MP Cafe'!O140+'MP Dining'!O140+'Room Service'!O140+Banquet!O141+STW!O98+'Main Kitchen'!O98+'F&amp;B Admin'!O98</f>
        <v>0</v>
      </c>
      <c r="P180" s="63">
        <f>'Lobby Lounge'!P140+'ADD-Mhub lounge'!P140+'Royal Court'!P140+'MP Cafe'!P140+'MP Dining'!P140+'Room Service'!P140+Banquet!P141+STW!P98+'Main Kitchen'!P98+'F&amp;B Admin'!P98</f>
        <v>0</v>
      </c>
      <c r="Q180" s="142">
        <f t="shared" si="42"/>
        <v>0</v>
      </c>
      <c r="R180" s="142">
        <v>65601.45</v>
      </c>
      <c r="S180" s="142">
        <f t="shared" si="43"/>
        <v>0</v>
      </c>
      <c r="U180" s="157"/>
      <c r="V180" s="40">
        <f t="shared" ref="V180" si="44">-IF(Q180-U180=0,0,(Q180-U180)/U180)</f>
        <v>0</v>
      </c>
    </row>
    <row r="181" spans="1:22" s="84" customFormat="1" ht="24.75" customHeight="1">
      <c r="A181" s="3" t="s">
        <v>1109</v>
      </c>
      <c r="B181" s="3" t="s">
        <v>415</v>
      </c>
      <c r="C181" s="3"/>
      <c r="D181" s="367" t="s">
        <v>1113</v>
      </c>
      <c r="E181" s="63">
        <f>'Lobby Lounge'!E141+'ADD-Mhub lounge'!E141+'Royal Court'!E141+'MP Cafe'!E141+'MP Dining'!E141+'Room Service'!E141+Banquet!E142+STW!E99+'Main Kitchen'!E99+'F&amp;B Admin'!E99</f>
        <v>92800</v>
      </c>
      <c r="F181" s="63">
        <f>'Lobby Lounge'!F141+'ADD-Mhub lounge'!F141+'Royal Court'!F141+'MP Cafe'!F141+'MP Dining'!F141+'Room Service'!F141+Banquet!F142+STW!F99+'Main Kitchen'!F99+'F&amp;B Admin'!F99</f>
        <v>101100</v>
      </c>
      <c r="G181" s="63">
        <f>'Lobby Lounge'!G141+'ADD-Mhub lounge'!G141+'Royal Court'!G141+'MP Cafe'!G141+'MP Dining'!G141+'Room Service'!G141+Banquet!G142+STW!G99+'Main Kitchen'!G99+'F&amp;B Admin'!G99</f>
        <v>88600</v>
      </c>
      <c r="H181" s="63">
        <f>'Lobby Lounge'!H141+'ADD-Mhub lounge'!H141+'Royal Court'!H141+'MP Cafe'!H141+'MP Dining'!H141+'Room Service'!H141+Banquet!H142+STW!H99+'Main Kitchen'!H99+'F&amp;B Admin'!H99</f>
        <v>92800</v>
      </c>
      <c r="I181" s="63">
        <f>'Lobby Lounge'!I141+'ADD-Mhub lounge'!I141+'Royal Court'!I141+'MP Cafe'!I141+'MP Dining'!I141+'Room Service'!I141+Banquet!I142+STW!I99+'Main Kitchen'!I99+'F&amp;B Admin'!I99</f>
        <v>92800</v>
      </c>
      <c r="J181" s="63">
        <f>'Lobby Lounge'!J141+'ADD-Mhub lounge'!J141+'Royal Court'!J141+'MP Cafe'!J141+'MP Dining'!J141+'Room Service'!J141+Banquet!J142+STW!J99+'Main Kitchen'!J99+'F&amp;B Admin'!J99</f>
        <v>92800</v>
      </c>
      <c r="K181" s="63">
        <f>'Lobby Lounge'!K141+'ADD-Mhub lounge'!K141+'Royal Court'!K141+'MP Cafe'!K141+'MP Dining'!K141+'Room Service'!K141+Banquet!K142+STW!K99+'Main Kitchen'!K99+'F&amp;B Admin'!K99</f>
        <v>88860</v>
      </c>
      <c r="L181" s="63">
        <f>'Lobby Lounge'!L141+'ADD-Mhub lounge'!L141+'Royal Court'!L141+'MP Cafe'!L141+'MP Dining'!L141+'Room Service'!L141+Banquet!L142+STW!L99+'Main Kitchen'!L99+'F&amp;B Admin'!L99</f>
        <v>88860</v>
      </c>
      <c r="M181" s="63">
        <f>'Lobby Lounge'!M141+'ADD-Mhub lounge'!M141+'Royal Court'!M141+'MP Cafe'!M141+'MP Dining'!M141+'Room Service'!M141+Banquet!M142+STW!M99+'Main Kitchen'!M99+'F&amp;B Admin'!M99</f>
        <v>93060</v>
      </c>
      <c r="N181" s="63">
        <f>'Lobby Lounge'!N141+'ADD-Mhub lounge'!N141+'Royal Court'!N141+'MP Cafe'!N141+'MP Dining'!N141+'Room Service'!N141+Banquet!N142+STW!N99+'Main Kitchen'!N99+'F&amp;B Admin'!N99</f>
        <v>101360</v>
      </c>
      <c r="O181" s="63">
        <f>'Lobby Lounge'!O141+'ADD-Mhub lounge'!O141+'Royal Court'!O141+'MP Cafe'!O141+'MP Dining'!O141+'Room Service'!O141+Banquet!O142+STW!O99+'Main Kitchen'!O99+'F&amp;B Admin'!O99</f>
        <v>88860</v>
      </c>
      <c r="P181" s="63">
        <f>'Lobby Lounge'!P141+'ADD-Mhub lounge'!P141+'Royal Court'!P141+'MP Cafe'!P141+'MP Dining'!P141+'Room Service'!P141+Banquet!P142+STW!P99+'Main Kitchen'!P99+'F&amp;B Admin'!P99</f>
        <v>88860</v>
      </c>
      <c r="Q181" s="142">
        <f t="shared" si="41"/>
        <v>1110760</v>
      </c>
      <c r="R181" s="142">
        <v>124300</v>
      </c>
      <c r="S181" s="142">
        <f t="shared" si="40"/>
        <v>12.754629009402791</v>
      </c>
      <c r="U181" s="157"/>
      <c r="V181" s="40"/>
    </row>
    <row r="182" spans="1:22" s="84" customFormat="1" ht="24.95" customHeight="1">
      <c r="A182" s="3" t="s">
        <v>1109</v>
      </c>
      <c r="B182" s="3" t="s">
        <v>415</v>
      </c>
      <c r="C182" s="3"/>
      <c r="D182" s="26" t="s">
        <v>1114</v>
      </c>
      <c r="E182" s="63">
        <f>'Lobby Lounge'!E142+'ADD-Mhub lounge'!E142+'Royal Court'!E142+'MP Cafe'!E142+'MP Dining'!E142+'Room Service'!E142+Banquet!E143+STW!E100+'Main Kitchen'!E100+'F&amp;B Admin'!E100</f>
        <v>36086.18</v>
      </c>
      <c r="F182" s="63">
        <f>'Lobby Lounge'!F142+'ADD-Mhub lounge'!F142+'Royal Court'!F142+'MP Cafe'!F142+'MP Dining'!F142+'Room Service'!F142+Banquet!F143+STW!F100+'Main Kitchen'!F100+'F&amp;B Admin'!F100</f>
        <v>25352.309999999998</v>
      </c>
      <c r="G182" s="63">
        <f>'Lobby Lounge'!G142+'ADD-Mhub lounge'!G142+'Royal Court'!G142+'MP Cafe'!G142+'MP Dining'!G142+'Room Service'!G142+Banquet!G143+STW!G100+'Main Kitchen'!G100+'F&amp;B Admin'!G100</f>
        <v>28516.17</v>
      </c>
      <c r="H182" s="63">
        <f>'Lobby Lounge'!H142+'ADD-Mhub lounge'!H142+'Royal Court'!H142+'MP Cafe'!H142+'MP Dining'!H142+'Room Service'!H142+Banquet!H143+STW!H100+'Main Kitchen'!H100+'F&amp;B Admin'!H100</f>
        <v>37016.729999999996</v>
      </c>
      <c r="I182" s="63">
        <f>'Lobby Lounge'!I142+'ADD-Mhub lounge'!I142+'Royal Court'!I142+'MP Cafe'!I142+'MP Dining'!I142+'Room Service'!I142+Banquet!I143+STW!I100+'Main Kitchen'!I100+'F&amp;B Admin'!I100</f>
        <v>47551.74</v>
      </c>
      <c r="J182" s="63">
        <f>'Lobby Lounge'!J142+'ADD-Mhub lounge'!J142+'Royal Court'!J142+'MP Cafe'!J142+'MP Dining'!J142+'Room Service'!J142+Banquet!J143+STW!J100+'Main Kitchen'!J100+'F&amp;B Admin'!J100</f>
        <v>36293.01</v>
      </c>
      <c r="K182" s="63">
        <f>'Lobby Lounge'!K142+'ADD-Mhub lounge'!K142+'Royal Court'!K142+'MP Cafe'!K142+'MP Dining'!K142+'Room Service'!K142+Banquet!K143+STW!K100+'Main Kitchen'!K100+'F&amp;B Admin'!K100</f>
        <v>43657.41</v>
      </c>
      <c r="L182" s="63">
        <f>'Lobby Lounge'!L142+'ADD-Mhub lounge'!L142+'Royal Court'!L142+'MP Cafe'!L142+'MP Dining'!L142+'Room Service'!L142+Banquet!L143+STW!L100+'Main Kitchen'!L100+'F&amp;B Admin'!L100</f>
        <v>43973.25</v>
      </c>
      <c r="M182" s="63">
        <f>'Lobby Lounge'!M142+'ADD-Mhub lounge'!M142+'Royal Court'!M142+'MP Cafe'!M142+'MP Dining'!M142+'Room Service'!M142+Banquet!M143+STW!M100+'Main Kitchen'!M100+'F&amp;B Admin'!M100</f>
        <v>47799.09</v>
      </c>
      <c r="N182" s="63">
        <f>'Lobby Lounge'!N142+'ADD-Mhub lounge'!N142+'Royal Court'!N142+'MP Cafe'!N142+'MP Dining'!N142+'Room Service'!N142+Banquet!N143+STW!N100+'Main Kitchen'!N100+'F&amp;B Admin'!N100</f>
        <v>48907.05</v>
      </c>
      <c r="O182" s="63">
        <f>'Lobby Lounge'!O142+'ADD-Mhub lounge'!O142+'Royal Court'!O142+'MP Cafe'!O142+'MP Dining'!O142+'Room Service'!O142+Banquet!O143+STW!O100+'Main Kitchen'!O100+'F&amp;B Admin'!O100</f>
        <v>40247.410000000003</v>
      </c>
      <c r="P182" s="63">
        <f>'Lobby Lounge'!P142+'ADD-Mhub lounge'!P142+'Royal Court'!P142+'MP Cafe'!P142+'MP Dining'!P142+'Room Service'!P142+Banquet!P143+STW!P100+'Main Kitchen'!P100+'F&amp;B Admin'!P100</f>
        <v>37350.050000000003</v>
      </c>
      <c r="Q182" s="142">
        <f t="shared" si="41"/>
        <v>472750.39999999997</v>
      </c>
      <c r="R182" s="142">
        <v>65601.45</v>
      </c>
      <c r="S182" s="142">
        <f t="shared" si="40"/>
        <v>5.4284957741067128</v>
      </c>
      <c r="U182" s="157"/>
      <c r="V182" s="40" t="e">
        <f t="shared" si="38"/>
        <v>#DIV/0!</v>
      </c>
    </row>
    <row r="183" spans="1:22" s="84" customFormat="1" ht="24.95" customHeight="1">
      <c r="A183" s="3"/>
      <c r="B183" s="3"/>
      <c r="C183" s="3"/>
      <c r="D183" s="19" t="s">
        <v>316</v>
      </c>
      <c r="E183" s="160">
        <f>SUM(E176:E182)</f>
        <v>165920.56</v>
      </c>
      <c r="F183" s="160">
        <f t="shared" ref="F183:Q183" si="45">SUM(F176:F182)</f>
        <v>181555.46</v>
      </c>
      <c r="G183" s="160">
        <f t="shared" si="45"/>
        <v>143666.16999999998</v>
      </c>
      <c r="H183" s="160">
        <f t="shared" si="45"/>
        <v>165884.44</v>
      </c>
      <c r="I183" s="160">
        <f t="shared" si="45"/>
        <v>176419.44999999998</v>
      </c>
      <c r="J183" s="160">
        <f t="shared" si="45"/>
        <v>165160.72</v>
      </c>
      <c r="K183" s="160">
        <f t="shared" si="45"/>
        <v>158582.41</v>
      </c>
      <c r="L183" s="160">
        <f t="shared" si="45"/>
        <v>158898.25</v>
      </c>
      <c r="M183" s="160">
        <f t="shared" si="45"/>
        <v>176679.74</v>
      </c>
      <c r="N183" s="160">
        <f t="shared" si="45"/>
        <v>205599.02000000002</v>
      </c>
      <c r="O183" s="160">
        <f t="shared" si="45"/>
        <v>155172.41</v>
      </c>
      <c r="P183" s="160">
        <f t="shared" si="45"/>
        <v>152275.04999999999</v>
      </c>
      <c r="Q183" s="160">
        <f t="shared" si="45"/>
        <v>2005813.68</v>
      </c>
      <c r="R183" s="160">
        <v>1776318.4</v>
      </c>
      <c r="S183" s="142">
        <f t="shared" si="40"/>
        <v>23.032346636883723</v>
      </c>
      <c r="U183" s="157"/>
      <c r="V183" s="40" t="e">
        <f t="shared" si="38"/>
        <v>#DIV/0!</v>
      </c>
    </row>
    <row r="184" spans="1:22" s="84" customFormat="1" ht="24.95" customHeight="1">
      <c r="A184" s="3"/>
      <c r="B184" s="3"/>
      <c r="C184" s="3"/>
      <c r="D184" s="3"/>
      <c r="E184" s="3"/>
      <c r="F184" s="3"/>
      <c r="G184" s="3"/>
      <c r="H184" s="3"/>
      <c r="I184" s="3"/>
      <c r="J184" s="3"/>
      <c r="K184" s="3"/>
      <c r="L184" s="3"/>
      <c r="M184" s="3"/>
      <c r="N184" s="3"/>
      <c r="O184" s="3"/>
      <c r="P184" s="3"/>
      <c r="U184" s="157"/>
      <c r="V184" s="40"/>
    </row>
    <row r="185" spans="1:22" s="84" customFormat="1" ht="24.95" customHeight="1">
      <c r="A185" s="3" t="s">
        <v>317</v>
      </c>
      <c r="B185" s="3" t="s">
        <v>415</v>
      </c>
      <c r="C185" s="3"/>
      <c r="D185" s="26" t="s">
        <v>318</v>
      </c>
      <c r="E185" s="63">
        <f>'Lobby Lounge'!E143+'ADD-Mhub lounge'!E145+'Royal Court'!E143+'MP Cafe'!E143+'MP Dining'!E143+'Room Service'!E143+Banquet!E146+STW!E103+'Main Kitchen'!E104+'F&amp;B Admin'!E102</f>
        <v>27024.799999999999</v>
      </c>
      <c r="F185" s="63">
        <f>'Lobby Lounge'!F143+'ADD-Mhub lounge'!F145+'Royal Court'!F143+'MP Cafe'!F143+'MP Dining'!F143+'Room Service'!F143+Banquet!F146+STW!F103+'Main Kitchen'!F104+'F&amp;B Admin'!F102</f>
        <v>27024.799999999999</v>
      </c>
      <c r="G185" s="63">
        <f>'Lobby Lounge'!G143+'ADD-Mhub lounge'!G145+'Royal Court'!G143+'MP Cafe'!G143+'MP Dining'!G143+'Room Service'!G143+Banquet!G146+STW!G103+'Main Kitchen'!G104+'F&amp;B Admin'!G102</f>
        <v>27024.799999999999</v>
      </c>
      <c r="H185" s="63">
        <f>'Lobby Lounge'!H143+'ADD-Mhub lounge'!H145+'Royal Court'!H143+'MP Cafe'!H143+'MP Dining'!H143+'Room Service'!H143+Banquet!H146+STW!H103+'Main Kitchen'!H104+'F&amp;B Admin'!H102</f>
        <v>27024.799999999999</v>
      </c>
      <c r="I185" s="63">
        <f>'Lobby Lounge'!I143+'ADD-Mhub lounge'!I145+'Royal Court'!I143+'MP Cafe'!I143+'MP Dining'!I143+'Room Service'!I143+Banquet!I146+STW!I103+'Main Kitchen'!I104+'F&amp;B Admin'!I102</f>
        <v>27024.799999999999</v>
      </c>
      <c r="J185" s="63">
        <f>'Lobby Lounge'!J143+'ADD-Mhub lounge'!J145+'Royal Court'!J143+'MP Cafe'!J143+'MP Dining'!J143+'Room Service'!J143+Banquet!J146+STW!J103+'Main Kitchen'!J104+'F&amp;B Admin'!J102</f>
        <v>27024.799999999999</v>
      </c>
      <c r="K185" s="63">
        <f>'Lobby Lounge'!K143+'ADD-Mhub lounge'!K145+'Royal Court'!K143+'MP Cafe'!K143+'MP Dining'!K143+'Room Service'!K143+Banquet!K146+STW!K103+'Main Kitchen'!K104+'F&amp;B Admin'!K102</f>
        <v>26257.519999999997</v>
      </c>
      <c r="L185" s="63">
        <f>'Lobby Lounge'!L143+'ADD-Mhub lounge'!L145+'Royal Court'!L143+'MP Cafe'!L143+'MP Dining'!L143+'Room Service'!L143+Banquet!L146+STW!L103+'Main Kitchen'!L104+'F&amp;B Admin'!L102</f>
        <v>26257.519999999997</v>
      </c>
      <c r="M185" s="63">
        <f>'Lobby Lounge'!M143+'ADD-Mhub lounge'!M145+'Royal Court'!M143+'MP Cafe'!M143+'MP Dining'!M143+'Room Service'!M143+Banquet!M146+STW!M103+'Main Kitchen'!M104+'F&amp;B Admin'!M102</f>
        <v>26257.519999999997</v>
      </c>
      <c r="N185" s="63">
        <f>'Lobby Lounge'!N143+'ADD-Mhub lounge'!N145+'Royal Court'!N143+'MP Cafe'!N143+'MP Dining'!N143+'Room Service'!N143+Banquet!N146+STW!N103+'Main Kitchen'!N104+'F&amp;B Admin'!N102</f>
        <v>26257.519999999997</v>
      </c>
      <c r="O185" s="63">
        <f>'Lobby Lounge'!O143+'ADD-Mhub lounge'!O145+'Royal Court'!O143+'MP Cafe'!O143+'MP Dining'!O143+'Room Service'!O143+Banquet!O146+STW!O103+'Main Kitchen'!O104+'F&amp;B Admin'!O102</f>
        <v>26257.519999999997</v>
      </c>
      <c r="P185" s="63">
        <f>'Lobby Lounge'!P143+'ADD-Mhub lounge'!P145+'Royal Court'!P143+'MP Cafe'!P143+'MP Dining'!P143+'Room Service'!P143+Banquet!P146+STW!P103+'Main Kitchen'!P104+'F&amp;B Admin'!P102</f>
        <v>26257.519999999997</v>
      </c>
      <c r="Q185" s="142">
        <f>SUM(E185:P185)</f>
        <v>319693.92</v>
      </c>
      <c r="R185" s="142">
        <v>1048807.6299999999</v>
      </c>
      <c r="S185" s="142">
        <f t="shared" ref="S185:S193" si="46">Q185/$Q$148</f>
        <v>3.6709796411121167</v>
      </c>
      <c r="U185" s="157"/>
      <c r="V185" s="40" t="e">
        <f t="shared" si="38"/>
        <v>#DIV/0!</v>
      </c>
    </row>
    <row r="186" spans="1:22" s="84" customFormat="1" ht="24.95" customHeight="1">
      <c r="A186" s="3" t="s">
        <v>319</v>
      </c>
      <c r="B186" s="3" t="s">
        <v>415</v>
      </c>
      <c r="C186" s="3"/>
      <c r="D186" s="26" t="s">
        <v>320</v>
      </c>
      <c r="E186" s="63">
        <f>'Lobby Lounge'!E144+'ADD-Mhub lounge'!E146+'Royal Court'!E144+'MP Cafe'!E144+'MP Dining'!E144+'Room Service'!E144+Banquet!E147+STW!E104+'Main Kitchen'!E105+'F&amp;B Admin'!E103</f>
        <v>11792.1</v>
      </c>
      <c r="F186" s="63">
        <f>'Lobby Lounge'!F144+'ADD-Mhub lounge'!F146+'Royal Court'!F144+'MP Cafe'!F144+'MP Dining'!F144+'Room Service'!F144+Banquet!F147+STW!F104+'Main Kitchen'!F105+'F&amp;B Admin'!F103</f>
        <v>11792.1</v>
      </c>
      <c r="G186" s="63">
        <f>'Lobby Lounge'!G144+'ADD-Mhub lounge'!G146+'Royal Court'!G144+'MP Cafe'!G144+'MP Dining'!G144+'Room Service'!G144+Banquet!G147+STW!G104+'Main Kitchen'!G105+'F&amp;B Admin'!G103</f>
        <v>11792.1</v>
      </c>
      <c r="H186" s="63">
        <f>'Lobby Lounge'!H144+'ADD-Mhub lounge'!H146+'Royal Court'!H144+'MP Cafe'!H144+'MP Dining'!H144+'Room Service'!H144+Banquet!H147+STW!H104+'Main Kitchen'!H105+'F&amp;B Admin'!H103</f>
        <v>11792.1</v>
      </c>
      <c r="I186" s="63">
        <f>'Lobby Lounge'!I144+'ADD-Mhub lounge'!I146+'Royal Court'!I144+'MP Cafe'!I144+'MP Dining'!I144+'Room Service'!I144+Banquet!I147+STW!I104+'Main Kitchen'!I105+'F&amp;B Admin'!I103</f>
        <v>11792.1</v>
      </c>
      <c r="J186" s="63">
        <f>'Lobby Lounge'!J144+'ADD-Mhub lounge'!J146+'Royal Court'!J144+'MP Cafe'!J144+'MP Dining'!J144+'Room Service'!J144+Banquet!J147+STW!J104+'Main Kitchen'!J105+'F&amp;B Admin'!J103</f>
        <v>11792.1</v>
      </c>
      <c r="K186" s="63">
        <f>'Lobby Lounge'!K144+'ADD-Mhub lounge'!K146+'Royal Court'!K144+'MP Cafe'!K144+'MP Dining'!K144+'Room Service'!K144+Banquet!K147+STW!K104+'Main Kitchen'!K105+'F&amp;B Admin'!K103</f>
        <v>11456.54</v>
      </c>
      <c r="L186" s="63">
        <f>'Lobby Lounge'!L144+'ADD-Mhub lounge'!L146+'Royal Court'!L144+'MP Cafe'!L144+'MP Dining'!L144+'Room Service'!L144+Banquet!L147+STW!L104+'Main Kitchen'!L105+'F&amp;B Admin'!L103</f>
        <v>11456.54</v>
      </c>
      <c r="M186" s="63">
        <f>'Lobby Lounge'!M144+'ADD-Mhub lounge'!M146+'Royal Court'!M144+'MP Cafe'!M144+'MP Dining'!M144+'Room Service'!M144+Banquet!M147+STW!M104+'Main Kitchen'!M105+'F&amp;B Admin'!M103</f>
        <v>11456.54</v>
      </c>
      <c r="N186" s="63">
        <f>'Lobby Lounge'!N144+'ADD-Mhub lounge'!N146+'Royal Court'!N144+'MP Cafe'!N144+'MP Dining'!N144+'Room Service'!N144+Banquet!N147+STW!N104+'Main Kitchen'!N105+'F&amp;B Admin'!N103</f>
        <v>11456.54</v>
      </c>
      <c r="O186" s="63">
        <f>'Lobby Lounge'!O144+'ADD-Mhub lounge'!O146+'Royal Court'!O144+'MP Cafe'!O144+'MP Dining'!O144+'Room Service'!O144+Banquet!O147+STW!O104+'Main Kitchen'!O105+'F&amp;B Admin'!O103</f>
        <v>11456.54</v>
      </c>
      <c r="P186" s="63">
        <f>'Lobby Lounge'!P144+'ADD-Mhub lounge'!P146+'Royal Court'!P144+'MP Cafe'!P144+'MP Dining'!P144+'Room Service'!P144+Banquet!P147+STW!P104+'Main Kitchen'!P105+'F&amp;B Admin'!P103</f>
        <v>11456.54</v>
      </c>
      <c r="Q186" s="142">
        <f t="shared" ref="Q186:Q192" si="47">SUM(E186:P186)</f>
        <v>139491.84000000005</v>
      </c>
      <c r="R186" s="142">
        <v>745713.77</v>
      </c>
      <c r="S186" s="142">
        <f t="shared" si="46"/>
        <v>1.6017561570807135</v>
      </c>
      <c r="U186" s="157"/>
      <c r="V186" s="40" t="e">
        <f t="shared" si="38"/>
        <v>#DIV/0!</v>
      </c>
    </row>
    <row r="187" spans="1:22" s="84" customFormat="1" ht="24.95" customHeight="1">
      <c r="A187" s="3" t="s">
        <v>321</v>
      </c>
      <c r="B187" s="3" t="s">
        <v>415</v>
      </c>
      <c r="C187" s="3"/>
      <c r="D187" s="26" t="s">
        <v>322</v>
      </c>
      <c r="E187" s="63">
        <f>'Lobby Lounge'!E145+'ADD-Mhub lounge'!E147+'Royal Court'!E145+'MP Cafe'!E145+'MP Dining'!E145+'Room Service'!E145+Banquet!E148+STW!E105+'Main Kitchen'!E106+'F&amp;B Admin'!E104</f>
        <v>842.65</v>
      </c>
      <c r="F187" s="63">
        <f>'Lobby Lounge'!F145+'ADD-Mhub lounge'!F147+'Royal Court'!F145+'MP Cafe'!F145+'MP Dining'!F145+'Room Service'!F145+Banquet!F148+STW!F105+'Main Kitchen'!F106+'F&amp;B Admin'!F104</f>
        <v>842.65</v>
      </c>
      <c r="G187" s="63">
        <f>'Lobby Lounge'!G145+'ADD-Mhub lounge'!G147+'Royal Court'!G145+'MP Cafe'!G145+'MP Dining'!G145+'Room Service'!G145+Banquet!G148+STW!G105+'Main Kitchen'!G106+'F&amp;B Admin'!G104</f>
        <v>842.65</v>
      </c>
      <c r="H187" s="63">
        <f>'Lobby Lounge'!H145+'ADD-Mhub lounge'!H147+'Royal Court'!H145+'MP Cafe'!H145+'MP Dining'!H145+'Room Service'!H145+Banquet!H148+STW!H105+'Main Kitchen'!H106+'F&amp;B Admin'!H104</f>
        <v>842.65</v>
      </c>
      <c r="I187" s="63">
        <f>'Lobby Lounge'!I145+'ADD-Mhub lounge'!I147+'Royal Court'!I145+'MP Cafe'!I145+'MP Dining'!I145+'Room Service'!I145+Banquet!I148+STW!I105+'Main Kitchen'!I106+'F&amp;B Admin'!I104</f>
        <v>842.65</v>
      </c>
      <c r="J187" s="63">
        <f>'Lobby Lounge'!J145+'ADD-Mhub lounge'!J147+'Royal Court'!J145+'MP Cafe'!J145+'MP Dining'!J145+'Room Service'!J145+Banquet!J148+STW!J105+'Main Kitchen'!J106+'F&amp;B Admin'!J104</f>
        <v>842.65</v>
      </c>
      <c r="K187" s="63">
        <f>'Lobby Lounge'!K145+'ADD-Mhub lounge'!K147+'Royal Court'!K145+'MP Cafe'!K145+'MP Dining'!K145+'Room Service'!K145+Banquet!K148+STW!K105+'Main Kitchen'!K106+'F&amp;B Admin'!K104</f>
        <v>819.1099999999999</v>
      </c>
      <c r="L187" s="63">
        <f>'Lobby Lounge'!L145+'ADD-Mhub lounge'!L147+'Royal Court'!L145+'MP Cafe'!L145+'MP Dining'!L145+'Room Service'!L145+Banquet!L148+STW!L105+'Main Kitchen'!L106+'F&amp;B Admin'!L104</f>
        <v>819.1099999999999</v>
      </c>
      <c r="M187" s="63">
        <f>'Lobby Lounge'!M145+'ADD-Mhub lounge'!M147+'Royal Court'!M145+'MP Cafe'!M145+'MP Dining'!M145+'Room Service'!M145+Banquet!M148+STW!M105+'Main Kitchen'!M106+'F&amp;B Admin'!M104</f>
        <v>819.1099999999999</v>
      </c>
      <c r="N187" s="63">
        <f>'Lobby Lounge'!N145+'ADD-Mhub lounge'!N147+'Royal Court'!N145+'MP Cafe'!N145+'MP Dining'!N145+'Room Service'!N145+Banquet!N148+STW!N105+'Main Kitchen'!N106+'F&amp;B Admin'!N104</f>
        <v>819.1099999999999</v>
      </c>
      <c r="O187" s="63">
        <f>'Lobby Lounge'!O145+'ADD-Mhub lounge'!O147+'Royal Court'!O145+'MP Cafe'!O145+'MP Dining'!O145+'Room Service'!O145+Banquet!O148+STW!O105+'Main Kitchen'!O106+'F&amp;B Admin'!O104</f>
        <v>819.1099999999999</v>
      </c>
      <c r="P187" s="63">
        <f>'Lobby Lounge'!P145+'ADD-Mhub lounge'!P147+'Royal Court'!P145+'MP Cafe'!P145+'MP Dining'!P145+'Room Service'!P145+Banquet!P148+STW!P105+'Main Kitchen'!P106+'F&amp;B Admin'!P104</f>
        <v>819.1099999999999</v>
      </c>
      <c r="Q187" s="142">
        <f t="shared" si="47"/>
        <v>9970.56</v>
      </c>
      <c r="R187" s="142">
        <v>41716.39</v>
      </c>
      <c r="S187" s="142">
        <f t="shared" si="46"/>
        <v>0.11448989324065602</v>
      </c>
      <c r="U187" s="157"/>
      <c r="V187" s="40" t="e">
        <f t="shared" si="38"/>
        <v>#DIV/0!</v>
      </c>
    </row>
    <row r="188" spans="1:22" s="84" customFormat="1" ht="24.95" customHeight="1">
      <c r="A188" s="3" t="s">
        <v>323</v>
      </c>
      <c r="B188" s="3" t="s">
        <v>415</v>
      </c>
      <c r="C188" s="3"/>
      <c r="D188" s="26" t="s">
        <v>324</v>
      </c>
      <c r="E188" s="63">
        <f>'Lobby Lounge'!E146+'ADD-Mhub lounge'!E148+'Royal Court'!E146+'MP Cafe'!E146+'MP Dining'!E146+'Room Service'!E146+Banquet!E149+STW!E106+'Main Kitchen'!E107+'F&amp;B Admin'!E105</f>
        <v>674.12</v>
      </c>
      <c r="F188" s="63">
        <f>'Lobby Lounge'!F146+'ADD-Mhub lounge'!F148+'Royal Court'!F146+'MP Cafe'!F146+'MP Dining'!F146+'Room Service'!F146+Banquet!F149+STW!F106+'Main Kitchen'!F107+'F&amp;B Admin'!F105</f>
        <v>674.12</v>
      </c>
      <c r="G188" s="63">
        <f>'Lobby Lounge'!G146+'ADD-Mhub lounge'!G148+'Royal Court'!G146+'MP Cafe'!G146+'MP Dining'!G146+'Room Service'!G146+Banquet!G149+STW!G106+'Main Kitchen'!G107+'F&amp;B Admin'!G105</f>
        <v>674.12</v>
      </c>
      <c r="H188" s="63">
        <f>'Lobby Lounge'!H146+'ADD-Mhub lounge'!H148+'Royal Court'!H146+'MP Cafe'!H146+'MP Dining'!H146+'Room Service'!H146+Banquet!H149+STW!H106+'Main Kitchen'!H107+'F&amp;B Admin'!H105</f>
        <v>674.12</v>
      </c>
      <c r="I188" s="63">
        <f>'Lobby Lounge'!I146+'ADD-Mhub lounge'!I148+'Royal Court'!I146+'MP Cafe'!I146+'MP Dining'!I146+'Room Service'!I146+Banquet!I149+STW!I106+'Main Kitchen'!I107+'F&amp;B Admin'!I105</f>
        <v>674.12</v>
      </c>
      <c r="J188" s="63">
        <f>'Lobby Lounge'!J146+'ADD-Mhub lounge'!J148+'Royal Court'!J146+'MP Cafe'!J146+'MP Dining'!J146+'Room Service'!J146+Banquet!J149+STW!J106+'Main Kitchen'!J107+'F&amp;B Admin'!J105</f>
        <v>674.12</v>
      </c>
      <c r="K188" s="63">
        <f>'Lobby Lounge'!K146+'ADD-Mhub lounge'!K148+'Royal Court'!K146+'MP Cafe'!K146+'MP Dining'!K146+'Room Service'!K146+Banquet!K149+STW!K106+'Main Kitchen'!K107+'F&amp;B Admin'!K105</f>
        <v>655.89</v>
      </c>
      <c r="L188" s="63">
        <f>'Lobby Lounge'!L146+'ADD-Mhub lounge'!L148+'Royal Court'!L146+'MP Cafe'!L146+'MP Dining'!L146+'Room Service'!L146+Banquet!L149+STW!L106+'Main Kitchen'!L107+'F&amp;B Admin'!L105</f>
        <v>655.89</v>
      </c>
      <c r="M188" s="63">
        <f>'Lobby Lounge'!M146+'ADD-Mhub lounge'!M148+'Royal Court'!M146+'MP Cafe'!M146+'MP Dining'!M146+'Room Service'!M146+Banquet!M149+STW!M106+'Main Kitchen'!M107+'F&amp;B Admin'!M105</f>
        <v>655.89</v>
      </c>
      <c r="N188" s="63">
        <f>'Lobby Lounge'!N146+'ADD-Mhub lounge'!N148+'Royal Court'!N146+'MP Cafe'!N146+'MP Dining'!N146+'Room Service'!N146+Banquet!N149+STW!N106+'Main Kitchen'!N107+'F&amp;B Admin'!N105</f>
        <v>655.89</v>
      </c>
      <c r="O188" s="63">
        <f>'Lobby Lounge'!O146+'ADD-Mhub lounge'!O148+'Royal Court'!O146+'MP Cafe'!O146+'MP Dining'!O146+'Room Service'!O146+Banquet!O149+STW!O106+'Main Kitchen'!O107+'F&amp;B Admin'!O105</f>
        <v>655.89</v>
      </c>
      <c r="P188" s="63">
        <f>'Lobby Lounge'!P146+'ADD-Mhub lounge'!P148+'Royal Court'!P146+'MP Cafe'!P146+'MP Dining'!P146+'Room Service'!P146+Banquet!P149+STW!P106+'Main Kitchen'!P107+'F&amp;B Admin'!P105</f>
        <v>655.89</v>
      </c>
      <c r="Q188" s="142">
        <f t="shared" si="47"/>
        <v>7980.0600000000013</v>
      </c>
      <c r="R188" s="142">
        <v>22910.28</v>
      </c>
      <c r="S188" s="142">
        <f t="shared" si="46"/>
        <v>9.1633390446878571E-2</v>
      </c>
      <c r="U188" s="157"/>
      <c r="V188" s="40" t="e">
        <f t="shared" si="38"/>
        <v>#DIV/0!</v>
      </c>
    </row>
    <row r="189" spans="1:22" s="84" customFormat="1" ht="24.95" customHeight="1">
      <c r="A189" s="3" t="s">
        <v>325</v>
      </c>
      <c r="B189" s="3" t="s">
        <v>415</v>
      </c>
      <c r="C189" s="3"/>
      <c r="D189" s="26" t="s">
        <v>326</v>
      </c>
      <c r="E189" s="63">
        <f>'Lobby Lounge'!E147+'ADD-Mhub lounge'!E149+'Royal Court'!E147+'MP Cafe'!E147+'MP Dining'!E147+'Room Service'!E147+Banquet!E150+STW!E107+'Main Kitchen'!E108+'F&amp;B Admin'!E106</f>
        <v>1348.24</v>
      </c>
      <c r="F189" s="63">
        <f>'Lobby Lounge'!F147+'ADD-Mhub lounge'!F149+'Royal Court'!F147+'MP Cafe'!F147+'MP Dining'!F147+'Room Service'!F147+Banquet!F150+STW!F107+'Main Kitchen'!F108+'F&amp;B Admin'!F106</f>
        <v>1348.24</v>
      </c>
      <c r="G189" s="63">
        <f>'Lobby Lounge'!G147+'ADD-Mhub lounge'!G149+'Royal Court'!G147+'MP Cafe'!G147+'MP Dining'!G147+'Room Service'!G147+Banquet!G150+STW!G107+'Main Kitchen'!G108+'F&amp;B Admin'!G106</f>
        <v>1348.24</v>
      </c>
      <c r="H189" s="63">
        <f>'Lobby Lounge'!H147+'ADD-Mhub lounge'!H149+'Royal Court'!H147+'MP Cafe'!H147+'MP Dining'!H147+'Room Service'!H147+Banquet!H150+STW!H107+'Main Kitchen'!H108+'F&amp;B Admin'!H106</f>
        <v>1348.24</v>
      </c>
      <c r="I189" s="63">
        <f>'Lobby Lounge'!I147+'ADD-Mhub lounge'!I149+'Royal Court'!I147+'MP Cafe'!I147+'MP Dining'!I147+'Room Service'!I147+Banquet!I150+STW!I107+'Main Kitchen'!I108+'F&amp;B Admin'!I106</f>
        <v>1348.24</v>
      </c>
      <c r="J189" s="63">
        <f>'Lobby Lounge'!J147+'ADD-Mhub lounge'!J149+'Royal Court'!J147+'MP Cafe'!J147+'MP Dining'!J147+'Room Service'!J147+Banquet!J150+STW!J107+'Main Kitchen'!J108+'F&amp;B Admin'!J106</f>
        <v>1348.24</v>
      </c>
      <c r="K189" s="63">
        <f>'Lobby Lounge'!K147+'ADD-Mhub lounge'!K149+'Royal Court'!K147+'MP Cafe'!K147+'MP Dining'!K147+'Room Service'!K147+Banquet!K150+STW!K107+'Main Kitchen'!K108+'F&amp;B Admin'!K106</f>
        <v>1310.78</v>
      </c>
      <c r="L189" s="63">
        <f>'Lobby Lounge'!L147+'ADD-Mhub lounge'!L149+'Royal Court'!L147+'MP Cafe'!L147+'MP Dining'!L147+'Room Service'!L147+Banquet!L150+STW!L107+'Main Kitchen'!L108+'F&amp;B Admin'!L106</f>
        <v>1310.78</v>
      </c>
      <c r="M189" s="63">
        <f>'Lobby Lounge'!M147+'ADD-Mhub lounge'!M149+'Royal Court'!M147+'MP Cafe'!M147+'MP Dining'!M147+'Room Service'!M147+Banquet!M150+STW!M107+'Main Kitchen'!M108+'F&amp;B Admin'!M106</f>
        <v>1310.78</v>
      </c>
      <c r="N189" s="63">
        <f>'Lobby Lounge'!N147+'ADD-Mhub lounge'!N149+'Royal Court'!N147+'MP Cafe'!N147+'MP Dining'!N147+'Room Service'!N147+Banquet!N150+STW!N107+'Main Kitchen'!N108+'F&amp;B Admin'!N106</f>
        <v>1310.78</v>
      </c>
      <c r="O189" s="63">
        <f>'Lobby Lounge'!O147+'ADD-Mhub lounge'!O149+'Royal Court'!O147+'MP Cafe'!O147+'MP Dining'!O147+'Room Service'!O147+Banquet!O150+STW!O107+'Main Kitchen'!O108+'F&amp;B Admin'!O106</f>
        <v>1310.78</v>
      </c>
      <c r="P189" s="63">
        <f>'Lobby Lounge'!P147+'ADD-Mhub lounge'!P149+'Royal Court'!P147+'MP Cafe'!P147+'MP Dining'!P147+'Room Service'!P147+Banquet!P150+STW!P107+'Main Kitchen'!P108+'F&amp;B Admin'!P106</f>
        <v>1310.78</v>
      </c>
      <c r="Q189" s="142">
        <f t="shared" si="47"/>
        <v>15954.120000000003</v>
      </c>
      <c r="R189" s="142">
        <v>77195.03</v>
      </c>
      <c r="S189" s="142">
        <f t="shared" si="46"/>
        <v>0.18319788412572768</v>
      </c>
      <c r="U189" s="157"/>
      <c r="V189" s="40" t="e">
        <f t="shared" si="38"/>
        <v>#DIV/0!</v>
      </c>
    </row>
    <row r="190" spans="1:22" s="84" customFormat="1" ht="24.95" customHeight="1">
      <c r="A190" s="3" t="s">
        <v>327</v>
      </c>
      <c r="B190" s="3" t="s">
        <v>415</v>
      </c>
      <c r="C190" s="3"/>
      <c r="D190" s="26" t="s">
        <v>328</v>
      </c>
      <c r="E190" s="63">
        <f>'Lobby Lounge'!E148+'ADD-Mhub lounge'!E150+'Royal Court'!E148+'MP Cafe'!E148+'MP Dining'!E148+'Room Service'!E148+Banquet!E151+STW!E108+'Main Kitchen'!E109+'F&amp;B Admin'!E107</f>
        <v>14866</v>
      </c>
      <c r="F190" s="63">
        <f>'Lobby Lounge'!F148+'ADD-Mhub lounge'!F150+'Royal Court'!F148+'MP Cafe'!F148+'MP Dining'!F148+'Room Service'!F148+Banquet!F151+STW!F108+'Main Kitchen'!F109+'F&amp;B Admin'!F107</f>
        <v>14866</v>
      </c>
      <c r="G190" s="63">
        <f>'Lobby Lounge'!G148+'ADD-Mhub lounge'!G150+'Royal Court'!G148+'MP Cafe'!G148+'MP Dining'!G148+'Room Service'!G148+Banquet!G151+STW!G108+'Main Kitchen'!G109+'F&amp;B Admin'!G107</f>
        <v>14866</v>
      </c>
      <c r="H190" s="63">
        <f>'Lobby Lounge'!H148+'ADD-Mhub lounge'!H150+'Royal Court'!H148+'MP Cafe'!H148+'MP Dining'!H148+'Room Service'!H148+Banquet!H151+STW!H108+'Main Kitchen'!H109+'F&amp;B Admin'!H107</f>
        <v>14866</v>
      </c>
      <c r="I190" s="63">
        <f>'Lobby Lounge'!I148+'ADD-Mhub lounge'!I150+'Royal Court'!I148+'MP Cafe'!I148+'MP Dining'!I148+'Room Service'!I148+Banquet!I151+STW!I108+'Main Kitchen'!I109+'F&amp;B Admin'!I107</f>
        <v>14866</v>
      </c>
      <c r="J190" s="63">
        <f>'Lobby Lounge'!J148+'ADD-Mhub lounge'!J150+'Royal Court'!J148+'MP Cafe'!J148+'MP Dining'!J148+'Room Service'!J148+Banquet!J151+STW!J108+'Main Kitchen'!J109+'F&amp;B Admin'!J107</f>
        <v>14866</v>
      </c>
      <c r="K190" s="63">
        <f>'Lobby Lounge'!K148+'ADD-Mhub lounge'!K150+'Royal Court'!K148+'MP Cafe'!K148+'MP Dining'!K148+'Room Service'!K148+Banquet!K151+STW!K108+'Main Kitchen'!K109+'F&amp;B Admin'!K107</f>
        <v>14486.2</v>
      </c>
      <c r="L190" s="63">
        <f>'Lobby Lounge'!L148+'ADD-Mhub lounge'!L150+'Royal Court'!L148+'MP Cafe'!L148+'MP Dining'!L148+'Room Service'!L148+Banquet!L151+STW!L108+'Main Kitchen'!L109+'F&amp;B Admin'!L107</f>
        <v>14486.2</v>
      </c>
      <c r="M190" s="63">
        <f>'Lobby Lounge'!M148+'ADD-Mhub lounge'!M150+'Royal Court'!M148+'MP Cafe'!M148+'MP Dining'!M148+'Room Service'!M148+Banquet!M151+STW!M108+'Main Kitchen'!M109+'F&amp;B Admin'!M107</f>
        <v>14486.2</v>
      </c>
      <c r="N190" s="63">
        <f>'Lobby Lounge'!N148+'ADD-Mhub lounge'!N150+'Royal Court'!N148+'MP Cafe'!N148+'MP Dining'!N148+'Room Service'!N148+Banquet!N151+STW!N108+'Main Kitchen'!N109+'F&amp;B Admin'!N107</f>
        <v>14486.2</v>
      </c>
      <c r="O190" s="63">
        <f>'Lobby Lounge'!O148+'ADD-Mhub lounge'!O150+'Royal Court'!O148+'MP Cafe'!O148+'MP Dining'!O148+'Room Service'!O148+Banquet!O151+STW!O108+'Main Kitchen'!O109+'F&amp;B Admin'!O107</f>
        <v>14486.2</v>
      </c>
      <c r="P190" s="63">
        <f>'Lobby Lounge'!P148+'ADD-Mhub lounge'!P150+'Royal Court'!P148+'MP Cafe'!P148+'MP Dining'!P148+'Room Service'!P148+Banquet!P151+STW!P108+'Main Kitchen'!P109+'F&amp;B Admin'!P107</f>
        <v>14486.2</v>
      </c>
      <c r="Q190" s="142">
        <f t="shared" si="47"/>
        <v>176113.20000000004</v>
      </c>
      <c r="R190" s="142">
        <v>914654.65</v>
      </c>
      <c r="S190" s="142">
        <f t="shared" si="46"/>
        <v>2.0222717145546798</v>
      </c>
      <c r="U190" s="157"/>
      <c r="V190" s="40" t="e">
        <f t="shared" si="38"/>
        <v>#DIV/0!</v>
      </c>
    </row>
    <row r="191" spans="1:22" s="84" customFormat="1" ht="24.95" customHeight="1">
      <c r="A191" s="3" t="s">
        <v>329</v>
      </c>
      <c r="B191" s="3" t="s">
        <v>415</v>
      </c>
      <c r="C191" s="3"/>
      <c r="D191" s="26" t="s">
        <v>330</v>
      </c>
      <c r="E191" s="63">
        <f>'Lobby Lounge'!E149+'ADD-Mhub lounge'!E151+'Royal Court'!E149+'MP Cafe'!E149+'MP Dining'!E149+'Room Service'!E149+Banquet!E152+STW!E109+'Main Kitchen'!E110+'F&amp;B Admin'!E108</f>
        <v>3028</v>
      </c>
      <c r="F191" s="63">
        <f>'Lobby Lounge'!F149+'ADD-Mhub lounge'!F151+'Royal Court'!F149+'MP Cafe'!F149+'MP Dining'!F149+'Room Service'!F149+Banquet!F152+STW!F109+'Main Kitchen'!F110+'F&amp;B Admin'!F108</f>
        <v>3028</v>
      </c>
      <c r="G191" s="63">
        <f>'Lobby Lounge'!G149+'ADD-Mhub lounge'!G151+'Royal Court'!G149+'MP Cafe'!G149+'MP Dining'!G149+'Room Service'!G149+Banquet!G152+STW!G109+'Main Kitchen'!G110+'F&amp;B Admin'!G108</f>
        <v>3028</v>
      </c>
      <c r="H191" s="63">
        <f>'Lobby Lounge'!H149+'ADD-Mhub lounge'!H151+'Royal Court'!H149+'MP Cafe'!H149+'MP Dining'!H149+'Room Service'!H149+Banquet!H152+STW!H109+'Main Kitchen'!H110+'F&amp;B Admin'!H108</f>
        <v>3028</v>
      </c>
      <c r="I191" s="63">
        <f>'Lobby Lounge'!I149+'ADD-Mhub lounge'!I151+'Royal Court'!I149+'MP Cafe'!I149+'MP Dining'!I149+'Room Service'!I149+Banquet!I152+STW!I109+'Main Kitchen'!I110+'F&amp;B Admin'!I108</f>
        <v>3028</v>
      </c>
      <c r="J191" s="63">
        <f>'Lobby Lounge'!J149+'ADD-Mhub lounge'!J151+'Royal Court'!J149+'MP Cafe'!J149+'MP Dining'!J149+'Room Service'!J149+Banquet!J152+STW!J109+'Main Kitchen'!J110+'F&amp;B Admin'!J108</f>
        <v>3028</v>
      </c>
      <c r="K191" s="63">
        <f>'Lobby Lounge'!K149+'ADD-Mhub lounge'!K151+'Royal Court'!K149+'MP Cafe'!K149+'MP Dining'!K149+'Room Service'!K149+Banquet!K152+STW!K109+'Main Kitchen'!K110+'F&amp;B Admin'!K108</f>
        <v>2950.4</v>
      </c>
      <c r="L191" s="63">
        <f>'Lobby Lounge'!L149+'ADD-Mhub lounge'!L151+'Royal Court'!L149+'MP Cafe'!L149+'MP Dining'!L149+'Room Service'!L149+Banquet!L152+STW!L109+'Main Kitchen'!L110+'F&amp;B Admin'!L108</f>
        <v>2950.4</v>
      </c>
      <c r="M191" s="63">
        <f>'Lobby Lounge'!M149+'ADD-Mhub lounge'!M151+'Royal Court'!M149+'MP Cafe'!M149+'MP Dining'!M149+'Room Service'!M149+Banquet!M152+STW!M109+'Main Kitchen'!M110+'F&amp;B Admin'!M108</f>
        <v>2950.4</v>
      </c>
      <c r="N191" s="63">
        <f>'Lobby Lounge'!N149+'ADD-Mhub lounge'!N151+'Royal Court'!N149+'MP Cafe'!N149+'MP Dining'!N149+'Room Service'!N149+Banquet!N152+STW!N109+'Main Kitchen'!N110+'F&amp;B Admin'!N108</f>
        <v>2950.4</v>
      </c>
      <c r="O191" s="63">
        <f>'Lobby Lounge'!O149+'ADD-Mhub lounge'!O151+'Royal Court'!O149+'MP Cafe'!O149+'MP Dining'!O149+'Room Service'!O149+Banquet!O152+STW!O109+'Main Kitchen'!O110+'F&amp;B Admin'!O108</f>
        <v>2950.4</v>
      </c>
      <c r="P191" s="63">
        <f>'Lobby Lounge'!P149+'ADD-Mhub lounge'!P151+'Royal Court'!P149+'MP Cafe'!P149+'MP Dining'!P149+'Room Service'!P149+Banquet!P152+STW!P109+'Main Kitchen'!P110+'F&amp;B Admin'!P108</f>
        <v>2950.4</v>
      </c>
      <c r="Q191" s="142">
        <f t="shared" si="47"/>
        <v>35870.400000000009</v>
      </c>
      <c r="R191" s="142">
        <v>0</v>
      </c>
      <c r="S191" s="142">
        <f t="shared" si="46"/>
        <v>0.41189243798739777</v>
      </c>
      <c r="U191" s="157"/>
      <c r="V191" s="40" t="e">
        <f t="shared" si="38"/>
        <v>#DIV/0!</v>
      </c>
    </row>
    <row r="192" spans="1:22" s="84" customFormat="1" ht="24.95" customHeight="1">
      <c r="A192" s="3" t="s">
        <v>331</v>
      </c>
      <c r="B192" s="3" t="s">
        <v>415</v>
      </c>
      <c r="C192" s="3"/>
      <c r="D192" s="26" t="s">
        <v>332</v>
      </c>
      <c r="E192" s="63">
        <f>'Lobby Lounge'!E150+'ADD-Mhub lounge'!E152+'Royal Court'!E150+'MP Cafe'!E150+'MP Dining'!E150+'Room Service'!E150+Banquet!E153+STW!E110+'Main Kitchen'!E111+'F&amp;B Admin'!E109</f>
        <v>0</v>
      </c>
      <c r="F192" s="63">
        <f>'Lobby Lounge'!F150+'ADD-Mhub lounge'!F152+'Royal Court'!F150+'MP Cafe'!F150+'MP Dining'!F150+'Room Service'!F150+Banquet!F153+STW!F110+'Main Kitchen'!F111+'F&amp;B Admin'!F109</f>
        <v>0</v>
      </c>
      <c r="G192" s="63">
        <f>'Lobby Lounge'!G150+'ADD-Mhub lounge'!G152+'Royal Court'!G150+'MP Cafe'!G150+'MP Dining'!G150+'Room Service'!G150+Banquet!G153+STW!G110+'Main Kitchen'!G111+'F&amp;B Admin'!G109</f>
        <v>0</v>
      </c>
      <c r="H192" s="63">
        <f>'Lobby Lounge'!H150+'ADD-Mhub lounge'!H152+'Royal Court'!H150+'MP Cafe'!H150+'MP Dining'!H150+'Room Service'!H150+Banquet!H153+STW!H110+'Main Kitchen'!H111+'F&amp;B Admin'!H109</f>
        <v>0</v>
      </c>
      <c r="I192" s="63">
        <f>'Lobby Lounge'!I150+'ADD-Mhub lounge'!I152+'Royal Court'!I150+'MP Cafe'!I150+'MP Dining'!I150+'Room Service'!I150+Banquet!I153+STW!I110+'Main Kitchen'!I111+'F&amp;B Admin'!I109</f>
        <v>0</v>
      </c>
      <c r="J192" s="63">
        <f>'Lobby Lounge'!J150+'ADD-Mhub lounge'!J152+'Royal Court'!J150+'MP Cafe'!J150+'MP Dining'!J150+'Room Service'!J150+Banquet!J153+STW!J110+'Main Kitchen'!J111+'F&amp;B Admin'!J109</f>
        <v>0</v>
      </c>
      <c r="K192" s="63">
        <f>'Lobby Lounge'!K150+'ADD-Mhub lounge'!K152+'Royal Court'!K150+'MP Cafe'!K150+'MP Dining'!K150+'Room Service'!K150+Banquet!K153+STW!K110+'Main Kitchen'!K111+'F&amp;B Admin'!K109</f>
        <v>0</v>
      </c>
      <c r="L192" s="63">
        <f>'Lobby Lounge'!L150+'ADD-Mhub lounge'!L152+'Royal Court'!L150+'MP Cafe'!L150+'MP Dining'!L150+'Room Service'!L150+Banquet!L153+STW!L110+'Main Kitchen'!L111+'F&amp;B Admin'!L109</f>
        <v>0</v>
      </c>
      <c r="M192" s="63">
        <f>'Lobby Lounge'!M150+'ADD-Mhub lounge'!M152+'Royal Court'!M150+'MP Cafe'!M150+'MP Dining'!M150+'Room Service'!M150+Banquet!M153+STW!M110+'Main Kitchen'!M111+'F&amp;B Admin'!M109</f>
        <v>0</v>
      </c>
      <c r="N192" s="63">
        <f>'Lobby Lounge'!N150+'ADD-Mhub lounge'!N152+'Royal Court'!N150+'MP Cafe'!N150+'MP Dining'!N150+'Room Service'!N150+Banquet!N153+STW!N110+'Main Kitchen'!N111+'F&amp;B Admin'!N109</f>
        <v>0</v>
      </c>
      <c r="O192" s="63">
        <f>'Lobby Lounge'!O150+'ADD-Mhub lounge'!O152+'Royal Court'!O150+'MP Cafe'!O150+'MP Dining'!O150+'Room Service'!O150+Banquet!O153+STW!O110+'Main Kitchen'!O111+'F&amp;B Admin'!O109</f>
        <v>0</v>
      </c>
      <c r="P192" s="63">
        <f>'Lobby Lounge'!P150+'ADD-Mhub lounge'!P152+'Royal Court'!P150+'MP Cafe'!P150+'MP Dining'!P150+'Room Service'!P150+Banquet!P153+STW!P110+'Main Kitchen'!P111+'F&amp;B Admin'!P109</f>
        <v>0</v>
      </c>
      <c r="Q192" s="142">
        <f t="shared" si="47"/>
        <v>0</v>
      </c>
      <c r="R192" s="142">
        <v>0</v>
      </c>
      <c r="S192" s="142">
        <f t="shared" si="46"/>
        <v>0</v>
      </c>
      <c r="U192" s="157"/>
      <c r="V192" s="40">
        <f t="shared" si="38"/>
        <v>0</v>
      </c>
    </row>
    <row r="193" spans="1:22" s="84" customFormat="1" ht="24.95" customHeight="1">
      <c r="A193" s="3"/>
      <c r="B193" s="3"/>
      <c r="C193" s="3"/>
      <c r="D193" s="19" t="s">
        <v>333</v>
      </c>
      <c r="E193" s="160">
        <f>SUM(E185:E192)</f>
        <v>59575.91</v>
      </c>
      <c r="F193" s="160">
        <f t="shared" ref="F193:Q193" si="48">SUM(F185:F192)</f>
        <v>59575.91</v>
      </c>
      <c r="G193" s="160">
        <f t="shared" si="48"/>
        <v>59575.91</v>
      </c>
      <c r="H193" s="160">
        <f t="shared" si="48"/>
        <v>59575.91</v>
      </c>
      <c r="I193" s="160">
        <f t="shared" si="48"/>
        <v>59575.91</v>
      </c>
      <c r="J193" s="160">
        <f t="shared" si="48"/>
        <v>59575.91</v>
      </c>
      <c r="K193" s="160">
        <f t="shared" si="48"/>
        <v>57936.439999999995</v>
      </c>
      <c r="L193" s="160">
        <f t="shared" si="48"/>
        <v>57936.439999999995</v>
      </c>
      <c r="M193" s="160">
        <f t="shared" si="48"/>
        <v>57936.439999999995</v>
      </c>
      <c r="N193" s="160">
        <f t="shared" si="48"/>
        <v>57936.439999999995</v>
      </c>
      <c r="O193" s="160">
        <f t="shared" si="48"/>
        <v>57936.439999999995</v>
      </c>
      <c r="P193" s="160">
        <f t="shared" si="48"/>
        <v>57936.439999999995</v>
      </c>
      <c r="Q193" s="160">
        <f t="shared" si="48"/>
        <v>705074.10000000009</v>
      </c>
      <c r="R193" s="160">
        <v>2850997.75</v>
      </c>
      <c r="S193" s="142">
        <f t="shared" si="46"/>
        <v>8.0962211185481703</v>
      </c>
      <c r="U193" s="157"/>
      <c r="V193" s="40" t="e">
        <f t="shared" si="38"/>
        <v>#DIV/0!</v>
      </c>
    </row>
    <row r="194" spans="1:22" s="84" customFormat="1" ht="24.95" customHeight="1">
      <c r="A194" s="3"/>
      <c r="B194" s="3"/>
      <c r="C194" s="3"/>
      <c r="D194" s="3"/>
      <c r="E194" s="3"/>
      <c r="F194" s="3"/>
      <c r="G194" s="3"/>
      <c r="H194" s="3"/>
      <c r="I194" s="3"/>
      <c r="J194" s="3"/>
      <c r="K194" s="3"/>
      <c r="L194" s="161"/>
      <c r="M194" s="161"/>
      <c r="U194" s="157"/>
      <c r="V194" s="40"/>
    </row>
    <row r="195" spans="1:22" s="84" customFormat="1" ht="24.95" customHeight="1">
      <c r="A195" s="3" t="s">
        <v>334</v>
      </c>
      <c r="B195" s="3" t="s">
        <v>415</v>
      </c>
      <c r="C195" s="3"/>
      <c r="D195" s="26" t="s">
        <v>335</v>
      </c>
      <c r="E195" s="63">
        <f>'Lobby Lounge'!E153+'ADD-Mhub lounge'!E155+'Royal Court'!E153+'MP Cafe'!E153+'MP Dining'!E153+'Room Service'!E153+Banquet!E156+STW!E113+'Main Kitchen'!E114+'F&amp;B Admin'!E112</f>
        <v>0</v>
      </c>
      <c r="F195" s="63">
        <f>'Lobby Lounge'!F153+'ADD-Mhub lounge'!F155+'Royal Court'!F153+'MP Cafe'!F153+'MP Dining'!F153+'Room Service'!F153+Banquet!F156+STW!F113+'Main Kitchen'!F114+'F&amp;B Admin'!F112</f>
        <v>0</v>
      </c>
      <c r="G195" s="63">
        <f>'Lobby Lounge'!G153+'ADD-Mhub lounge'!G155+'Royal Court'!G153+'MP Cafe'!G153+'MP Dining'!G153+'Room Service'!G153+Banquet!G156+STW!G113+'Main Kitchen'!G114+'F&amp;B Admin'!G112</f>
        <v>0</v>
      </c>
      <c r="H195" s="63">
        <f>'Lobby Lounge'!H153+'ADD-Mhub lounge'!H155+'Royal Court'!H153+'MP Cafe'!H153+'MP Dining'!H153+'Room Service'!H153+Banquet!H156+STW!H113+'Main Kitchen'!H114+'F&amp;B Admin'!H112</f>
        <v>0</v>
      </c>
      <c r="I195" s="63">
        <f>'Lobby Lounge'!I153+'ADD-Mhub lounge'!I155+'Royal Court'!I153+'MP Cafe'!I153+'MP Dining'!I153+'Room Service'!I153+Banquet!I156+STW!I113+'Main Kitchen'!I114+'F&amp;B Admin'!I112</f>
        <v>0</v>
      </c>
      <c r="J195" s="63">
        <f>'Lobby Lounge'!J153+'ADD-Mhub lounge'!J155+'Royal Court'!J153+'MP Cafe'!J153+'MP Dining'!J153+'Room Service'!J153+Banquet!J156+STW!J113+'Main Kitchen'!J114+'F&amp;B Admin'!J112</f>
        <v>0</v>
      </c>
      <c r="K195" s="63">
        <f>'Lobby Lounge'!K153+'ADD-Mhub lounge'!K155+'Royal Court'!K153+'MP Cafe'!K153+'MP Dining'!K153+'Room Service'!K153+Banquet!K156+STW!K113+'Main Kitchen'!K114+'F&amp;B Admin'!K112</f>
        <v>0</v>
      </c>
      <c r="L195" s="63">
        <f>'Lobby Lounge'!L153+'ADD-Mhub lounge'!L155+'Royal Court'!L153+'MP Cafe'!L153+'MP Dining'!L153+'Room Service'!L153+Banquet!L156+STW!L113+'Main Kitchen'!L114+'F&amp;B Admin'!L112</f>
        <v>0</v>
      </c>
      <c r="M195" s="63">
        <f>'Lobby Lounge'!M153+'ADD-Mhub lounge'!M155+'Royal Court'!M153+'MP Cafe'!M153+'MP Dining'!M153+'Room Service'!M153+Banquet!M156+STW!M113+'Main Kitchen'!M114+'F&amp;B Admin'!M112</f>
        <v>0</v>
      </c>
      <c r="N195" s="63">
        <f>'Lobby Lounge'!N153+'ADD-Mhub lounge'!N155+'Royal Court'!N153+'MP Cafe'!N153+'MP Dining'!N153+'Room Service'!N153+Banquet!N156+STW!N113+'Main Kitchen'!N114+'F&amp;B Admin'!N112</f>
        <v>0</v>
      </c>
      <c r="O195" s="63">
        <f>'Lobby Lounge'!O153+'ADD-Mhub lounge'!O155+'Royal Court'!O153+'MP Cafe'!O153+'MP Dining'!O153+'Room Service'!O153+Banquet!O156+STW!O113+'Main Kitchen'!O114+'F&amp;B Admin'!O112</f>
        <v>0</v>
      </c>
      <c r="P195" s="63">
        <f>'Lobby Lounge'!P153+'ADD-Mhub lounge'!P155+'Royal Court'!P153+'MP Cafe'!P153+'MP Dining'!P153+'Room Service'!P153+Banquet!P156+STW!P113+'Main Kitchen'!P114+'F&amp;B Admin'!P112</f>
        <v>0</v>
      </c>
      <c r="Q195" s="142">
        <f t="shared" ref="Q195:Q201" si="49">SUM(E195:P195)</f>
        <v>0</v>
      </c>
      <c r="R195" s="142">
        <v>0</v>
      </c>
      <c r="U195" s="157">
        <f>'[5]F&amp;B Summary-jacky'!$Q193</f>
        <v>0</v>
      </c>
      <c r="V195" s="40"/>
    </row>
    <row r="196" spans="1:22" s="84" customFormat="1" ht="24.95" customHeight="1">
      <c r="A196" s="3" t="s">
        <v>336</v>
      </c>
      <c r="B196" s="3" t="s">
        <v>415</v>
      </c>
      <c r="C196" s="3"/>
      <c r="D196" s="3" t="s">
        <v>337</v>
      </c>
      <c r="E196" s="63">
        <f>'Lobby Lounge'!E154+'ADD-Mhub lounge'!E156+'Royal Court'!E154+'MP Cafe'!E154+'MP Dining'!E154+'Room Service'!E154+Banquet!E157+STW!E114+'Main Kitchen'!E115+'F&amp;B Admin'!E113</f>
        <v>0</v>
      </c>
      <c r="F196" s="63">
        <f>'Lobby Lounge'!F154+'ADD-Mhub lounge'!F156+'Royal Court'!F154+'MP Cafe'!F154+'MP Dining'!F154+'Room Service'!F154+Banquet!F157+STW!F114+'Main Kitchen'!F115+'F&amp;B Admin'!F113</f>
        <v>0</v>
      </c>
      <c r="G196" s="63">
        <f>'Lobby Lounge'!G154+'ADD-Mhub lounge'!G156+'Royal Court'!G154+'MP Cafe'!G154+'MP Dining'!G154+'Room Service'!G154+Banquet!G157+STW!G114+'Main Kitchen'!G115+'F&amp;B Admin'!G113</f>
        <v>0</v>
      </c>
      <c r="H196" s="63">
        <f>'Lobby Lounge'!H154+'ADD-Mhub lounge'!H156+'Royal Court'!H154+'MP Cafe'!H154+'MP Dining'!H154+'Room Service'!H154+Banquet!H157+STW!H114+'Main Kitchen'!H115+'F&amp;B Admin'!H113</f>
        <v>0</v>
      </c>
      <c r="I196" s="63">
        <f>'Lobby Lounge'!I154+'ADD-Mhub lounge'!I156+'Royal Court'!I154+'MP Cafe'!I154+'MP Dining'!I154+'Room Service'!I154+Banquet!I157+STW!I114+'Main Kitchen'!I115+'F&amp;B Admin'!I113</f>
        <v>0</v>
      </c>
      <c r="J196" s="63">
        <f>'Lobby Lounge'!J154+'ADD-Mhub lounge'!J156+'Royal Court'!J154+'MP Cafe'!J154+'MP Dining'!J154+'Room Service'!J154+Banquet!J157+STW!J114+'Main Kitchen'!J115+'F&amp;B Admin'!J113</f>
        <v>0</v>
      </c>
      <c r="K196" s="63">
        <f>'Lobby Lounge'!K154+'ADD-Mhub lounge'!K156+'Royal Court'!K154+'MP Cafe'!K154+'MP Dining'!K154+'Room Service'!K154+Banquet!K157+STW!K114+'Main Kitchen'!K115+'F&amp;B Admin'!K113</f>
        <v>0</v>
      </c>
      <c r="L196" s="63">
        <f>'Lobby Lounge'!L154+'ADD-Mhub lounge'!L156+'Royal Court'!L154+'MP Cafe'!L154+'MP Dining'!L154+'Room Service'!L154+Banquet!L157+STW!L114+'Main Kitchen'!L115+'F&amp;B Admin'!L113</f>
        <v>0</v>
      </c>
      <c r="M196" s="63">
        <f>'Lobby Lounge'!M154+'ADD-Mhub lounge'!M156+'Royal Court'!M154+'MP Cafe'!M154+'MP Dining'!M154+'Room Service'!M154+Banquet!M157+STW!M114+'Main Kitchen'!M115+'F&amp;B Admin'!M113</f>
        <v>0</v>
      </c>
      <c r="N196" s="63">
        <f>'Lobby Lounge'!N154+'ADD-Mhub lounge'!N156+'Royal Court'!N154+'MP Cafe'!N154+'MP Dining'!N154+'Room Service'!N154+Banquet!N157+STW!N114+'Main Kitchen'!N115+'F&amp;B Admin'!N113</f>
        <v>0</v>
      </c>
      <c r="O196" s="63">
        <f>'Lobby Lounge'!O154+'ADD-Mhub lounge'!O156+'Royal Court'!O154+'MP Cafe'!O154+'MP Dining'!O154+'Room Service'!O154+Banquet!O157+STW!O114+'Main Kitchen'!O115+'F&amp;B Admin'!O113</f>
        <v>0</v>
      </c>
      <c r="P196" s="63">
        <f>'Lobby Lounge'!P154+'ADD-Mhub lounge'!P156+'Royal Court'!P154+'MP Cafe'!P154+'MP Dining'!P154+'Room Service'!P154+Banquet!P157+STW!P114+'Main Kitchen'!P115+'F&amp;B Admin'!P113</f>
        <v>0</v>
      </c>
      <c r="Q196" s="142">
        <f t="shared" si="49"/>
        <v>0</v>
      </c>
      <c r="R196" s="142">
        <v>0</v>
      </c>
      <c r="U196" s="157">
        <f>'[5]F&amp;B Summary-jacky'!$Q194</f>
        <v>0</v>
      </c>
      <c r="V196" s="40"/>
    </row>
    <row r="197" spans="1:22" s="84" customFormat="1" ht="24.95" customHeight="1">
      <c r="A197" s="3" t="s">
        <v>338</v>
      </c>
      <c r="B197" s="3" t="s">
        <v>415</v>
      </c>
      <c r="C197" s="3"/>
      <c r="D197" s="26" t="s">
        <v>339</v>
      </c>
      <c r="E197" s="63">
        <f>'Lobby Lounge'!E155+'ADD-Mhub lounge'!E157+'Royal Court'!E155+'MP Cafe'!E155+'MP Dining'!E155+'Room Service'!E155+Banquet!E158+STW!E115+'Main Kitchen'!E116+'F&amp;B Admin'!E114</f>
        <v>0</v>
      </c>
      <c r="F197" s="63">
        <f>'Lobby Lounge'!F155+'ADD-Mhub lounge'!F157+'Royal Court'!F155+'MP Cafe'!F155+'MP Dining'!F155+'Room Service'!F155+Banquet!F158+STW!F115+'Main Kitchen'!F116+'F&amp;B Admin'!F114</f>
        <v>0</v>
      </c>
      <c r="G197" s="63">
        <f>'Lobby Lounge'!G155+'ADD-Mhub lounge'!G157+'Royal Court'!G155+'MP Cafe'!G155+'MP Dining'!G155+'Room Service'!G155+Banquet!G158+STW!G115+'Main Kitchen'!G116+'F&amp;B Admin'!G114</f>
        <v>0</v>
      </c>
      <c r="H197" s="63">
        <f>'Lobby Lounge'!H155+'ADD-Mhub lounge'!H157+'Royal Court'!H155+'MP Cafe'!H155+'MP Dining'!H155+'Room Service'!H155+Banquet!H158+STW!H115+'Main Kitchen'!H116+'F&amp;B Admin'!H114</f>
        <v>0</v>
      </c>
      <c r="I197" s="63">
        <f>'Lobby Lounge'!I155+'ADD-Mhub lounge'!I157+'Royal Court'!I155+'MP Cafe'!I155+'MP Dining'!I155+'Room Service'!I155+Banquet!I158+STW!I115+'Main Kitchen'!I116+'F&amp;B Admin'!I114</f>
        <v>0</v>
      </c>
      <c r="J197" s="63">
        <f>'Lobby Lounge'!J155+'ADD-Mhub lounge'!J157+'Royal Court'!J155+'MP Cafe'!J155+'MP Dining'!J155+'Room Service'!J155+Banquet!J158+STW!J115+'Main Kitchen'!J116+'F&amp;B Admin'!J114</f>
        <v>0</v>
      </c>
      <c r="K197" s="63">
        <f>'Lobby Lounge'!K155+'ADD-Mhub lounge'!K157+'Royal Court'!K155+'MP Cafe'!K155+'MP Dining'!K155+'Room Service'!K155+Banquet!K158+STW!K115+'Main Kitchen'!K116+'F&amp;B Admin'!K114</f>
        <v>0</v>
      </c>
      <c r="L197" s="63">
        <f>'Lobby Lounge'!L155+'ADD-Mhub lounge'!L157+'Royal Court'!L155+'MP Cafe'!L155+'MP Dining'!L155+'Room Service'!L155+Banquet!L158+STW!L115+'Main Kitchen'!L116+'F&amp;B Admin'!L114</f>
        <v>0</v>
      </c>
      <c r="M197" s="63">
        <f>'Lobby Lounge'!M155+'ADD-Mhub lounge'!M157+'Royal Court'!M155+'MP Cafe'!M155+'MP Dining'!M155+'Room Service'!M155+Banquet!M158+STW!M115+'Main Kitchen'!M116+'F&amp;B Admin'!M114</f>
        <v>0</v>
      </c>
      <c r="N197" s="63">
        <f>'Lobby Lounge'!N155+'ADD-Mhub lounge'!N157+'Royal Court'!N155+'MP Cafe'!N155+'MP Dining'!N155+'Room Service'!N155+Banquet!N158+STW!N115+'Main Kitchen'!N116+'F&amp;B Admin'!N114</f>
        <v>0</v>
      </c>
      <c r="O197" s="63">
        <f>'Lobby Lounge'!O155+'ADD-Mhub lounge'!O157+'Royal Court'!O155+'MP Cafe'!O155+'MP Dining'!O155+'Room Service'!O155+Banquet!O158+STW!O115+'Main Kitchen'!O116+'F&amp;B Admin'!O114</f>
        <v>0</v>
      </c>
      <c r="P197" s="63">
        <f>'Lobby Lounge'!P155+'ADD-Mhub lounge'!P157+'Royal Court'!P155+'MP Cafe'!P155+'MP Dining'!P155+'Room Service'!P155+Banquet!P158+STW!P115+'Main Kitchen'!P116+'F&amp;B Admin'!P114</f>
        <v>0</v>
      </c>
      <c r="Q197" s="142">
        <f t="shared" si="49"/>
        <v>0</v>
      </c>
      <c r="R197" s="142">
        <v>0</v>
      </c>
      <c r="U197" s="157">
        <f>'[5]F&amp;B Summary-jacky'!$Q195</f>
        <v>0</v>
      </c>
      <c r="V197" s="40"/>
    </row>
    <row r="198" spans="1:22" s="84" customFormat="1" ht="24.95" customHeight="1">
      <c r="A198" s="3" t="s">
        <v>340</v>
      </c>
      <c r="B198" s="3" t="s">
        <v>415</v>
      </c>
      <c r="C198" s="3"/>
      <c r="D198" s="26" t="s">
        <v>341</v>
      </c>
      <c r="E198" s="63">
        <f>'Lobby Lounge'!E156+'ADD-Mhub lounge'!E158+'Royal Court'!E156+'MP Cafe'!E156+'MP Dining'!E156+'Room Service'!E156+Banquet!E159+STW!E116+'Main Kitchen'!E117+'F&amp;B Admin'!E115</f>
        <v>0</v>
      </c>
      <c r="F198" s="63">
        <f>'Lobby Lounge'!F156+'ADD-Mhub lounge'!F158+'Royal Court'!F156+'MP Cafe'!F156+'MP Dining'!F156+'Room Service'!F156+Banquet!F159+STW!F116+'Main Kitchen'!F117+'F&amp;B Admin'!F115</f>
        <v>0</v>
      </c>
      <c r="G198" s="63">
        <f>'Lobby Lounge'!G156+'ADD-Mhub lounge'!G158+'Royal Court'!G156+'MP Cafe'!G156+'MP Dining'!G156+'Room Service'!G156+Banquet!G159+STW!G116+'Main Kitchen'!G117+'F&amp;B Admin'!G115</f>
        <v>0</v>
      </c>
      <c r="H198" s="63">
        <f>'Lobby Lounge'!H156+'ADD-Mhub lounge'!H158+'Royal Court'!H156+'MP Cafe'!H156+'MP Dining'!H156+'Room Service'!H156+Banquet!H159+STW!H116+'Main Kitchen'!H117+'F&amp;B Admin'!H115</f>
        <v>0</v>
      </c>
      <c r="I198" s="63">
        <f>'Lobby Lounge'!I156+'ADD-Mhub lounge'!I158+'Royal Court'!I156+'MP Cafe'!I156+'MP Dining'!I156+'Room Service'!I156+Banquet!I159+STW!I116+'Main Kitchen'!I117+'F&amp;B Admin'!I115</f>
        <v>0</v>
      </c>
      <c r="J198" s="63">
        <f>'Lobby Lounge'!J156+'ADD-Mhub lounge'!J158+'Royal Court'!J156+'MP Cafe'!J156+'MP Dining'!J156+'Room Service'!J156+Banquet!J159+STW!J116+'Main Kitchen'!J117+'F&amp;B Admin'!J115</f>
        <v>0</v>
      </c>
      <c r="K198" s="63">
        <f>'Lobby Lounge'!K156+'ADD-Mhub lounge'!K158+'Royal Court'!K156+'MP Cafe'!K156+'MP Dining'!K156+'Room Service'!K156+Banquet!K159+STW!K116+'Main Kitchen'!K117+'F&amp;B Admin'!K115</f>
        <v>0</v>
      </c>
      <c r="L198" s="63">
        <f>'Lobby Lounge'!L156+'ADD-Mhub lounge'!L158+'Royal Court'!L156+'MP Cafe'!L156+'MP Dining'!L156+'Room Service'!L156+Banquet!L159+STW!L116+'Main Kitchen'!L117+'F&amp;B Admin'!L115</f>
        <v>0</v>
      </c>
      <c r="M198" s="63">
        <f>'Lobby Lounge'!M156+'ADD-Mhub lounge'!M158+'Royal Court'!M156+'MP Cafe'!M156+'MP Dining'!M156+'Room Service'!M156+Banquet!M159+STW!M116+'Main Kitchen'!M117+'F&amp;B Admin'!M115</f>
        <v>0</v>
      </c>
      <c r="N198" s="63">
        <f>'Lobby Lounge'!N156+'ADD-Mhub lounge'!N158+'Royal Court'!N156+'MP Cafe'!N156+'MP Dining'!N156+'Room Service'!N156+Banquet!N159+STW!N116+'Main Kitchen'!N117+'F&amp;B Admin'!N115</f>
        <v>0</v>
      </c>
      <c r="O198" s="63">
        <f>'Lobby Lounge'!O156+'ADD-Mhub lounge'!O158+'Royal Court'!O156+'MP Cafe'!O156+'MP Dining'!O156+'Room Service'!O156+Banquet!O159+STW!O116+'Main Kitchen'!O117+'F&amp;B Admin'!O115</f>
        <v>0</v>
      </c>
      <c r="P198" s="63">
        <f>'Lobby Lounge'!P156+'ADD-Mhub lounge'!P158+'Royal Court'!P156+'MP Cafe'!P156+'MP Dining'!P156+'Room Service'!P156+Banquet!P159+STW!P116+'Main Kitchen'!P117+'F&amp;B Admin'!P115</f>
        <v>0</v>
      </c>
      <c r="Q198" s="142">
        <f t="shared" si="49"/>
        <v>0</v>
      </c>
      <c r="R198" s="142">
        <v>0</v>
      </c>
      <c r="U198" s="157">
        <f>'[5]F&amp;B Summary-jacky'!$Q196</f>
        <v>0</v>
      </c>
      <c r="V198" s="40"/>
    </row>
    <row r="199" spans="1:22" s="84" customFormat="1" ht="24.95" customHeight="1">
      <c r="A199" s="3" t="s">
        <v>342</v>
      </c>
      <c r="B199" s="3" t="s">
        <v>415</v>
      </c>
      <c r="C199" s="3"/>
      <c r="D199" s="26" t="s">
        <v>343</v>
      </c>
      <c r="E199" s="63">
        <f>'Lobby Lounge'!E157+'ADD-Mhub lounge'!E159+'Royal Court'!E157+'MP Cafe'!E157+'MP Dining'!E157+'Room Service'!E157+Banquet!E160+STW!E117+'Main Kitchen'!E118+'F&amp;B Admin'!E116</f>
        <v>0</v>
      </c>
      <c r="F199" s="63">
        <f>'Lobby Lounge'!F157+'ADD-Mhub lounge'!F159+'Royal Court'!F157+'MP Cafe'!F157+'MP Dining'!F157+'Room Service'!F157+Banquet!F160+STW!F117+'Main Kitchen'!F118+'F&amp;B Admin'!F116</f>
        <v>0</v>
      </c>
      <c r="G199" s="63">
        <f>'Lobby Lounge'!G157+'ADD-Mhub lounge'!G159+'Royal Court'!G157+'MP Cafe'!G157+'MP Dining'!G157+'Room Service'!G157+Banquet!G160+STW!G117+'Main Kitchen'!G118+'F&amp;B Admin'!G116</f>
        <v>0</v>
      </c>
      <c r="H199" s="63">
        <f>'Lobby Lounge'!H157+'ADD-Mhub lounge'!H159+'Royal Court'!H157+'MP Cafe'!H157+'MP Dining'!H157+'Room Service'!H157+Banquet!H160+STW!H117+'Main Kitchen'!H118+'F&amp;B Admin'!H116</f>
        <v>0</v>
      </c>
      <c r="I199" s="63">
        <f>'Lobby Lounge'!I157+'ADD-Mhub lounge'!I159+'Royal Court'!I157+'MP Cafe'!I157+'MP Dining'!I157+'Room Service'!I157+Banquet!I160+STW!I117+'Main Kitchen'!I118+'F&amp;B Admin'!I116</f>
        <v>0</v>
      </c>
      <c r="J199" s="63">
        <f>'Lobby Lounge'!J157+'ADD-Mhub lounge'!J159+'Royal Court'!J157+'MP Cafe'!J157+'MP Dining'!J157+'Room Service'!J157+Banquet!J160+STW!J117+'Main Kitchen'!J118+'F&amp;B Admin'!J116</f>
        <v>0</v>
      </c>
      <c r="K199" s="63">
        <f>'Lobby Lounge'!K157+'ADD-Mhub lounge'!K159+'Royal Court'!K157+'MP Cafe'!K157+'MP Dining'!K157+'Room Service'!K157+Banquet!K160+STW!K117+'Main Kitchen'!K118+'F&amp;B Admin'!K116</f>
        <v>0</v>
      </c>
      <c r="L199" s="63">
        <f>'Lobby Lounge'!L157+'ADD-Mhub lounge'!L159+'Royal Court'!L157+'MP Cafe'!L157+'MP Dining'!L157+'Room Service'!L157+Banquet!L160+STW!L117+'Main Kitchen'!L118+'F&amp;B Admin'!L116</f>
        <v>0</v>
      </c>
      <c r="M199" s="63">
        <f>'Lobby Lounge'!M157+'ADD-Mhub lounge'!M159+'Royal Court'!M157+'MP Cafe'!M157+'MP Dining'!M157+'Room Service'!M157+Banquet!M160+STW!M117+'Main Kitchen'!M118+'F&amp;B Admin'!M116</f>
        <v>0</v>
      </c>
      <c r="N199" s="63">
        <f>'Lobby Lounge'!N157+'ADD-Mhub lounge'!N159+'Royal Court'!N157+'MP Cafe'!N157+'MP Dining'!N157+'Room Service'!N157+Banquet!N160+STW!N117+'Main Kitchen'!N118+'F&amp;B Admin'!N116</f>
        <v>0</v>
      </c>
      <c r="O199" s="63">
        <f>'Lobby Lounge'!O157+'ADD-Mhub lounge'!O159+'Royal Court'!O157+'MP Cafe'!O157+'MP Dining'!O157+'Room Service'!O157+Banquet!O160+STW!O117+'Main Kitchen'!O118+'F&amp;B Admin'!O116</f>
        <v>0</v>
      </c>
      <c r="P199" s="63">
        <f>'Lobby Lounge'!P157+'ADD-Mhub lounge'!P159+'Royal Court'!P157+'MP Cafe'!P157+'MP Dining'!P157+'Room Service'!P157+Banquet!P160+STW!P117+'Main Kitchen'!P118+'F&amp;B Admin'!P116</f>
        <v>0</v>
      </c>
      <c r="Q199" s="142">
        <f t="shared" si="49"/>
        <v>0</v>
      </c>
      <c r="R199" s="142">
        <v>429519.64</v>
      </c>
      <c r="S199" s="142">
        <f>Q199/$Q$148</f>
        <v>0</v>
      </c>
      <c r="U199" s="157">
        <f>'[5]F&amp;B Summary-jacky'!$Q197</f>
        <v>174025.91</v>
      </c>
      <c r="V199" s="40">
        <f>-IF(Q199-U199=0,0,(Q199-U199)/U199)</f>
        <v>1</v>
      </c>
    </row>
    <row r="200" spans="1:22" s="84" customFormat="1" ht="24.95" customHeight="1">
      <c r="A200" s="3" t="s">
        <v>344</v>
      </c>
      <c r="B200" s="3" t="s">
        <v>415</v>
      </c>
      <c r="C200" s="3"/>
      <c r="D200" s="26" t="s">
        <v>345</v>
      </c>
      <c r="E200" s="63">
        <f>'Lobby Lounge'!E158+'ADD-Mhub lounge'!E160+'Royal Court'!E158+'MP Cafe'!E158+'MP Dining'!E158+'Room Service'!E158+Banquet!E161+STW!E119+'Main Kitchen'!E120+'F&amp;B Admin'!E118</f>
        <v>0</v>
      </c>
      <c r="F200" s="63">
        <f>'Lobby Lounge'!F158+'ADD-Mhub lounge'!F160+'Royal Court'!F158+'MP Cafe'!F158+'MP Dining'!F158+'Room Service'!F158+Banquet!F161+STW!F119+'Main Kitchen'!F120+'F&amp;B Admin'!F118</f>
        <v>0</v>
      </c>
      <c r="G200" s="63">
        <f>'Lobby Lounge'!G158+'ADD-Mhub lounge'!G160+'Royal Court'!G158+'MP Cafe'!G158+'MP Dining'!G158+'Room Service'!G158+Banquet!G161+STW!G119+'Main Kitchen'!G120+'F&amp;B Admin'!G118</f>
        <v>0</v>
      </c>
      <c r="H200" s="63">
        <f>'Lobby Lounge'!H158+'ADD-Mhub lounge'!H160+'Royal Court'!H158+'MP Cafe'!H158+'MP Dining'!H158+'Room Service'!H158+Banquet!H161+STW!H119+'Main Kitchen'!H120+'F&amp;B Admin'!H118</f>
        <v>0</v>
      </c>
      <c r="I200" s="63">
        <f>'Lobby Lounge'!I158+'ADD-Mhub lounge'!I160+'Royal Court'!I158+'MP Cafe'!I158+'MP Dining'!I158+'Room Service'!I158+Banquet!I161+STW!I119+'Main Kitchen'!I120+'F&amp;B Admin'!I118</f>
        <v>0</v>
      </c>
      <c r="J200" s="63">
        <f>'Lobby Lounge'!J158+'ADD-Mhub lounge'!J160+'Royal Court'!J158+'MP Cafe'!J158+'MP Dining'!J158+'Room Service'!J158+Banquet!J161+STW!J119+'Main Kitchen'!J120+'F&amp;B Admin'!J118</f>
        <v>0</v>
      </c>
      <c r="K200" s="63">
        <f>'Lobby Lounge'!K158+'ADD-Mhub lounge'!K160+'Royal Court'!K158+'MP Cafe'!K158+'MP Dining'!K158+'Room Service'!K158+Banquet!K161+STW!K119+'Main Kitchen'!K120+'F&amp;B Admin'!K118</f>
        <v>0</v>
      </c>
      <c r="L200" s="63">
        <f>'Lobby Lounge'!L158+'ADD-Mhub lounge'!L160+'Royal Court'!L158+'MP Cafe'!L158+'MP Dining'!L158+'Room Service'!L158+Banquet!L161+STW!L119+'Main Kitchen'!L120+'F&amp;B Admin'!L118</f>
        <v>0</v>
      </c>
      <c r="M200" s="63">
        <f>'Lobby Lounge'!M158+'ADD-Mhub lounge'!M160+'Royal Court'!M158+'MP Cafe'!M158+'MP Dining'!M158+'Room Service'!M158+Banquet!M161+STW!M119+'Main Kitchen'!M120+'F&amp;B Admin'!M118</f>
        <v>0</v>
      </c>
      <c r="N200" s="63">
        <f>'Lobby Lounge'!N158+'ADD-Mhub lounge'!N160+'Royal Court'!N158+'MP Cafe'!N158+'MP Dining'!N158+'Room Service'!N158+Banquet!N161+STW!N119+'Main Kitchen'!N120+'F&amp;B Admin'!N118</f>
        <v>0</v>
      </c>
      <c r="O200" s="63">
        <f>'Lobby Lounge'!O158+'ADD-Mhub lounge'!O160+'Royal Court'!O158+'MP Cafe'!O158+'MP Dining'!O158+'Room Service'!O158+Banquet!O161+STW!O119+'Main Kitchen'!O120+'F&amp;B Admin'!O118</f>
        <v>0</v>
      </c>
      <c r="P200" s="63">
        <f>'Lobby Lounge'!P158+'ADD-Mhub lounge'!P160+'Royal Court'!P158+'MP Cafe'!P158+'MP Dining'!P158+'Room Service'!P158+Banquet!P161+STW!P119+'Main Kitchen'!P120+'F&amp;B Admin'!P118</f>
        <v>0</v>
      </c>
      <c r="Q200" s="142">
        <f t="shared" si="49"/>
        <v>0</v>
      </c>
      <c r="R200" s="142">
        <v>66313.95</v>
      </c>
      <c r="S200" s="142">
        <f>Q200/$Q$148</f>
        <v>0</v>
      </c>
      <c r="U200" s="157">
        <f>'[5]F&amp;B Summary-jacky'!$Q198</f>
        <v>419651.61</v>
      </c>
      <c r="V200" s="40">
        <f t="shared" ref="V200:V203" si="50">-IF(Q200-U200=0,0,(Q200-U200)/U200)</f>
        <v>1</v>
      </c>
    </row>
    <row r="201" spans="1:22" s="84" customFormat="1" ht="24.95" customHeight="1">
      <c r="A201" s="3" t="s">
        <v>346</v>
      </c>
      <c r="B201" s="3" t="s">
        <v>415</v>
      </c>
      <c r="C201" s="3"/>
      <c r="D201" s="26" t="s">
        <v>347</v>
      </c>
      <c r="E201" s="63">
        <f>'Lobby Lounge'!E159+'ADD-Mhub lounge'!E161+'Royal Court'!E159+'MP Cafe'!E159+'MP Dining'!E159+'Room Service'!E159+Banquet!E162+STW!E120+'Main Kitchen'!E121+'F&amp;B Admin'!E119</f>
        <v>22164.059999999998</v>
      </c>
      <c r="F201" s="63">
        <f>'Lobby Lounge'!F159+'ADD-Mhub lounge'!F161+'Royal Court'!F159+'MP Cafe'!F159+'MP Dining'!F159+'Room Service'!F159+Banquet!F162+STW!F120+'Main Kitchen'!F121+'F&amp;B Admin'!F119</f>
        <v>23166.949999999997</v>
      </c>
      <c r="G201" s="63">
        <f>'Lobby Lounge'!G159+'ADD-Mhub lounge'!G161+'Royal Court'!G159+'MP Cafe'!G159+'MP Dining'!G159+'Room Service'!G159+Banquet!G162+STW!G120+'Main Kitchen'!G121+'F&amp;B Admin'!G119</f>
        <v>21662.61</v>
      </c>
      <c r="H201" s="63">
        <f>'Lobby Lounge'!H159+'ADD-Mhub lounge'!H161+'Royal Court'!H159+'MP Cafe'!H159+'MP Dining'!H159+'Room Service'!H159+Banquet!H162+STW!H120+'Main Kitchen'!H121+'F&amp;B Admin'!H119</f>
        <v>22164.059999999998</v>
      </c>
      <c r="I201" s="63">
        <f>'Lobby Lounge'!I159+'ADD-Mhub lounge'!I161+'Royal Court'!I159+'MP Cafe'!I159+'MP Dining'!I159+'Room Service'!I159+Banquet!I162+STW!I120+'Main Kitchen'!I121+'F&amp;B Admin'!I119</f>
        <v>22164.059999999998</v>
      </c>
      <c r="J201" s="63">
        <f>'Lobby Lounge'!J159+'ADD-Mhub lounge'!J161+'Royal Court'!J159+'MP Cafe'!J159+'MP Dining'!J159+'Room Service'!J159+Banquet!J162+STW!J120+'Main Kitchen'!J121+'F&amp;B Admin'!J119</f>
        <v>22164.059999999998</v>
      </c>
      <c r="K201" s="63">
        <f>'Lobby Lounge'!K159+'ADD-Mhub lounge'!K161+'Royal Court'!K159+'MP Cafe'!K159+'MP Dining'!K159+'Room Service'!K159+Banquet!K162+STW!K120+'Main Kitchen'!K121+'F&amp;B Admin'!K119</f>
        <v>21662.61</v>
      </c>
      <c r="L201" s="63">
        <f>'Lobby Lounge'!L159+'ADD-Mhub lounge'!L161+'Royal Court'!L159+'MP Cafe'!L159+'MP Dining'!L159+'Room Service'!L159+Banquet!L162+STW!L120+'Main Kitchen'!L121+'F&amp;B Admin'!L119</f>
        <v>21662.61</v>
      </c>
      <c r="M201" s="63">
        <f>'Lobby Lounge'!M159+'ADD-Mhub lounge'!M161+'Royal Court'!M159+'MP Cafe'!M159+'MP Dining'!M159+'Room Service'!M159+Banquet!M162+STW!M120+'Main Kitchen'!M121+'F&amp;B Admin'!M119</f>
        <v>22164.059999999998</v>
      </c>
      <c r="N201" s="63">
        <f>'Lobby Lounge'!N159+'ADD-Mhub lounge'!N161+'Royal Court'!N159+'MP Cafe'!N159+'MP Dining'!N159+'Room Service'!N159+Banquet!N162+STW!N120+'Main Kitchen'!N121+'F&amp;B Admin'!N119</f>
        <v>23166.949999999997</v>
      </c>
      <c r="O201" s="63">
        <f>'Lobby Lounge'!O159+'ADD-Mhub lounge'!O161+'Royal Court'!O159+'MP Cafe'!O159+'MP Dining'!O159+'Room Service'!O159+Banquet!O162+STW!O120+'Main Kitchen'!O121+'F&amp;B Admin'!O119</f>
        <v>21662.61</v>
      </c>
      <c r="P201" s="63">
        <f>'Lobby Lounge'!P159+'ADD-Mhub lounge'!P161+'Royal Court'!P159+'MP Cafe'!P159+'MP Dining'!P159+'Room Service'!P159+Banquet!P162+STW!P120+'Main Kitchen'!P121+'F&amp;B Admin'!P119</f>
        <v>21662.61</v>
      </c>
      <c r="Q201" s="142">
        <f t="shared" si="49"/>
        <v>265467.24999999994</v>
      </c>
      <c r="R201" s="142">
        <v>1397064</v>
      </c>
      <c r="S201" s="142">
        <f>Q201/$Q$148</f>
        <v>3.0483059237786581</v>
      </c>
      <c r="U201" s="157">
        <f>'[5]F&amp;B Summary-jacky'!$Q199</f>
        <v>2117170.2187999999</v>
      </c>
      <c r="V201" s="40">
        <f t="shared" si="50"/>
        <v>0.87461223115519482</v>
      </c>
    </row>
    <row r="202" spans="1:22" s="84" customFormat="1" ht="24.95" customHeight="1">
      <c r="A202" s="3"/>
      <c r="B202" s="3"/>
      <c r="C202" s="3"/>
      <c r="D202" s="19" t="s">
        <v>348</v>
      </c>
      <c r="E202" s="160">
        <f>SUM(E195:E201)</f>
        <v>22164.059999999998</v>
      </c>
      <c r="F202" s="160">
        <f t="shared" ref="F202:Q202" si="51">SUM(F195:F201)</f>
        <v>23166.949999999997</v>
      </c>
      <c r="G202" s="160">
        <f t="shared" si="51"/>
        <v>21662.61</v>
      </c>
      <c r="H202" s="160">
        <f t="shared" si="51"/>
        <v>22164.059999999998</v>
      </c>
      <c r="I202" s="160">
        <f t="shared" si="51"/>
        <v>22164.059999999998</v>
      </c>
      <c r="J202" s="160">
        <f t="shared" si="51"/>
        <v>22164.059999999998</v>
      </c>
      <c r="K202" s="160">
        <f t="shared" si="51"/>
        <v>21662.61</v>
      </c>
      <c r="L202" s="160">
        <f t="shared" si="51"/>
        <v>21662.61</v>
      </c>
      <c r="M202" s="160">
        <f t="shared" si="51"/>
        <v>22164.059999999998</v>
      </c>
      <c r="N202" s="160">
        <f t="shared" si="51"/>
        <v>23166.949999999997</v>
      </c>
      <c r="O202" s="160">
        <f t="shared" si="51"/>
        <v>21662.61</v>
      </c>
      <c r="P202" s="160">
        <f t="shared" si="51"/>
        <v>21662.61</v>
      </c>
      <c r="Q202" s="160">
        <f t="shared" si="51"/>
        <v>265467.24999999994</v>
      </c>
      <c r="R202" s="160">
        <v>1892897.59</v>
      </c>
      <c r="S202" s="142">
        <f>Q202/$Q$148</f>
        <v>3.0483059237786581</v>
      </c>
      <c r="U202" s="157">
        <f>'[5]F&amp;B Summary-jacky'!$Q200</f>
        <v>2710847.7387999999</v>
      </c>
      <c r="V202" s="40">
        <f t="shared" si="50"/>
        <v>0.90207223880544718</v>
      </c>
    </row>
    <row r="203" spans="1:22" s="84" customFormat="1" ht="24.95" customHeight="1">
      <c r="A203" s="3"/>
      <c r="B203" s="3"/>
      <c r="C203" s="3"/>
      <c r="D203" s="19" t="s">
        <v>349</v>
      </c>
      <c r="E203" s="160">
        <f>E174+E183+E193+E202</f>
        <v>399060.52999999997</v>
      </c>
      <c r="F203" s="160">
        <f t="shared" ref="F203:Q203" si="52">F174+F183+F193+F202</f>
        <v>415698.32</v>
      </c>
      <c r="G203" s="160">
        <f t="shared" si="52"/>
        <v>376304.68999999994</v>
      </c>
      <c r="H203" s="160">
        <f t="shared" si="52"/>
        <v>399024.41</v>
      </c>
      <c r="I203" s="160">
        <f t="shared" si="52"/>
        <v>409559.42</v>
      </c>
      <c r="J203" s="160">
        <f t="shared" si="52"/>
        <v>398300.69</v>
      </c>
      <c r="K203" s="160">
        <f t="shared" si="52"/>
        <v>385701.46</v>
      </c>
      <c r="L203" s="160">
        <f t="shared" si="52"/>
        <v>386017.3</v>
      </c>
      <c r="M203" s="160">
        <f t="shared" si="52"/>
        <v>404300.24</v>
      </c>
      <c r="N203" s="160">
        <f t="shared" si="52"/>
        <v>434222.41000000003</v>
      </c>
      <c r="O203" s="160">
        <f t="shared" si="52"/>
        <v>382291.46</v>
      </c>
      <c r="P203" s="160">
        <f t="shared" si="52"/>
        <v>379394.1</v>
      </c>
      <c r="Q203" s="160">
        <f t="shared" si="52"/>
        <v>4769875.0299999993</v>
      </c>
      <c r="R203" s="160">
        <v>12177044.41</v>
      </c>
      <c r="S203" s="142">
        <f>Q203/$Q$148</f>
        <v>54.771495578580428</v>
      </c>
      <c r="U203" s="157">
        <f>'[5]F&amp;B Summary-jacky'!$Q201</f>
        <v>20053593.717256002</v>
      </c>
      <c r="V203" s="40">
        <f t="shared" si="50"/>
        <v>0.76214362885513387</v>
      </c>
    </row>
    <row r="204" spans="1:22" s="42" customFormat="1" ht="24.95" customHeight="1">
      <c r="Q204" s="42">
        <f>Q203-Q182-Q181</f>
        <v>3186364.629999999</v>
      </c>
      <c r="U204" s="157"/>
      <c r="V204" s="40"/>
    </row>
    <row r="205" spans="1:22" s="180" customFormat="1" ht="24.95" customHeight="1">
      <c r="A205" s="19" t="s">
        <v>105</v>
      </c>
      <c r="B205" s="19" t="s">
        <v>415</v>
      </c>
      <c r="C205" s="19"/>
      <c r="D205" s="19" t="s">
        <v>352</v>
      </c>
      <c r="E205" s="62">
        <f>'Lobby Lounge'!E163+'ADD-Mhub lounge'!E165+'Royal Court'!E163+'MP Cafe'!E163+'MP Dining'!E163+'Room Service'!E163+Banquet!E166+STW!E124+'Main Kitchen'!E125+'F&amp;B Admin'!E123</f>
        <v>39</v>
      </c>
      <c r="F205" s="62">
        <f>'Lobby Lounge'!F163+'ADD-Mhub lounge'!F165+'Royal Court'!F163+'MP Cafe'!F163+'MP Dining'!F163+'Room Service'!F163+Banquet!F166+STW!F124+'Main Kitchen'!F125+'F&amp;B Admin'!F123</f>
        <v>39</v>
      </c>
      <c r="G205" s="62">
        <f>'Lobby Lounge'!G163+'ADD-Mhub lounge'!G165+'Royal Court'!G163+'MP Cafe'!G163+'MP Dining'!G163+'Room Service'!G163+Banquet!G166+STW!G124+'Main Kitchen'!G125+'F&amp;B Admin'!G123</f>
        <v>39</v>
      </c>
      <c r="H205" s="62">
        <f>'Lobby Lounge'!H163+'ADD-Mhub lounge'!H165+'Royal Court'!H163+'MP Cafe'!H163+'MP Dining'!H163+'Room Service'!H163+Banquet!H166+STW!H124+'Main Kitchen'!H125+'F&amp;B Admin'!H123</f>
        <v>39</v>
      </c>
      <c r="I205" s="62">
        <f>'Lobby Lounge'!I163+'ADD-Mhub lounge'!I165+'Royal Court'!I163+'MP Cafe'!I163+'MP Dining'!I163+'Room Service'!I163+Banquet!I166+STW!I124+'Main Kitchen'!I125+'F&amp;B Admin'!I123</f>
        <v>39</v>
      </c>
      <c r="J205" s="62">
        <f>'Lobby Lounge'!J163+'ADD-Mhub lounge'!J165+'Royal Court'!J163+'MP Cafe'!J163+'MP Dining'!J163+'Room Service'!J163+Banquet!J166+STW!J124+'Main Kitchen'!J125+'F&amp;B Admin'!J123</f>
        <v>39</v>
      </c>
      <c r="K205" s="62">
        <f>'Lobby Lounge'!K163+'ADD-Mhub lounge'!K165+'Royal Court'!K163+'MP Cafe'!K163+'MP Dining'!K163+'Room Service'!K163+Banquet!K166+STW!K124+'Main Kitchen'!K125+'F&amp;B Admin'!K123</f>
        <v>38</v>
      </c>
      <c r="L205" s="62">
        <f>'Lobby Lounge'!L163+'ADD-Mhub lounge'!L165+'Royal Court'!L163+'MP Cafe'!L163+'MP Dining'!L163+'Room Service'!L163+Banquet!L166+STW!L124+'Main Kitchen'!L125+'F&amp;B Admin'!L123</f>
        <v>38</v>
      </c>
      <c r="M205" s="62">
        <f>'Lobby Lounge'!M163+'ADD-Mhub lounge'!M165+'Royal Court'!M163+'MP Cafe'!M163+'MP Dining'!M163+'Room Service'!M163+Banquet!M166+STW!M124+'Main Kitchen'!M125+'F&amp;B Admin'!M123</f>
        <v>38</v>
      </c>
      <c r="N205" s="62">
        <f>'Lobby Lounge'!N163+'ADD-Mhub lounge'!N165+'Royal Court'!N163+'MP Cafe'!N163+'MP Dining'!N163+'Room Service'!N163+Banquet!N166+STW!N124+'Main Kitchen'!N125+'F&amp;B Admin'!N123</f>
        <v>38</v>
      </c>
      <c r="O205" s="62">
        <f>'Lobby Lounge'!O163+'ADD-Mhub lounge'!O165+'Royal Court'!O163+'MP Cafe'!O163+'MP Dining'!O163+'Room Service'!O163+Banquet!O166+STW!O124+'Main Kitchen'!O125+'F&amp;B Admin'!O123</f>
        <v>38</v>
      </c>
      <c r="P205" s="62">
        <f>'Lobby Lounge'!P163+'ADD-Mhub lounge'!P165+'Royal Court'!P163+'MP Cafe'!P163+'MP Dining'!P163+'Room Service'!P163+Banquet!P166+STW!P124+'Main Kitchen'!P125+'F&amp;B Admin'!P123</f>
        <v>38</v>
      </c>
      <c r="Q205" s="166">
        <f>SUM(E205:P205)/12</f>
        <v>38.5</v>
      </c>
      <c r="R205" s="167">
        <v>153.583333333333</v>
      </c>
      <c r="U205" s="157">
        <f>'[5]F&amp;B Summary-jacky'!$Q203</f>
        <v>169.08333333333334</v>
      </c>
      <c r="V205" s="40">
        <f>-IF(Q205-U205=0,0,(Q205-U205)/U205)</f>
        <v>0.77230162641695421</v>
      </c>
    </row>
    <row r="206" spans="1:22" ht="26.25" customHeight="1">
      <c r="U206" s="148"/>
    </row>
    <row r="207" spans="1:22" ht="26.25" customHeight="1">
      <c r="J207" s="7"/>
      <c r="K207" s="7"/>
      <c r="L207" s="7"/>
      <c r="M207" s="7"/>
      <c r="N207" s="7"/>
      <c r="O207" s="7"/>
      <c r="P207" s="7"/>
    </row>
  </sheetData>
  <phoneticPr fontId="57" type="noConversion"/>
  <dataValidations count="77">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3150.84_x000d__x000a_" sqref="E47:P47">
      <formula1>0</formula1>
      <formula2>300</formula2>
    </dataValidation>
    <dataValidation type="textLength" errorStyle="information" allowBlank="1" showInputMessage="1" showErrorMessage="1" error="XLBVal:6=8858273_x000d__x000a_" sqref="Q17">
      <formula1>0</formula1>
      <formula2>300</formula2>
    </dataValidation>
    <dataValidation type="textLength" errorStyle="information" allowBlank="1" showInputMessage="1" showErrorMessage="1" error="XLBVal:6=13695725_x000d__x000a_" sqref="Q15">
      <formula1>0</formula1>
      <formula2>300</formula2>
    </dataValidation>
    <dataValidation type="textLength" errorStyle="information" allowBlank="1" showInputMessage="1" showErrorMessage="1" error="XLBVal:6=44987.9_x000d__x000a_" sqref="E31:P31">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1067901.23_x000d__x000a_" sqref="E59:P59">
      <formula1>0</formula1>
      <formula2>300</formula2>
    </dataValidation>
    <dataValidation type="textLength" errorStyle="information" allowBlank="1" showInputMessage="1" showErrorMessage="1" error="XLBVal:5=-331377.43_x000d__x000a_" sqref="I29">
      <formula1>0</formula1>
      <formula2>300</formula2>
    </dataValidation>
    <dataValidation type="textLength" errorStyle="information" allowBlank="1" showInputMessage="1" showErrorMessage="1" error="XLBVal:6=125750_x000d__x000a_" sqref="Q22">
      <formula1>0</formula1>
      <formula2>300</formula2>
    </dataValidation>
    <dataValidation type="textLength" errorStyle="information" allowBlank="1" showInputMessage="1" showErrorMessage="1" error="XLBVal:6=623590.56_x000d__x000a_" sqref="E14:P14">
      <formula1>0</formula1>
      <formula2>300</formula2>
    </dataValidation>
    <dataValidation type="textLength" errorStyle="information" allowBlank="1" showInputMessage="1" showErrorMessage="1" error="XLBVal:6=13068710_x000d__x000a_" sqref="Q18">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6=28034847_x000d__x000a_" sqref="Q14">
      <formula1>0</formula1>
      <formula2>300</formula2>
    </dataValidation>
    <dataValidation type="textLength" errorStyle="information" allowBlank="1" showInputMessage="1" showErrorMessage="1" error="XLBVal:6=694785.13_x000d__x000a_" sqref="E53:P53">
      <formula1>0</formula1>
      <formula2>300</formula2>
    </dataValidation>
    <dataValidation type="textLength" errorStyle="information" allowBlank="1" showInputMessage="1" showErrorMessage="1" error="XLBVal:6=8814300_x000d__x000a_" sqref="Q16">
      <formula1>0</formula1>
      <formula2>300</formula2>
    </dataValidation>
    <dataValidation type="textLength" errorStyle="information" allowBlank="1" showInputMessage="1" showErrorMessage="1" error="XLBVal:6=2065340_x000d__x000a_" sqref="Q19">
      <formula1>0</formula1>
      <formula2>300</formula2>
    </dataValidation>
    <dataValidation type="textLength" errorStyle="information" allowBlank="1" showInputMessage="1" showErrorMessage="1" error="XLBVal:6=530000_x000d__x000a_" sqref="Q46">
      <formula1>0</formula1>
      <formula2>300</formula2>
    </dataValidation>
    <dataValidation type="textLength" errorStyle="information" allowBlank="1" showInputMessage="1" showErrorMessage="1" error="XLBVal:6=1179080_x000d__x000a_" sqref="Q20">
      <formula1>0</formula1>
      <formula2>300</formula2>
    </dataValidation>
    <dataValidation type="textLength" errorStyle="information" allowBlank="1" showInputMessage="1" showErrorMessage="1" error="XLBVal:6=645_x000d__x000a_" sqref="E147:P147">
      <formula1>0</formula1>
      <formula2>300</formula2>
    </dataValidation>
    <dataValidation type="textLength" errorStyle="information" allowBlank="1" showInputMessage="1" showErrorMessage="1" error="XLBVal:6=1228913_x000d__x000a_" sqref="Q21">
      <formula1>0</formula1>
      <formula2>300</formula2>
    </dataValidation>
    <dataValidation type="textLength" errorStyle="information" allowBlank="1" showInputMessage="1" showErrorMessage="1" error="XLBVal:6=442064_x000d__x000a_" sqref="Q23">
      <formula1>0</formula1>
      <formula2>300</formula2>
    </dataValidation>
    <dataValidation type="textLength" errorStyle="information" allowBlank="1" showInputMessage="1" showErrorMessage="1" error="XLBVal:6=4423_x000d__x000a_" sqref="E134:P134">
      <formula1>0</formula1>
      <formula2>300</formula2>
    </dataValidation>
    <dataValidation type="textLength" errorStyle="information" allowBlank="1" showInputMessage="1" showErrorMessage="1" error="XLBVal:2=0_x000d__x000a_" sqref="E24:Q24 Q33 E42:Q42 R46 Q47:R47 E56:P56 E58:G58 R59 E130:R130 E148:R148 E171:Q171 P192:Q192 E205:P205 R205 E185:O192 P185:P191 Q55:Q56 R14:R26 R33:R44 R48:R49 R53:R56 R171:R173 R185:R192 Q134:R147 E15:P23 E33:P41 Q62:R129 E195:R201 E172:P173 E137:P145 R176:R182 Q30:R32 Q12:R13 E176:P182">
      <formula1>0</formula1>
      <formula2>300</formula2>
    </dataValidation>
    <dataValidation type="textLength" errorStyle="information" allowBlank="1" showInputMessage="1" showErrorMessage="1" error="XLBVal:6=21065.12_x000d__x000a_" sqref="E54:P54">
      <formula1>0</formula1>
      <formula2>300</formula2>
    </dataValidation>
    <dataValidation type="textLength" errorStyle="information" allowBlank="1" showInputMessage="1" showErrorMessage="1" error="XLBVal:6=108609.64_x000d__x000a_" sqref="E25:P25">
      <formula1>0</formula1>
      <formula2>300</formula2>
    </dataValidation>
    <dataValidation type="textLength" errorStyle="information" allowBlank="1" showInputMessage="1" showErrorMessage="1" error="XLBVal:6=1156536_x000d__x000a_" sqref="Q186">
      <formula1>0</formula1>
      <formula2>300</formula2>
    </dataValidation>
    <dataValidation type="textLength" errorStyle="information" allowBlank="1" showInputMessage="1" showErrorMessage="1" error="XLBVal:6=25196619_x000d__x000a_" sqref="Q53">
      <formula1>0</formula1>
      <formula2>300</formula2>
    </dataValidation>
    <dataValidation type="textLength" errorStyle="information" allowBlank="1" showInputMessage="1" showErrorMessage="1" error="XLBVal:6=1941581_x000d__x000a_" sqref="Q25">
      <formula1>0</formula1>
      <formula2>300</formula2>
    </dataValidation>
    <dataValidation type="textLength" errorStyle="information" allowBlank="1" showInputMessage="1" showErrorMessage="1" sqref="E149:I149 F166:I166 F167:R167 E204:P204 F168:I170 H194:I194 F151:R165 E151:E170">
      <formula1>0</formula1>
      <formula2>300</formula2>
    </dataValidation>
    <dataValidation type="textLength" errorStyle="information" allowBlank="1" showInputMessage="1" showErrorMessage="1" error="XLBVal:6=314032.39_x000d__x000a_" sqref="E26:P26">
      <formula1>0</formula1>
      <formula2>300</formula2>
    </dataValidation>
    <dataValidation type="textLength" errorStyle="information" allowBlank="1" showInputMessage="1" showErrorMessage="1" error="XLBVal:6=2660698_x000d__x000a_" sqref="Q185">
      <formula1>0</formula1>
      <formula2>300</formula2>
    </dataValidation>
    <dataValidation type="textLength" errorStyle="information" allowBlank="1" showInputMessage="1" showErrorMessage="1" error="XLBVal:6=24659.36_x000d__x000a_" sqref="E32:P32">
      <formula1>0</formula1>
      <formula2>300</formula2>
    </dataValidation>
    <dataValidation type="textLength" errorStyle="information" allowBlank="1" showInputMessage="1" showErrorMessage="1" error="XLBVal:6=4127380_x000d__x000a_" sqref="Q26">
      <formula1>0</formula1>
      <formula2>300</formula2>
    </dataValidation>
    <dataValidation type="textLength" errorStyle="information" allowBlank="1" showInputMessage="1" showErrorMessage="1" error="XLBVal:6=761_x000d__x000a_" sqref="E146:P146">
      <formula1>0</formula1>
      <formula2>300</formula2>
    </dataValidation>
    <dataValidation type="textLength" errorStyle="information" allowBlank="1" showInputMessage="1" showErrorMessage="1" error="XLBVal:5=1285238.57_x000d__x000a_" sqref="F27:R27 F28:P28 H29 E45:R45 E57:R57 E27:E29">
      <formula1>0</formula1>
      <formula2>300</formula2>
    </dataValidation>
    <dataValidation type="textLength" errorStyle="information" allowBlank="1" showInputMessage="1" showErrorMessage="1" error="XLBVal:5=0_x000d__x000a_" sqref="F29 H58 F51:F52">
      <formula1>0</formula1>
      <formula2>300</formula2>
    </dataValidation>
    <dataValidation type="textLength" errorStyle="information" allowBlank="1" showInputMessage="1" showErrorMessage="1" error="XLBVal:6=495000_x000d__x000a_" sqref="Q40">
      <formula1>0</formula1>
      <formula2>300</formula2>
    </dataValidation>
    <dataValidation type="textLength" errorStyle="information" allowBlank="1" showInputMessage="1" showErrorMessage="1" error="XLBVal:5=1616616_x000d__x000a_" sqref="G29">
      <formula1>0</formula1>
      <formula2>300</formula2>
    </dataValidation>
    <dataValidation type="textLength" errorStyle="information" allowBlank="1" showInputMessage="1" showErrorMessage="1" error="XLBVal:6=3973_x000d__x000a_" sqref="E135:P135">
      <formula1>0</formula1>
      <formula2>300</formula2>
    </dataValidation>
    <dataValidation type="textLength" errorStyle="information" allowBlank="1" showInputMessage="1" showErrorMessage="1" error="XLBVal:6=8849.95_x000d__x000a_" sqref="E43:P43">
      <formula1>0</formula1>
      <formula2>300</formula2>
    </dataValidation>
    <dataValidation type="textLength" errorStyle="information" allowBlank="1" showInputMessage="1" showErrorMessage="1" error="XLBVal:6=7235.47_x000d__x000a_" sqref="E30:P30">
      <formula1>0</formula1>
      <formula2>300</formula2>
    </dataValidation>
    <dataValidation type="textLength" errorStyle="information" allowBlank="1" showInputMessage="1" showErrorMessage="1" error="XLBVal:6=3797.66_x000d__x000a_" sqref="E55:P55">
      <formula1>0</formula1>
      <formula2>300</formula2>
    </dataValidation>
    <dataValidation type="textLength" errorStyle="information" allowBlank="1" showInputMessage="1" showErrorMessage="1" error="XLBVal:6=976708_x000d__x000a_" sqref="Q54">
      <formula1>0</formula1>
      <formula2>300</formula2>
    </dataValidation>
    <dataValidation type="textLength" errorStyle="information" allowBlank="1" showInputMessage="1" showErrorMessage="1" error="XLBVal:6=120000_x000d__x000a_" sqref="Q38">
      <formula1>0</formula1>
      <formula2>300</formula2>
    </dataValidation>
    <dataValidation type="textLength" errorStyle="information" allowBlank="1" showInputMessage="1" showErrorMessage="1" error="XLBVal:6=31000_x000d__x000a_" sqref="Q37">
      <formula1>0</formula1>
      <formula2>300</formula2>
    </dataValidation>
    <dataValidation type="textLength" errorStyle="information" allowBlank="1" showInputMessage="1" showErrorMessage="1" error="XLBVal:6=527000_x000d__x000a_" sqref="Q34">
      <formula1>0</formula1>
      <formula2>300</formula2>
    </dataValidation>
    <dataValidation type="textLength" errorStyle="information" allowBlank="1" showInputMessage="1" showErrorMessage="1" error="XLBVal:6=3239.86_x000d__x000a_" sqref="E132:R132">
      <formula1>0</formula1>
      <formula2>300</formula2>
    </dataValidation>
    <dataValidation type="textLength" errorStyle="information" allowBlank="1" showInputMessage="1" showErrorMessage="1" error="XLBVal:6=477300_x000d__x000a_" sqref="Q35">
      <formula1>0</formula1>
      <formula2>300</formula2>
    </dataValidation>
    <dataValidation type="textLength" errorStyle="information" allowBlank="1" showInputMessage="1" showErrorMessage="1" error="XLBVal:6=999000_x000d__x000a_" sqref="Q36">
      <formula1>0</formula1>
      <formula2>300</formula2>
    </dataValidation>
    <dataValidation type="textLength" errorStyle="information" allowBlank="1" showInputMessage="1" showErrorMessage="1" error="XLBVal:6=1250000_x000d__x000a_" sqref="Q39">
      <formula1>0</formula1>
      <formula2>300</formula2>
    </dataValidation>
    <dataValidation type="textLength" errorStyle="information" allowBlank="1" showInputMessage="1" showErrorMessage="1" error="XLBVal:6=322000_x000d__x000a_" sqref="Q41">
      <formula1>0</formula1>
      <formula2>300</formula2>
    </dataValidation>
    <dataValidation type="textLength" errorStyle="information" allowBlank="1" showInputMessage="1" showErrorMessage="1" error="XLBVal:6=3678_x000d__x000a_" sqref="E194:G194">
      <formula1>0</formula1>
      <formula2>300</formula2>
    </dataValidation>
    <dataValidation type="textLength" errorStyle="information" allowBlank="1" showInputMessage="1" showErrorMessage="1" error="XLBVal:6=325000_x000d__x000a_" sqref="Q43">
      <formula1>0</formula1>
      <formula2>300</formula2>
    </dataValidation>
    <dataValidation type="textLength" errorStyle="information" allowBlank="1" showInputMessage="1" showErrorMessage="1" error="XLBVal:6=400326_x000d__x000a_" sqref="Q44">
      <formula1>0</formula1>
      <formula2>300</formula2>
    </dataValidation>
    <dataValidation type="textLength" errorStyle="information" allowBlank="1" showInputMessage="1" showErrorMessage="1" error="XLBVal:6=8627.81_x000d__x000a_" sqref="E44:P44">
      <formula1>0</formula1>
      <formula2>300</formula2>
    </dataValidation>
    <dataValidation type="textLength" errorStyle="information" allowBlank="1" showInputMessage="1" showErrorMessage="1" error="XLBVal:6=135079.02_x000d__x000a_" sqref="E46:P46">
      <formula1>0</formula1>
      <formula2>300</formula2>
    </dataValidation>
    <dataValidation type="textLength" errorStyle="information" allowBlank="1" showInputMessage="1" showErrorMessage="1" error="XLBVal:6=58036_x000d__x000a_" sqref="Q188">
      <formula1>0</formula1>
      <formula2>300</formula2>
    </dataValidation>
    <dataValidation type="textLength" errorStyle="information" allowBlank="1" showInputMessage="1" showErrorMessage="1" error="XLBVal:5=15426.66_x000d__x000a_" sqref="I58">
      <formula1>0</formula1>
      <formula2>300</formula2>
    </dataValidation>
    <dataValidation type="textLength" errorStyle="information" allowBlank="1" showInputMessage="1" showErrorMessage="1" error="XLBVal:6=603500_x000d__x000a_" sqref="Q48">
      <formula1>0</formula1>
      <formula2>300</formula2>
    </dataValidation>
    <dataValidation type="textLength" errorStyle="information" allowBlank="1" showInputMessage="1" showErrorMessage="1" error="XLBVal:6=2215012_x000d__x000a_" sqref="Q49">
      <formula1>0</formula1>
      <formula2>300</formula2>
    </dataValidation>
    <dataValidation type="textLength" errorStyle="information" allowBlank="1" showInputMessage="1" showErrorMessage="1" error="XLBVal:6=202115.08_x000d__x000a_" sqref="E50:R50">
      <formula1>0</formula1>
      <formula2>300</formula2>
    </dataValidation>
    <dataValidation type="textLength" errorStyle="information" allowBlank="1" showInputMessage="1" showErrorMessage="1" error="XLBVal:6=674288_x000d__x000a_" sqref="Q190">
      <formula1>0</formula1>
      <formula2>300</formula2>
    </dataValidation>
    <dataValidation type="textLength" errorStyle="information" allowBlank="1" showInputMessage="1" showErrorMessage="1" error="XLBVal:6=30983026_x000d__x000a_" sqref="Q59">
      <formula1>0</formula1>
      <formula2>300</formula2>
    </dataValidation>
    <dataValidation type="textLength" errorStyle="information" allowBlank="1" showInputMessage="1" showErrorMessage="1" error="XLBVal:6=0_x000d__x000a_" sqref="E131:R131">
      <formula1>0</formula1>
      <formula2>300</formula2>
    </dataValidation>
    <dataValidation type="textLength" errorStyle="information" allowBlank="1" showInputMessage="1" showErrorMessage="1" error="XLBVal:6=699_x000d__x000a_" sqref="E136:P136">
      <formula1>0</formula1>
      <formula2>300</formula2>
    </dataValidation>
    <dataValidation type="textLength" errorStyle="information" allowBlank="1" showInputMessage="1" showErrorMessage="1" error="XLBVal:6=10357878_x000d__x000a_" sqref="Q172">
      <formula1>0</formula1>
      <formula2>300</formula2>
    </dataValidation>
    <dataValidation type="textLength" errorStyle="information" allowBlank="1" showInputMessage="1" showErrorMessage="1" error="XLBVal:6=4775842_x000d__x000a_" sqref="Q173">
      <formula1>0</formula1>
      <formula2>300</formula2>
    </dataValidation>
    <dataValidation type="textLength" errorStyle="information" allowBlank="1" showInputMessage="1" showErrorMessage="1" error="XLBVal:6=72410_x000d__x000a_" sqref="Q187 Q189">
      <formula1>0</formula1>
      <formula2>300</formula2>
    </dataValidation>
    <dataValidation type="textLength" errorStyle="information" allowBlank="1" showInputMessage="1" showErrorMessage="1" error="XLBVal:6=466100_x000d__x000a_" sqref="Q191">
      <formula1>0</formula1>
      <formula2>300</formula2>
    </dataValidation>
    <dataValidation type="textLength" errorStyle="information" allowBlank="1" showInputMessage="1" showErrorMessage="1" error="XLBVal:6=3780_x000d__x000a_" sqref="Q205">
      <formula1>0</formula1>
      <formula2>300</formula2>
    </dataValidation>
    <dataValidation type="textLength" errorStyle="information" allowBlank="1" showInputMessage="1" showErrorMessage="1" error="XLBVal:5=2443234.73_x000d__x000a_" sqref="E51:E52 H51:H52">
      <formula1>0</formula1>
      <formula2>300</formula2>
    </dataValidation>
    <dataValidation type="textLength" errorStyle="information" allowBlank="1" showInputMessage="1" showErrorMessage="1" error="XLBVal:6=6688509.16_x000d__x000a_" sqref="E61:P61">
      <formula1>0</formula1>
      <formula2>300</formula2>
    </dataValidation>
    <dataValidation type="textLength" errorStyle="information" allowBlank="1" showInputMessage="1" showErrorMessage="1" error="XLBVal:5=3384188.86_x000d__x000a_" sqref="G51:G52">
      <formula1>0</formula1>
      <formula2>300</formula2>
    </dataValidation>
    <dataValidation type="textLength" errorStyle="information" allowBlank="1" showInputMessage="1" showErrorMessage="1" error="XLBVal:6=995082_x000d__x000a_" sqref="Q176:Q182">
      <formula1>0</formula1>
      <formula2>300</formula2>
    </dataValidation>
    <dataValidation type="textLength" errorStyle="information" allowBlank="1" showInputMessage="1" showErrorMessage="1" error="XLBVal:5=-279047.98_x000d__x000a_" sqref="I51:P52">
      <formula1>0</formula1>
      <formula2>300</formula2>
    </dataValidation>
    <dataValidation type="textLength" errorStyle="information" allowBlank="1" showInputMessage="1" showErrorMessage="1" error="XLBVal:6=38233.14_x000d__x000a_" sqref="E48:P49">
      <formula1>0</formula1>
      <formula2>300</formula2>
    </dataValidation>
    <dataValidation type="textLength" errorStyle="information" allowBlank="1" showInputMessage="1" showErrorMessage="1" error="XLBVal:6=113580_x000d__x000a_" sqref="E62:P129">
      <formula1>0</formula1>
      <formula2>300</formula2>
    </dataValidation>
  </dataValidations>
  <printOptions horizontalCentered="1"/>
  <pageMargins left="0.118110236220472" right="0.118110236220472" top="0.59055118110236204" bottom="0.39370078740157499" header="0" footer="0"/>
  <pageSetup paperSize="9" scale="36" fitToHeight="0" orientation="landscape" r:id="rId1"/>
  <headerFooter>
    <oddFooter>&amp;L&amp;"微软雅黑,Regular"&amp;F&amp;C&amp;"微软雅黑,Regular"Page &amp;P of &amp;N&amp;R&amp;"微软雅黑,Regular"&amp;D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sheetPr>
  <dimension ref="A1:U163"/>
  <sheetViews>
    <sheetView topLeftCell="D1" zoomScale="50" zoomScaleNormal="50" zoomScaleSheetLayoutView="40" workbookViewId="0">
      <pane ySplit="10" topLeftCell="A145" activePane="bottomLeft" state="frozen"/>
      <selection pane="bottomLeft" activeCell="F165" sqref="F165"/>
    </sheetView>
  </sheetViews>
  <sheetFormatPr defaultColWidth="8.875" defaultRowHeight="26.25" customHeight="1" outlineLevelRow="1" outlineLevelCol="1"/>
  <cols>
    <col min="1" max="3" width="15.5" style="5" hidden="1" customWidth="1" outlineLevel="1"/>
    <col min="4" max="4" width="95.5" style="6" customWidth="1" collapsed="1"/>
    <col min="5" max="5" width="19.875" style="7" customWidth="1"/>
    <col min="6" max="6" width="21.125" style="7" customWidth="1"/>
    <col min="7" max="9" width="19.875" style="7" customWidth="1"/>
    <col min="10" max="11" width="19.875" style="148" customWidth="1"/>
    <col min="12" max="12" width="19.875" style="5" customWidth="1"/>
    <col min="13" max="13" width="22.5" style="148" customWidth="1"/>
    <col min="14" max="15" width="20.875" style="148" customWidth="1"/>
    <col min="16" max="16" width="21.125" style="148" customWidth="1"/>
    <col min="17" max="17" width="36.5" style="148" customWidth="1"/>
    <col min="18" max="18" width="18.5" style="148" customWidth="1"/>
    <col min="19" max="19" width="8.875" style="148"/>
    <col min="20" max="20" width="22.5" style="149" customWidth="1"/>
    <col min="21" max="21" width="22.5" style="175" customWidth="1"/>
    <col min="22" max="16384" width="8.875" style="148"/>
  </cols>
  <sheetData>
    <row r="1" spans="1:21" s="1" customFormat="1" ht="15" customHeight="1" outlineLevel="1">
      <c r="E1" s="9"/>
      <c r="F1" s="9"/>
      <c r="G1" s="9"/>
      <c r="H1" s="9"/>
      <c r="I1" s="9"/>
      <c r="J1" s="9"/>
      <c r="K1" s="9"/>
      <c r="L1" s="9"/>
      <c r="M1" s="9"/>
      <c r="N1" s="9"/>
      <c r="O1" s="9"/>
      <c r="P1" s="9"/>
      <c r="Q1" s="9"/>
      <c r="R1" s="9"/>
      <c r="T1" s="32"/>
      <c r="U1" s="176"/>
    </row>
    <row r="2" spans="1:21" s="1" customFormat="1" ht="15" customHeight="1" outlineLevel="1">
      <c r="E2" s="9"/>
      <c r="F2" s="9"/>
      <c r="G2" s="9"/>
      <c r="H2" s="9"/>
      <c r="I2" s="9"/>
      <c r="J2" s="9"/>
      <c r="K2" s="9"/>
      <c r="L2" s="9"/>
      <c r="M2" s="9"/>
      <c r="N2" s="9"/>
      <c r="O2" s="9"/>
      <c r="P2" s="9"/>
      <c r="Q2" s="9"/>
      <c r="R2" s="9"/>
      <c r="T2" s="32"/>
      <c r="U2" s="176"/>
    </row>
    <row r="3" spans="1:21" s="1" customFormat="1" ht="15" customHeight="1" outlineLevel="1">
      <c r="E3" s="9"/>
      <c r="F3" s="9"/>
      <c r="G3" s="9"/>
      <c r="H3" s="9"/>
      <c r="I3" s="9"/>
      <c r="J3" s="9"/>
      <c r="K3" s="9"/>
      <c r="L3" s="9"/>
      <c r="M3" s="9"/>
      <c r="N3" s="9"/>
      <c r="O3" s="9"/>
      <c r="P3" s="9"/>
      <c r="Q3" s="9"/>
      <c r="R3" s="9"/>
      <c r="T3" s="32"/>
      <c r="U3" s="176"/>
    </row>
    <row r="4" spans="1:21" s="147" customFormat="1" ht="24.95" customHeight="1">
      <c r="D4" s="10" t="str">
        <f>Summary!$D$4</f>
        <v>Hotel Budget Report</v>
      </c>
      <c r="E4" s="150"/>
      <c r="F4" s="150"/>
      <c r="G4" s="151"/>
      <c r="H4" s="152"/>
      <c r="I4" s="152"/>
      <c r="L4" s="2"/>
      <c r="T4" s="156"/>
      <c r="U4" s="177"/>
    </row>
    <row r="5" spans="1:21" s="147" customFormat="1" ht="24.95" customHeight="1">
      <c r="D5" s="10" t="str">
        <f>Summary!$D$5</f>
        <v>酒店预算报表</v>
      </c>
      <c r="E5" s="150"/>
      <c r="F5" s="150"/>
      <c r="G5" s="151"/>
      <c r="H5" s="152"/>
      <c r="I5" s="152"/>
      <c r="L5" s="2"/>
      <c r="T5" s="156"/>
      <c r="U5" s="177"/>
    </row>
    <row r="6" spans="1:21" s="147" customFormat="1" ht="24.95" customHeight="1">
      <c r="D6" s="10" t="s">
        <v>451</v>
      </c>
      <c r="E6" s="152"/>
      <c r="F6" s="152"/>
      <c r="G6" s="152"/>
      <c r="H6" s="152"/>
      <c r="I6" s="152"/>
      <c r="L6" s="2"/>
      <c r="T6" s="156"/>
      <c r="U6" s="177"/>
    </row>
    <row r="7" spans="1:21" s="147" customFormat="1" ht="24.95" customHeight="1">
      <c r="D7" s="15" t="str">
        <f>Summary!D7</f>
        <v>2025</v>
      </c>
      <c r="E7" s="152"/>
      <c r="F7" s="152"/>
      <c r="G7" s="152"/>
      <c r="H7" s="152"/>
      <c r="I7" s="152"/>
      <c r="L7" s="2"/>
      <c r="T7" s="156"/>
      <c r="U7" s="177"/>
    </row>
    <row r="8" spans="1:21" ht="24.95" customHeight="1">
      <c r="A8" s="148"/>
      <c r="B8" s="148"/>
      <c r="C8" s="148"/>
      <c r="D8" s="153"/>
      <c r="E8" s="154"/>
      <c r="F8" s="154"/>
      <c r="G8" s="154"/>
      <c r="H8" s="154"/>
      <c r="I8" s="154"/>
    </row>
    <row r="9" spans="1:21"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T9" s="157"/>
      <c r="U9" s="40"/>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T10" s="36" t="s">
        <v>24</v>
      </c>
      <c r="U10" s="37" t="s">
        <v>25</v>
      </c>
    </row>
    <row r="11" spans="1:21" s="84" customFormat="1" ht="24.95" customHeight="1">
      <c r="A11" s="3"/>
      <c r="B11" s="3"/>
      <c r="C11" s="3"/>
      <c r="D11" s="21" t="s">
        <v>378</v>
      </c>
      <c r="E11" s="76"/>
      <c r="F11" s="76"/>
      <c r="G11" s="76"/>
      <c r="H11" s="77"/>
      <c r="I11" s="77"/>
      <c r="J11" s="3"/>
      <c r="K11" s="155"/>
      <c r="L11" s="155"/>
      <c r="M11" s="155"/>
      <c r="T11" s="157"/>
      <c r="U11" s="40"/>
    </row>
    <row r="12" spans="1:21" s="84" customFormat="1" ht="24.95" customHeight="1">
      <c r="A12" s="50" t="s">
        <v>452</v>
      </c>
      <c r="B12" s="3" t="s">
        <v>380</v>
      </c>
      <c r="C12" s="3"/>
      <c r="D12" s="26" t="s">
        <v>453</v>
      </c>
      <c r="E12" s="155"/>
      <c r="F12" s="155"/>
      <c r="G12" s="155"/>
      <c r="H12" s="155"/>
      <c r="I12" s="155"/>
      <c r="J12" s="155"/>
      <c r="K12" s="155"/>
      <c r="L12" s="155"/>
      <c r="M12" s="155"/>
      <c r="N12" s="155"/>
      <c r="O12" s="155"/>
      <c r="P12" s="155"/>
      <c r="Q12" s="155">
        <f>SUM(E12:P12)</f>
        <v>0</v>
      </c>
      <c r="R12" s="155"/>
      <c r="T12" s="157"/>
      <c r="U12" s="40">
        <f>IF(Q12-T12=0,0,(Q12-T12)/T12)</f>
        <v>0</v>
      </c>
    </row>
    <row r="13" spans="1:21" s="84" customFormat="1" ht="24.95" customHeight="1">
      <c r="A13" s="50" t="s">
        <v>454</v>
      </c>
      <c r="B13" s="3" t="s">
        <v>380</v>
      </c>
      <c r="C13" s="3"/>
      <c r="D13" s="26" t="s">
        <v>455</v>
      </c>
      <c r="E13" s="63"/>
      <c r="F13" s="63"/>
      <c r="G13" s="63"/>
      <c r="H13" s="63"/>
      <c r="I13" s="63"/>
      <c r="J13" s="63"/>
      <c r="K13" s="63"/>
      <c r="L13" s="63"/>
      <c r="M13" s="63"/>
      <c r="N13" s="63"/>
      <c r="O13" s="63"/>
      <c r="P13" s="63"/>
      <c r="Q13" s="155">
        <f t="shared" ref="Q13:Q16" si="0">SUM(E13:P13)</f>
        <v>0</v>
      </c>
      <c r="R13" s="155"/>
      <c r="T13" s="157"/>
      <c r="U13" s="40">
        <f t="shared" ref="U13:U17" si="1">IF(Q13-T13=0,0,(Q13-T13)/T13)</f>
        <v>0</v>
      </c>
    </row>
    <row r="14" spans="1:21" s="84" customFormat="1" ht="24.95" customHeight="1">
      <c r="A14" s="50" t="s">
        <v>456</v>
      </c>
      <c r="B14" s="3" t="s">
        <v>380</v>
      </c>
      <c r="C14" s="3"/>
      <c r="D14" s="26" t="s">
        <v>457</v>
      </c>
      <c r="E14" s="63"/>
      <c r="F14" s="63"/>
      <c r="G14" s="63"/>
      <c r="H14" s="63"/>
      <c r="I14" s="63"/>
      <c r="J14" s="63"/>
      <c r="K14" s="63"/>
      <c r="L14" s="63"/>
      <c r="M14" s="63"/>
      <c r="N14" s="63"/>
      <c r="O14" s="63"/>
      <c r="P14" s="63"/>
      <c r="Q14" s="155">
        <f t="shared" si="0"/>
        <v>0</v>
      </c>
      <c r="R14" s="155"/>
      <c r="T14" s="157"/>
      <c r="U14" s="40">
        <f t="shared" si="1"/>
        <v>0</v>
      </c>
    </row>
    <row r="15" spans="1:21" s="84" customFormat="1" ht="24.95" customHeight="1">
      <c r="A15" s="50" t="s">
        <v>458</v>
      </c>
      <c r="B15" s="3" t="s">
        <v>380</v>
      </c>
      <c r="C15" s="3"/>
      <c r="D15" s="26" t="s">
        <v>459</v>
      </c>
      <c r="E15" s="63"/>
      <c r="F15" s="63"/>
      <c r="G15" s="63"/>
      <c r="H15" s="63"/>
      <c r="I15" s="63"/>
      <c r="J15" s="63"/>
      <c r="K15" s="63"/>
      <c r="L15" s="63"/>
      <c r="M15" s="63"/>
      <c r="N15" s="63"/>
      <c r="O15" s="63"/>
      <c r="P15" s="63"/>
      <c r="Q15" s="155">
        <f t="shared" si="0"/>
        <v>0</v>
      </c>
      <c r="R15" s="155"/>
      <c r="T15" s="157"/>
      <c r="U15" s="40">
        <f t="shared" si="1"/>
        <v>0</v>
      </c>
    </row>
    <row r="16" spans="1:21" s="84" customFormat="1" ht="24.95" customHeight="1">
      <c r="A16" s="50" t="s">
        <v>460</v>
      </c>
      <c r="B16" s="3" t="s">
        <v>380</v>
      </c>
      <c r="C16" s="3"/>
      <c r="D16" s="26" t="s">
        <v>461</v>
      </c>
      <c r="E16" s="63">
        <v>0</v>
      </c>
      <c r="F16" s="63">
        <v>0</v>
      </c>
      <c r="G16" s="63">
        <v>0</v>
      </c>
      <c r="H16" s="63">
        <v>0</v>
      </c>
      <c r="I16" s="63">
        <v>0</v>
      </c>
      <c r="J16" s="63">
        <v>0</v>
      </c>
      <c r="K16" s="63">
        <v>0</v>
      </c>
      <c r="L16" s="63">
        <v>0</v>
      </c>
      <c r="M16" s="63">
        <v>0</v>
      </c>
      <c r="N16" s="63">
        <v>0</v>
      </c>
      <c r="O16" s="63">
        <v>0</v>
      </c>
      <c r="P16" s="63">
        <v>0</v>
      </c>
      <c r="Q16" s="142">
        <f t="shared" si="0"/>
        <v>0</v>
      </c>
      <c r="R16" s="142"/>
      <c r="T16" s="157"/>
      <c r="U16" s="40"/>
    </row>
    <row r="17" spans="1:21" s="84" customFormat="1" ht="24.95" customHeight="1">
      <c r="A17" s="3"/>
      <c r="B17" s="3"/>
      <c r="C17" s="3"/>
      <c r="D17" s="21" t="s">
        <v>409</v>
      </c>
      <c r="E17" s="45">
        <f>SUM(E12:E16)</f>
        <v>0</v>
      </c>
      <c r="F17" s="45">
        <f t="shared" ref="F17:Q17" si="2">SUM(F12:F16)</f>
        <v>0</v>
      </c>
      <c r="G17" s="45">
        <f t="shared" si="2"/>
        <v>0</v>
      </c>
      <c r="H17" s="45">
        <f t="shared" si="2"/>
        <v>0</v>
      </c>
      <c r="I17" s="45">
        <f t="shared" si="2"/>
        <v>0</v>
      </c>
      <c r="J17" s="45">
        <f t="shared" si="2"/>
        <v>0</v>
      </c>
      <c r="K17" s="45">
        <f t="shared" si="2"/>
        <v>0</v>
      </c>
      <c r="L17" s="45">
        <f t="shared" si="2"/>
        <v>0</v>
      </c>
      <c r="M17" s="45">
        <f t="shared" si="2"/>
        <v>0</v>
      </c>
      <c r="N17" s="45">
        <f t="shared" si="2"/>
        <v>0</v>
      </c>
      <c r="O17" s="45">
        <f t="shared" si="2"/>
        <v>0</v>
      </c>
      <c r="P17" s="45">
        <f t="shared" si="2"/>
        <v>0</v>
      </c>
      <c r="Q17" s="45">
        <f t="shared" si="2"/>
        <v>0</v>
      </c>
      <c r="R17" s="45"/>
      <c r="T17" s="157"/>
      <c r="U17" s="40">
        <f t="shared" si="1"/>
        <v>0</v>
      </c>
    </row>
    <row r="18" spans="1:21" s="84" customFormat="1" ht="24.95" customHeight="1">
      <c r="A18" s="3"/>
      <c r="B18" s="3"/>
      <c r="C18" s="3"/>
      <c r="D18" s="26"/>
      <c r="E18" s="113"/>
      <c r="F18" s="24"/>
      <c r="G18" s="113"/>
      <c r="H18" s="113"/>
      <c r="I18" s="113"/>
      <c r="J18" s="113"/>
      <c r="K18" s="113"/>
      <c r="L18" s="113"/>
      <c r="T18" s="157"/>
      <c r="U18" s="40"/>
    </row>
    <row r="19" spans="1:21" s="84" customFormat="1" ht="24.95" customHeight="1">
      <c r="A19" s="3"/>
      <c r="B19" s="3"/>
      <c r="C19" s="3"/>
      <c r="D19" s="21" t="s">
        <v>410</v>
      </c>
      <c r="E19" s="113"/>
      <c r="F19" s="63"/>
      <c r="G19" s="63"/>
      <c r="H19" s="63"/>
      <c r="I19" s="63"/>
      <c r="J19" s="63"/>
      <c r="K19" s="63"/>
      <c r="L19" s="63"/>
      <c r="T19" s="157"/>
      <c r="U19" s="40"/>
    </row>
    <row r="20" spans="1:21" s="84" customFormat="1" ht="24.95" customHeight="1">
      <c r="A20" s="50" t="s">
        <v>462</v>
      </c>
      <c r="B20" s="3" t="s">
        <v>380</v>
      </c>
      <c r="C20" s="3"/>
      <c r="D20" s="26" t="s">
        <v>453</v>
      </c>
      <c r="E20" s="63">
        <v>0</v>
      </c>
      <c r="F20" s="63">
        <v>0</v>
      </c>
      <c r="G20" s="63">
        <v>0</v>
      </c>
      <c r="H20" s="63">
        <v>0</v>
      </c>
      <c r="I20" s="63">
        <v>0</v>
      </c>
      <c r="J20" s="63">
        <v>0</v>
      </c>
      <c r="K20" s="63">
        <v>0</v>
      </c>
      <c r="L20" s="63">
        <v>0</v>
      </c>
      <c r="M20" s="63">
        <v>0</v>
      </c>
      <c r="N20" s="63">
        <v>0</v>
      </c>
      <c r="O20" s="63">
        <v>0</v>
      </c>
      <c r="P20" s="63">
        <v>0</v>
      </c>
      <c r="Q20" s="142">
        <f>SUM(E20:P20)</f>
        <v>0</v>
      </c>
      <c r="R20" s="142"/>
      <c r="T20" s="157"/>
      <c r="U20" s="40">
        <f>IF(T20&lt;&gt;0,(Q20-T20)/T20,1)</f>
        <v>1</v>
      </c>
    </row>
    <row r="21" spans="1:21" s="84" customFormat="1" ht="24.95" customHeight="1">
      <c r="A21" s="50" t="s">
        <v>463</v>
      </c>
      <c r="B21" s="3" t="s">
        <v>380</v>
      </c>
      <c r="C21" s="3"/>
      <c r="D21" s="26" t="s">
        <v>455</v>
      </c>
      <c r="E21" s="63"/>
      <c r="F21" s="63"/>
      <c r="G21" s="63"/>
      <c r="H21" s="63"/>
      <c r="I21" s="63"/>
      <c r="J21" s="63"/>
      <c r="K21" s="63"/>
      <c r="L21" s="63"/>
      <c r="M21" s="63"/>
      <c r="N21" s="63"/>
      <c r="O21" s="63"/>
      <c r="P21" s="63"/>
      <c r="Q21" s="142">
        <f>SUM(E21:P21)</f>
        <v>0</v>
      </c>
      <c r="R21" s="142"/>
      <c r="T21" s="157"/>
      <c r="U21" s="40">
        <f t="shared" ref="U21:U28" si="3">IF(Q21-T21=0,0,(Q21-T21)/T21)</f>
        <v>0</v>
      </c>
    </row>
    <row r="22" spans="1:21" s="84" customFormat="1" ht="24.95" customHeight="1">
      <c r="A22" s="50" t="s">
        <v>464</v>
      </c>
      <c r="B22" s="3" t="s">
        <v>380</v>
      </c>
      <c r="C22" s="3"/>
      <c r="D22" s="26" t="s">
        <v>457</v>
      </c>
      <c r="E22" s="63"/>
      <c r="F22" s="63"/>
      <c r="G22" s="63"/>
      <c r="H22" s="63"/>
      <c r="I22" s="63"/>
      <c r="J22" s="63"/>
      <c r="K22" s="63"/>
      <c r="L22" s="63"/>
      <c r="M22" s="63"/>
      <c r="N22" s="63"/>
      <c r="O22" s="63"/>
      <c r="P22" s="63"/>
      <c r="Q22" s="142">
        <f>SUM(E22:P22)</f>
        <v>0</v>
      </c>
      <c r="R22" s="142"/>
      <c r="T22" s="157"/>
      <c r="U22" s="40">
        <f t="shared" si="3"/>
        <v>0</v>
      </c>
    </row>
    <row r="23" spans="1:21" s="84" customFormat="1" ht="24.95" customHeight="1">
      <c r="A23" s="50" t="s">
        <v>465</v>
      </c>
      <c r="B23" s="3" t="s">
        <v>380</v>
      </c>
      <c r="C23" s="3"/>
      <c r="D23" s="26" t="s">
        <v>459</v>
      </c>
      <c r="E23" s="63"/>
      <c r="F23" s="63"/>
      <c r="G23" s="63"/>
      <c r="H23" s="63"/>
      <c r="I23" s="63"/>
      <c r="J23" s="63"/>
      <c r="K23" s="63"/>
      <c r="L23" s="63"/>
      <c r="M23" s="63"/>
      <c r="N23" s="63"/>
      <c r="O23" s="63"/>
      <c r="P23" s="63"/>
      <c r="Q23" s="142">
        <f>SUM(E23:P23)</f>
        <v>0</v>
      </c>
      <c r="R23" s="142"/>
      <c r="T23" s="157"/>
      <c r="U23" s="40">
        <f t="shared" si="3"/>
        <v>0</v>
      </c>
    </row>
    <row r="24" spans="1:21" s="84" customFormat="1" ht="24.95" customHeight="1">
      <c r="A24" s="50" t="s">
        <v>466</v>
      </c>
      <c r="B24" s="3" t="s">
        <v>380</v>
      </c>
      <c r="C24" s="3"/>
      <c r="D24" s="26" t="s">
        <v>461</v>
      </c>
      <c r="E24" s="63">
        <v>0</v>
      </c>
      <c r="F24" s="63">
        <v>0</v>
      </c>
      <c r="G24" s="63">
        <v>0</v>
      </c>
      <c r="H24" s="63">
        <v>0</v>
      </c>
      <c r="I24" s="63">
        <v>0</v>
      </c>
      <c r="J24" s="63">
        <v>0</v>
      </c>
      <c r="K24" s="63">
        <v>0</v>
      </c>
      <c r="L24" s="63">
        <v>0</v>
      </c>
      <c r="M24" s="63">
        <v>0</v>
      </c>
      <c r="N24" s="63">
        <v>0</v>
      </c>
      <c r="O24" s="63">
        <v>0</v>
      </c>
      <c r="P24" s="63">
        <v>0</v>
      </c>
      <c r="Q24" s="142">
        <f>SUM(E24:P24)</f>
        <v>0</v>
      </c>
      <c r="R24" s="142"/>
      <c r="T24" s="157"/>
      <c r="U24" s="40"/>
    </row>
    <row r="25" spans="1:21" s="84" customFormat="1" ht="24.95" customHeight="1">
      <c r="A25" s="3"/>
      <c r="B25" s="3"/>
      <c r="C25" s="3"/>
      <c r="D25" s="21" t="s">
        <v>413</v>
      </c>
      <c r="E25" s="45">
        <f>SUM(E20:E24)</f>
        <v>0</v>
      </c>
      <c r="F25" s="45">
        <f t="shared" ref="F25:Q25" si="4">SUM(F20:F24)</f>
        <v>0</v>
      </c>
      <c r="G25" s="45">
        <f t="shared" si="4"/>
        <v>0</v>
      </c>
      <c r="H25" s="45">
        <f t="shared" si="4"/>
        <v>0</v>
      </c>
      <c r="I25" s="45">
        <f t="shared" si="4"/>
        <v>0</v>
      </c>
      <c r="J25" s="45">
        <f t="shared" si="4"/>
        <v>0</v>
      </c>
      <c r="K25" s="45">
        <f t="shared" si="4"/>
        <v>0</v>
      </c>
      <c r="L25" s="45">
        <f t="shared" si="4"/>
        <v>0</v>
      </c>
      <c r="M25" s="45">
        <f t="shared" si="4"/>
        <v>0</v>
      </c>
      <c r="N25" s="45">
        <f t="shared" si="4"/>
        <v>0</v>
      </c>
      <c r="O25" s="45">
        <f t="shared" si="4"/>
        <v>0</v>
      </c>
      <c r="P25" s="45">
        <f t="shared" si="4"/>
        <v>0</v>
      </c>
      <c r="Q25" s="45">
        <f t="shared" si="4"/>
        <v>0</v>
      </c>
      <c r="R25" s="45"/>
      <c r="T25" s="157"/>
      <c r="U25" s="40">
        <f t="shared" si="3"/>
        <v>0</v>
      </c>
    </row>
    <row r="26" spans="1:21" s="84" customFormat="1" ht="24.95" customHeight="1">
      <c r="A26" s="50" t="s">
        <v>419</v>
      </c>
      <c r="B26" s="3" t="s">
        <v>380</v>
      </c>
      <c r="C26" s="3"/>
      <c r="D26" s="26" t="s">
        <v>420</v>
      </c>
      <c r="E26" s="63"/>
      <c r="F26" s="63"/>
      <c r="G26" s="63"/>
      <c r="H26" s="63"/>
      <c r="I26" s="63"/>
      <c r="J26" s="63">
        <v>0</v>
      </c>
      <c r="K26" s="63">
        <v>0</v>
      </c>
      <c r="L26" s="63">
        <v>0</v>
      </c>
      <c r="M26" s="63">
        <v>0</v>
      </c>
      <c r="N26" s="63">
        <v>0</v>
      </c>
      <c r="O26" s="63">
        <v>0</v>
      </c>
      <c r="P26" s="63">
        <v>0</v>
      </c>
      <c r="Q26" s="142">
        <f>SUM(E26:P26)</f>
        <v>0</v>
      </c>
      <c r="R26" s="142"/>
      <c r="T26" s="157"/>
      <c r="U26" s="40">
        <f t="shared" si="3"/>
        <v>0</v>
      </c>
    </row>
    <row r="27" spans="1:21" s="84" customFormat="1" ht="24.95" customHeight="1">
      <c r="A27" s="50" t="s">
        <v>126</v>
      </c>
      <c r="B27" s="3" t="s">
        <v>380</v>
      </c>
      <c r="C27" s="3"/>
      <c r="D27" s="26" t="s">
        <v>421</v>
      </c>
      <c r="E27" s="63">
        <f>+(E17+E25)*0.1</f>
        <v>0</v>
      </c>
      <c r="F27" s="63">
        <f t="shared" ref="F27:P27" si="5">+(F17+F25)*0.1</f>
        <v>0</v>
      </c>
      <c r="G27" s="63">
        <f t="shared" si="5"/>
        <v>0</v>
      </c>
      <c r="H27" s="63">
        <f t="shared" si="5"/>
        <v>0</v>
      </c>
      <c r="I27" s="63">
        <f t="shared" si="5"/>
        <v>0</v>
      </c>
      <c r="J27" s="63">
        <f t="shared" si="5"/>
        <v>0</v>
      </c>
      <c r="K27" s="63">
        <f t="shared" si="5"/>
        <v>0</v>
      </c>
      <c r="L27" s="63">
        <f t="shared" si="5"/>
        <v>0</v>
      </c>
      <c r="M27" s="63">
        <f t="shared" si="5"/>
        <v>0</v>
      </c>
      <c r="N27" s="63">
        <f t="shared" si="5"/>
        <v>0</v>
      </c>
      <c r="O27" s="63">
        <f t="shared" si="5"/>
        <v>0</v>
      </c>
      <c r="P27" s="63">
        <f t="shared" si="5"/>
        <v>0</v>
      </c>
      <c r="Q27" s="142">
        <f>SUM(E27:P27)</f>
        <v>0</v>
      </c>
      <c r="R27" s="142"/>
      <c r="T27" s="157"/>
      <c r="U27" s="40">
        <f t="shared" si="3"/>
        <v>0</v>
      </c>
    </row>
    <row r="28" spans="1:21" s="84" customFormat="1" ht="24.95" customHeight="1">
      <c r="A28" s="50"/>
      <c r="B28" s="3"/>
      <c r="C28" s="3"/>
      <c r="D28" s="21" t="s">
        <v>422</v>
      </c>
      <c r="E28" s="45">
        <f>E17+E25+E26+E27</f>
        <v>0</v>
      </c>
      <c r="F28" s="45">
        <f t="shared" ref="F28:Q28" si="6">F17+F25+F26+F27</f>
        <v>0</v>
      </c>
      <c r="G28" s="45">
        <f t="shared" si="6"/>
        <v>0</v>
      </c>
      <c r="H28" s="45">
        <f t="shared" si="6"/>
        <v>0</v>
      </c>
      <c r="I28" s="45">
        <f t="shared" si="6"/>
        <v>0</v>
      </c>
      <c r="J28" s="45">
        <f t="shared" si="6"/>
        <v>0</v>
      </c>
      <c r="K28" s="45">
        <f t="shared" si="6"/>
        <v>0</v>
      </c>
      <c r="L28" s="45">
        <f t="shared" si="6"/>
        <v>0</v>
      </c>
      <c r="M28" s="45">
        <f t="shared" si="6"/>
        <v>0</v>
      </c>
      <c r="N28" s="45">
        <f t="shared" si="6"/>
        <v>0</v>
      </c>
      <c r="O28" s="45">
        <f t="shared" si="6"/>
        <v>0</v>
      </c>
      <c r="P28" s="45">
        <f t="shared" si="6"/>
        <v>0</v>
      </c>
      <c r="Q28" s="45">
        <f t="shared" si="6"/>
        <v>0</v>
      </c>
      <c r="R28" s="45"/>
      <c r="T28" s="157"/>
      <c r="U28" s="40">
        <f t="shared" si="3"/>
        <v>0</v>
      </c>
    </row>
    <row r="29" spans="1:21" s="84" customFormat="1" ht="24.95" customHeight="1">
      <c r="A29" s="50"/>
      <c r="B29" s="3"/>
      <c r="C29" s="3"/>
      <c r="D29" s="26"/>
      <c r="E29" s="63"/>
      <c r="F29" s="63"/>
      <c r="G29" s="63"/>
      <c r="H29" s="63"/>
      <c r="I29" s="63"/>
      <c r="J29" s="63"/>
      <c r="K29" s="63"/>
      <c r="L29" s="63"/>
      <c r="T29" s="157"/>
      <c r="U29" s="40"/>
    </row>
    <row r="30" spans="1:21" s="84" customFormat="1" ht="24.95" customHeight="1">
      <c r="A30" s="50"/>
      <c r="B30" s="3"/>
      <c r="C30" s="3"/>
      <c r="D30" s="21" t="s">
        <v>423</v>
      </c>
      <c r="E30" s="63"/>
      <c r="F30" s="63"/>
      <c r="G30" s="63"/>
      <c r="H30" s="63"/>
      <c r="I30" s="63"/>
      <c r="J30" s="63"/>
      <c r="K30" s="63"/>
      <c r="L30" s="63"/>
      <c r="T30" s="157"/>
      <c r="U30" s="40"/>
    </row>
    <row r="31" spans="1:21" s="84" customFormat="1" ht="24.95" customHeight="1">
      <c r="A31" s="50" t="s">
        <v>424</v>
      </c>
      <c r="B31" s="3" t="s">
        <v>380</v>
      </c>
      <c r="C31" s="3"/>
      <c r="D31" s="26" t="s">
        <v>425</v>
      </c>
      <c r="E31" s="63">
        <f>E17*34%</f>
        <v>0</v>
      </c>
      <c r="F31" s="63">
        <f>F17*34.1%</f>
        <v>0</v>
      </c>
      <c r="G31" s="63">
        <f>G17*33.9%</f>
        <v>0</v>
      </c>
      <c r="H31" s="63">
        <f>H17*32.9%</f>
        <v>0</v>
      </c>
      <c r="I31" s="63">
        <f>I17*34.3%</f>
        <v>0</v>
      </c>
      <c r="J31" s="63">
        <f>J17*33.4%</f>
        <v>0</v>
      </c>
      <c r="K31" s="63">
        <f>K17*33%</f>
        <v>0</v>
      </c>
      <c r="L31" s="63">
        <f>L17*33.66%</f>
        <v>0</v>
      </c>
      <c r="M31" s="63">
        <f>M17*34%</f>
        <v>0</v>
      </c>
      <c r="N31" s="63">
        <f>N17*33.7%</f>
        <v>0</v>
      </c>
      <c r="O31" s="63">
        <f>O17*33.5%</f>
        <v>0</v>
      </c>
      <c r="P31" s="63">
        <f>P17*34.3%</f>
        <v>0</v>
      </c>
      <c r="Q31" s="142">
        <f>SUM(E31:P31)</f>
        <v>0</v>
      </c>
      <c r="R31" s="168" t="e">
        <f>Q31/Q17</f>
        <v>#DIV/0!</v>
      </c>
      <c r="T31" s="157"/>
      <c r="U31" s="40">
        <f>-IF(Q31-T31=0,0,(Q31-T31)/T31)</f>
        <v>0</v>
      </c>
    </row>
    <row r="32" spans="1:21" s="84" customFormat="1" ht="24.95" customHeight="1">
      <c r="A32" s="3" t="s">
        <v>426</v>
      </c>
      <c r="B32" s="3" t="s">
        <v>380</v>
      </c>
      <c r="C32" s="3"/>
      <c r="D32" s="26" t="s">
        <v>427</v>
      </c>
      <c r="E32" s="63">
        <f>E25*22%</f>
        <v>0</v>
      </c>
      <c r="F32" s="63">
        <f>F25*19.5%</f>
        <v>0</v>
      </c>
      <c r="G32" s="63">
        <f>G25*19.5%</f>
        <v>0</v>
      </c>
      <c r="H32" s="63">
        <f>H25*18%</f>
        <v>0</v>
      </c>
      <c r="I32" s="63">
        <f>I25*18%</f>
        <v>0</v>
      </c>
      <c r="J32" s="63">
        <f>J25*18%</f>
        <v>0</v>
      </c>
      <c r="K32" s="63">
        <f>K25*20%</f>
        <v>0</v>
      </c>
      <c r="L32" s="63">
        <f>L25*20%</f>
        <v>0</v>
      </c>
      <c r="M32" s="63">
        <f>M25*18%</f>
        <v>0</v>
      </c>
      <c r="N32" s="63">
        <f>N25*18%</f>
        <v>0</v>
      </c>
      <c r="O32" s="63">
        <f>O25*18.5%</f>
        <v>0</v>
      </c>
      <c r="P32" s="63">
        <f>P25*20%</f>
        <v>0</v>
      </c>
      <c r="Q32" s="142">
        <f>SUM(E32:P32)</f>
        <v>0</v>
      </c>
      <c r="R32" s="168" t="e">
        <f>Q32/Q25</f>
        <v>#DIV/0!</v>
      </c>
      <c r="T32" s="157"/>
      <c r="U32" s="40">
        <f t="shared" ref="U32:U34" si="7">-IF(Q32-T32=0,0,(Q32-T32)/T32)</f>
        <v>0</v>
      </c>
    </row>
    <row r="33" spans="1:21" s="84" customFormat="1" ht="24.95" customHeight="1">
      <c r="A33" s="3" t="s">
        <v>467</v>
      </c>
      <c r="B33" s="3" t="s">
        <v>380</v>
      </c>
      <c r="C33" s="3"/>
      <c r="D33" s="26" t="s">
        <v>431</v>
      </c>
      <c r="E33" s="63"/>
      <c r="F33" s="63"/>
      <c r="G33" s="63"/>
      <c r="H33" s="63"/>
      <c r="I33" s="63"/>
      <c r="J33" s="63"/>
      <c r="K33" s="63"/>
      <c r="L33" s="63"/>
      <c r="M33" s="27">
        <v>0</v>
      </c>
      <c r="N33" s="27">
        <v>0</v>
      </c>
      <c r="O33" s="27">
        <v>0</v>
      </c>
      <c r="P33" s="27">
        <v>0</v>
      </c>
      <c r="Q33" s="142">
        <f>SUM(E33:P33)</f>
        <v>0</v>
      </c>
      <c r="R33" s="168" t="e">
        <f>Q33/Q26</f>
        <v>#DIV/0!</v>
      </c>
      <c r="T33" s="157"/>
      <c r="U33" s="40">
        <f t="shared" si="7"/>
        <v>0</v>
      </c>
    </row>
    <row r="34" spans="1:21" s="84" customFormat="1" ht="24.95" customHeight="1">
      <c r="A34" s="3"/>
      <c r="B34" s="3"/>
      <c r="C34" s="3"/>
      <c r="D34" s="21" t="s">
        <v>432</v>
      </c>
      <c r="E34" s="45">
        <f>+SUM(E31:E33)</f>
        <v>0</v>
      </c>
      <c r="F34" s="45">
        <f t="shared" ref="F34:P34" si="8">+SUM(F31:F33)</f>
        <v>0</v>
      </c>
      <c r="G34" s="45">
        <f t="shared" si="8"/>
        <v>0</v>
      </c>
      <c r="H34" s="45">
        <f t="shared" si="8"/>
        <v>0</v>
      </c>
      <c r="I34" s="45">
        <f t="shared" si="8"/>
        <v>0</v>
      </c>
      <c r="J34" s="45">
        <f t="shared" si="8"/>
        <v>0</v>
      </c>
      <c r="K34" s="45">
        <f t="shared" si="8"/>
        <v>0</v>
      </c>
      <c r="L34" s="45">
        <f t="shared" si="8"/>
        <v>0</v>
      </c>
      <c r="M34" s="45">
        <f t="shared" si="8"/>
        <v>0</v>
      </c>
      <c r="N34" s="45">
        <f t="shared" si="8"/>
        <v>0</v>
      </c>
      <c r="O34" s="45">
        <f t="shared" si="8"/>
        <v>0</v>
      </c>
      <c r="P34" s="45">
        <f t="shared" si="8"/>
        <v>0</v>
      </c>
      <c r="Q34" s="45">
        <f>SUM(Q31:Q33)</f>
        <v>0</v>
      </c>
      <c r="R34" s="158" t="e">
        <f>Q34/$Q$28</f>
        <v>#DIV/0!</v>
      </c>
      <c r="T34" s="157"/>
      <c r="U34" s="40">
        <f t="shared" si="7"/>
        <v>0</v>
      </c>
    </row>
    <row r="35" spans="1:21" s="84" customFormat="1" ht="24.95" customHeight="1">
      <c r="A35" s="3"/>
      <c r="B35" s="3"/>
      <c r="C35" s="3"/>
      <c r="D35" s="26"/>
      <c r="E35" s="63"/>
      <c r="F35" s="63"/>
      <c r="G35" s="63"/>
      <c r="H35" s="63"/>
      <c r="I35" s="63"/>
      <c r="J35" s="63"/>
      <c r="K35" s="63"/>
      <c r="L35" s="63"/>
      <c r="Q35" s="159"/>
      <c r="T35" s="157"/>
      <c r="U35" s="40"/>
    </row>
    <row r="36" spans="1:21" s="84" customFormat="1" ht="24.95" customHeight="1">
      <c r="A36" s="3" t="s">
        <v>103</v>
      </c>
      <c r="B36" s="3" t="s">
        <v>380</v>
      </c>
      <c r="C36" s="3"/>
      <c r="D36" s="21" t="s">
        <v>137</v>
      </c>
      <c r="E36" s="45">
        <f>+E161</f>
        <v>0</v>
      </c>
      <c r="F36" s="45">
        <f t="shared" ref="F36:P36" si="9">+F161</f>
        <v>0</v>
      </c>
      <c r="G36" s="45">
        <f t="shared" si="9"/>
        <v>0</v>
      </c>
      <c r="H36" s="45">
        <f t="shared" si="9"/>
        <v>0</v>
      </c>
      <c r="I36" s="45">
        <f t="shared" si="9"/>
        <v>0</v>
      </c>
      <c r="J36" s="45">
        <f t="shared" si="9"/>
        <v>0</v>
      </c>
      <c r="K36" s="45">
        <f t="shared" si="9"/>
        <v>0</v>
      </c>
      <c r="L36" s="45">
        <f t="shared" si="9"/>
        <v>0</v>
      </c>
      <c r="M36" s="45">
        <f t="shared" si="9"/>
        <v>0</v>
      </c>
      <c r="N36" s="45">
        <f t="shared" si="9"/>
        <v>0</v>
      </c>
      <c r="O36" s="45">
        <f t="shared" si="9"/>
        <v>0</v>
      </c>
      <c r="P36" s="45">
        <f t="shared" si="9"/>
        <v>0</v>
      </c>
      <c r="Q36" s="45">
        <f>SUM(E36:P36)</f>
        <v>0</v>
      </c>
      <c r="R36" s="158" t="e">
        <f>Q36/$Q$28</f>
        <v>#DIV/0!</v>
      </c>
      <c r="T36" s="157"/>
      <c r="U36" s="40">
        <f>-IF(Q36-T36=0,0,(Q36-T36)/T36)</f>
        <v>0</v>
      </c>
    </row>
    <row r="37" spans="1:21" s="84" customFormat="1" ht="24.95" customHeight="1">
      <c r="A37" s="3"/>
      <c r="B37" s="3"/>
      <c r="C37" s="3"/>
      <c r="D37" s="26"/>
      <c r="E37" s="63"/>
      <c r="F37" s="63"/>
      <c r="G37" s="63"/>
      <c r="H37" s="63"/>
      <c r="I37" s="63"/>
      <c r="J37" s="63"/>
      <c r="K37" s="63"/>
      <c r="L37" s="63"/>
      <c r="T37" s="157"/>
      <c r="U37" s="40"/>
    </row>
    <row r="38" spans="1:21" s="84" customFormat="1" ht="24.95" customHeight="1">
      <c r="A38" s="3"/>
      <c r="B38" s="3"/>
      <c r="C38" s="3"/>
      <c r="D38" s="21" t="s">
        <v>138</v>
      </c>
      <c r="E38" s="63"/>
      <c r="F38" s="63"/>
      <c r="G38" s="63"/>
      <c r="H38" s="63"/>
      <c r="I38" s="63"/>
      <c r="J38" s="63"/>
      <c r="K38" s="63"/>
      <c r="L38" s="63"/>
      <c r="R38" s="34" t="s">
        <v>433</v>
      </c>
      <c r="T38" s="157"/>
      <c r="U38" s="40"/>
    </row>
    <row r="39" spans="1:21" s="84" customFormat="1" ht="24.95" hidden="1" customHeight="1">
      <c r="A39" s="3" t="s">
        <v>140</v>
      </c>
      <c r="B39" s="3" t="s">
        <v>380</v>
      </c>
      <c r="C39" s="3"/>
      <c r="D39" s="26" t="s">
        <v>141</v>
      </c>
      <c r="E39" s="63">
        <v>0</v>
      </c>
      <c r="F39" s="63">
        <v>0</v>
      </c>
      <c r="G39" s="63">
        <v>0</v>
      </c>
      <c r="H39" s="63">
        <v>0</v>
      </c>
      <c r="I39" s="63">
        <v>0</v>
      </c>
      <c r="J39" s="63">
        <v>0</v>
      </c>
      <c r="K39" s="63">
        <v>0</v>
      </c>
      <c r="L39" s="63">
        <v>0</v>
      </c>
      <c r="M39" s="63">
        <v>0</v>
      </c>
      <c r="N39" s="63">
        <v>0</v>
      </c>
      <c r="O39" s="63">
        <v>0</v>
      </c>
      <c r="P39" s="63">
        <v>0</v>
      </c>
      <c r="Q39" s="142">
        <f>SUM(E39:P39)</f>
        <v>0</v>
      </c>
      <c r="R39" s="142" t="e">
        <f>Q39/$Q$117</f>
        <v>#DIV/0!</v>
      </c>
      <c r="T39" s="157"/>
      <c r="U39" s="40">
        <f t="shared" ref="U39:U46" si="10">IF(T39&lt;&gt;0,(Q39-T39)/T39,1)</f>
        <v>1</v>
      </c>
    </row>
    <row r="40" spans="1:21" s="84" customFormat="1" ht="24.95" hidden="1" customHeight="1">
      <c r="A40" s="3" t="s">
        <v>142</v>
      </c>
      <c r="B40" s="3" t="s">
        <v>380</v>
      </c>
      <c r="C40" s="3"/>
      <c r="D40" s="26" t="s">
        <v>143</v>
      </c>
      <c r="E40" s="63">
        <v>0</v>
      </c>
      <c r="F40" s="63">
        <v>0</v>
      </c>
      <c r="G40" s="63">
        <v>0</v>
      </c>
      <c r="H40" s="63">
        <v>0</v>
      </c>
      <c r="I40" s="63">
        <v>0</v>
      </c>
      <c r="J40" s="63">
        <v>0</v>
      </c>
      <c r="K40" s="63">
        <v>0</v>
      </c>
      <c r="L40" s="63">
        <v>0</v>
      </c>
      <c r="M40" s="63">
        <v>0</v>
      </c>
      <c r="N40" s="63">
        <v>0</v>
      </c>
      <c r="O40" s="63">
        <v>0</v>
      </c>
      <c r="P40" s="63">
        <v>0</v>
      </c>
      <c r="Q40" s="142">
        <f t="shared" ref="Q40:Q103" si="11">SUM(E40:P40)</f>
        <v>0</v>
      </c>
      <c r="R40" s="142" t="e">
        <f t="shared" ref="R40:R103" si="12">Q40/$Q$117</f>
        <v>#DIV/0!</v>
      </c>
      <c r="T40" s="157"/>
      <c r="U40" s="40">
        <f t="shared" si="10"/>
        <v>1</v>
      </c>
    </row>
    <row r="41" spans="1:21" s="84" customFormat="1" ht="24.95" hidden="1" customHeight="1">
      <c r="A41" s="3" t="s">
        <v>144</v>
      </c>
      <c r="B41" s="3" t="s">
        <v>380</v>
      </c>
      <c r="C41" s="3"/>
      <c r="D41" s="26" t="s">
        <v>145</v>
      </c>
      <c r="E41" s="63">
        <v>0</v>
      </c>
      <c r="F41" s="63">
        <v>0</v>
      </c>
      <c r="G41" s="63">
        <v>0</v>
      </c>
      <c r="H41" s="63">
        <v>0</v>
      </c>
      <c r="I41" s="63">
        <v>0</v>
      </c>
      <c r="J41" s="63">
        <v>0</v>
      </c>
      <c r="K41" s="63">
        <v>0</v>
      </c>
      <c r="L41" s="63">
        <v>0</v>
      </c>
      <c r="M41" s="63">
        <v>0</v>
      </c>
      <c r="N41" s="63">
        <v>0</v>
      </c>
      <c r="O41" s="63">
        <v>0</v>
      </c>
      <c r="P41" s="63">
        <v>0</v>
      </c>
      <c r="Q41" s="142">
        <f t="shared" si="11"/>
        <v>0</v>
      </c>
      <c r="R41" s="142" t="e">
        <f t="shared" si="12"/>
        <v>#DIV/0!</v>
      </c>
      <c r="T41" s="157"/>
      <c r="U41" s="40">
        <f t="shared" si="10"/>
        <v>1</v>
      </c>
    </row>
    <row r="42" spans="1:21" s="84" customFormat="1" ht="24.95" hidden="1" customHeight="1">
      <c r="A42" s="3" t="s">
        <v>146</v>
      </c>
      <c r="B42" s="3" t="s">
        <v>380</v>
      </c>
      <c r="C42" s="3"/>
      <c r="D42" s="26" t="s">
        <v>147</v>
      </c>
      <c r="E42" s="63">
        <v>0</v>
      </c>
      <c r="F42" s="63">
        <v>0</v>
      </c>
      <c r="G42" s="63">
        <v>0</v>
      </c>
      <c r="H42" s="63">
        <v>0</v>
      </c>
      <c r="I42" s="63">
        <v>0</v>
      </c>
      <c r="J42" s="63">
        <v>0</v>
      </c>
      <c r="K42" s="63">
        <v>0</v>
      </c>
      <c r="L42" s="63">
        <v>0</v>
      </c>
      <c r="M42" s="63">
        <v>0</v>
      </c>
      <c r="N42" s="63">
        <v>0</v>
      </c>
      <c r="O42" s="63">
        <v>0</v>
      </c>
      <c r="P42" s="63">
        <v>0</v>
      </c>
      <c r="Q42" s="142">
        <f t="shared" si="11"/>
        <v>0</v>
      </c>
      <c r="R42" s="142" t="e">
        <f t="shared" si="12"/>
        <v>#DIV/0!</v>
      </c>
      <c r="T42" s="157"/>
      <c r="U42" s="40">
        <f t="shared" si="10"/>
        <v>1</v>
      </c>
    </row>
    <row r="43" spans="1:21" s="84" customFormat="1" ht="24.95" hidden="1" customHeight="1">
      <c r="A43" s="3" t="s">
        <v>148</v>
      </c>
      <c r="B43" s="3" t="s">
        <v>380</v>
      </c>
      <c r="C43" s="3"/>
      <c r="D43" s="26" t="s">
        <v>149</v>
      </c>
      <c r="E43" s="63">
        <v>0</v>
      </c>
      <c r="F43" s="63">
        <v>0</v>
      </c>
      <c r="G43" s="63">
        <v>0</v>
      </c>
      <c r="H43" s="63">
        <v>0</v>
      </c>
      <c r="I43" s="63">
        <v>0</v>
      </c>
      <c r="J43" s="63">
        <v>0</v>
      </c>
      <c r="K43" s="63">
        <v>0</v>
      </c>
      <c r="L43" s="63">
        <v>0</v>
      </c>
      <c r="M43" s="63">
        <v>0</v>
      </c>
      <c r="N43" s="63">
        <v>0</v>
      </c>
      <c r="O43" s="63">
        <v>0</v>
      </c>
      <c r="P43" s="63">
        <v>0</v>
      </c>
      <c r="Q43" s="142">
        <f t="shared" si="11"/>
        <v>0</v>
      </c>
      <c r="R43" s="142" t="e">
        <f t="shared" si="12"/>
        <v>#DIV/0!</v>
      </c>
      <c r="T43" s="157"/>
      <c r="U43" s="40">
        <f t="shared" si="10"/>
        <v>1</v>
      </c>
    </row>
    <row r="44" spans="1:21" s="84" customFormat="1" ht="24.95" hidden="1" customHeight="1">
      <c r="A44" s="3" t="s">
        <v>150</v>
      </c>
      <c r="B44" s="3" t="s">
        <v>380</v>
      </c>
      <c r="C44" s="3"/>
      <c r="D44" s="26" t="s">
        <v>151</v>
      </c>
      <c r="E44" s="63">
        <v>0</v>
      </c>
      <c r="F44" s="63">
        <v>0</v>
      </c>
      <c r="G44" s="63">
        <v>0</v>
      </c>
      <c r="H44" s="63">
        <v>0</v>
      </c>
      <c r="I44" s="63">
        <v>0</v>
      </c>
      <c r="J44" s="63">
        <v>0</v>
      </c>
      <c r="K44" s="63">
        <v>0</v>
      </c>
      <c r="L44" s="63">
        <v>0</v>
      </c>
      <c r="M44" s="63">
        <v>0</v>
      </c>
      <c r="N44" s="63">
        <v>0</v>
      </c>
      <c r="O44" s="63">
        <v>0</v>
      </c>
      <c r="P44" s="63">
        <v>0</v>
      </c>
      <c r="Q44" s="142">
        <f t="shared" si="11"/>
        <v>0</v>
      </c>
      <c r="R44" s="142" t="e">
        <f t="shared" si="12"/>
        <v>#DIV/0!</v>
      </c>
      <c r="T44" s="157"/>
      <c r="U44" s="40">
        <f t="shared" si="10"/>
        <v>1</v>
      </c>
    </row>
    <row r="45" spans="1:21" s="84" customFormat="1" ht="24.95" hidden="1" customHeight="1">
      <c r="A45" s="3" t="s">
        <v>152</v>
      </c>
      <c r="B45" s="3" t="s">
        <v>380</v>
      </c>
      <c r="C45" s="3"/>
      <c r="D45" s="26" t="s">
        <v>153</v>
      </c>
      <c r="E45" s="63">
        <v>0</v>
      </c>
      <c r="F45" s="63">
        <v>0</v>
      </c>
      <c r="G45" s="63">
        <v>0</v>
      </c>
      <c r="H45" s="63">
        <v>0</v>
      </c>
      <c r="I45" s="63">
        <v>0</v>
      </c>
      <c r="J45" s="63">
        <v>0</v>
      </c>
      <c r="K45" s="63">
        <v>0</v>
      </c>
      <c r="L45" s="63">
        <v>0</v>
      </c>
      <c r="M45" s="63">
        <v>0</v>
      </c>
      <c r="N45" s="63">
        <v>0</v>
      </c>
      <c r="O45" s="63">
        <v>0</v>
      </c>
      <c r="P45" s="63">
        <v>0</v>
      </c>
      <c r="Q45" s="142">
        <f t="shared" si="11"/>
        <v>0</v>
      </c>
      <c r="R45" s="142" t="e">
        <f t="shared" si="12"/>
        <v>#DIV/0!</v>
      </c>
      <c r="T45" s="157"/>
      <c r="U45" s="40">
        <f t="shared" si="10"/>
        <v>1</v>
      </c>
    </row>
    <row r="46" spans="1:21" s="84" customFormat="1" ht="24.95" hidden="1" customHeight="1">
      <c r="A46" s="3" t="s">
        <v>154</v>
      </c>
      <c r="B46" s="3" t="s">
        <v>380</v>
      </c>
      <c r="C46" s="3"/>
      <c r="D46" s="26" t="s">
        <v>155</v>
      </c>
      <c r="E46" s="63">
        <v>0</v>
      </c>
      <c r="F46" s="63">
        <v>0</v>
      </c>
      <c r="G46" s="63">
        <v>0</v>
      </c>
      <c r="H46" s="63">
        <v>0</v>
      </c>
      <c r="I46" s="63">
        <v>0</v>
      </c>
      <c r="J46" s="63">
        <v>0</v>
      </c>
      <c r="K46" s="63">
        <v>0</v>
      </c>
      <c r="L46" s="63">
        <v>0</v>
      </c>
      <c r="M46" s="63">
        <v>0</v>
      </c>
      <c r="N46" s="63">
        <v>0</v>
      </c>
      <c r="O46" s="63">
        <v>0</v>
      </c>
      <c r="P46" s="63">
        <v>0</v>
      </c>
      <c r="Q46" s="142">
        <f t="shared" si="11"/>
        <v>0</v>
      </c>
      <c r="R46" s="142" t="e">
        <f t="shared" si="12"/>
        <v>#DIV/0!</v>
      </c>
      <c r="T46" s="157"/>
      <c r="U46" s="40">
        <f t="shared" si="10"/>
        <v>1</v>
      </c>
    </row>
    <row r="47" spans="1:21" s="84" customFormat="1" ht="24.95" customHeight="1">
      <c r="A47" s="3" t="s">
        <v>156</v>
      </c>
      <c r="B47" s="3" t="s">
        <v>380</v>
      </c>
      <c r="C47" s="3"/>
      <c r="D47" s="26" t="s">
        <v>157</v>
      </c>
      <c r="E47" s="63"/>
      <c r="F47" s="63"/>
      <c r="G47" s="63"/>
      <c r="H47" s="63"/>
      <c r="I47" s="63"/>
      <c r="J47" s="63"/>
      <c r="K47" s="63"/>
      <c r="L47" s="63"/>
      <c r="M47" s="63"/>
      <c r="N47" s="63"/>
      <c r="O47" s="63"/>
      <c r="P47" s="63"/>
      <c r="Q47" s="142">
        <f t="shared" si="11"/>
        <v>0</v>
      </c>
      <c r="R47" s="142" t="e">
        <f t="shared" si="12"/>
        <v>#DIV/0!</v>
      </c>
      <c r="T47" s="157"/>
      <c r="U47" s="40">
        <f>-IF(Q47-T47=0,0,(Q47-T47)/T47)</f>
        <v>0</v>
      </c>
    </row>
    <row r="48" spans="1:21" s="84" customFormat="1" ht="24.95" customHeight="1">
      <c r="A48" s="3" t="s">
        <v>158</v>
      </c>
      <c r="B48" s="3" t="s">
        <v>380</v>
      </c>
      <c r="C48" s="3"/>
      <c r="D48" s="26" t="s">
        <v>159</v>
      </c>
      <c r="E48" s="63"/>
      <c r="F48" s="63"/>
      <c r="G48" s="63"/>
      <c r="H48" s="63"/>
      <c r="I48" s="63"/>
      <c r="J48" s="63"/>
      <c r="K48" s="63"/>
      <c r="L48" s="63"/>
      <c r="M48" s="63"/>
      <c r="N48" s="63"/>
      <c r="O48" s="63"/>
      <c r="P48" s="63"/>
      <c r="Q48" s="142">
        <f t="shared" si="11"/>
        <v>0</v>
      </c>
      <c r="R48" s="142" t="e">
        <f t="shared" si="12"/>
        <v>#DIV/0!</v>
      </c>
      <c r="T48" s="157"/>
      <c r="U48" s="40">
        <f t="shared" ref="U48:U108" si="13">-IF(Q48-T48=0,0,(Q48-T48)/T48)</f>
        <v>0</v>
      </c>
    </row>
    <row r="49" spans="1:21" s="84" customFormat="1" ht="24.75" hidden="1" customHeight="1">
      <c r="A49" s="3" t="s">
        <v>160</v>
      </c>
      <c r="B49" s="3" t="s">
        <v>380</v>
      </c>
      <c r="C49" s="3"/>
      <c r="D49" s="26" t="s">
        <v>161</v>
      </c>
      <c r="E49" s="63"/>
      <c r="F49" s="63"/>
      <c r="G49" s="63"/>
      <c r="H49" s="63"/>
      <c r="I49" s="63"/>
      <c r="J49" s="63"/>
      <c r="K49" s="63"/>
      <c r="L49" s="63"/>
      <c r="M49" s="63"/>
      <c r="N49" s="63"/>
      <c r="O49" s="63"/>
      <c r="P49" s="63"/>
      <c r="Q49" s="142">
        <f t="shared" si="11"/>
        <v>0</v>
      </c>
      <c r="R49" s="142" t="e">
        <f t="shared" si="12"/>
        <v>#DIV/0!</v>
      </c>
      <c r="T49" s="157"/>
      <c r="U49" s="40">
        <f t="shared" si="13"/>
        <v>0</v>
      </c>
    </row>
    <row r="50" spans="1:21" s="84" customFormat="1" ht="24.95" customHeight="1">
      <c r="A50" s="3" t="s">
        <v>162</v>
      </c>
      <c r="B50" s="3" t="s">
        <v>380</v>
      </c>
      <c r="C50" s="3"/>
      <c r="D50" s="26" t="s">
        <v>163</v>
      </c>
      <c r="E50" s="63"/>
      <c r="F50" s="63"/>
      <c r="G50" s="63"/>
      <c r="H50" s="63"/>
      <c r="I50" s="63"/>
      <c r="J50" s="63"/>
      <c r="K50" s="63"/>
      <c r="L50" s="63"/>
      <c r="M50" s="63"/>
      <c r="N50" s="63"/>
      <c r="O50" s="63"/>
      <c r="P50" s="63"/>
      <c r="Q50" s="142">
        <f t="shared" si="11"/>
        <v>0</v>
      </c>
      <c r="R50" s="142" t="e">
        <f t="shared" si="12"/>
        <v>#DIV/0!</v>
      </c>
      <c r="T50" s="157"/>
      <c r="U50" s="40"/>
    </row>
    <row r="51" spans="1:21" s="84" customFormat="1" ht="24.75" hidden="1" customHeight="1">
      <c r="A51" s="3" t="s">
        <v>164</v>
      </c>
      <c r="B51" s="3" t="s">
        <v>380</v>
      </c>
      <c r="C51" s="3"/>
      <c r="D51" s="26" t="s">
        <v>165</v>
      </c>
      <c r="E51" s="63">
        <v>0</v>
      </c>
      <c r="F51" s="63">
        <v>0</v>
      </c>
      <c r="G51" s="63">
        <v>0</v>
      </c>
      <c r="H51" s="63">
        <v>0</v>
      </c>
      <c r="I51" s="63">
        <v>0</v>
      </c>
      <c r="J51" s="63">
        <v>0</v>
      </c>
      <c r="K51" s="63">
        <v>0</v>
      </c>
      <c r="L51" s="63">
        <v>0</v>
      </c>
      <c r="M51" s="63">
        <v>0</v>
      </c>
      <c r="N51" s="63">
        <v>0</v>
      </c>
      <c r="O51" s="63">
        <v>0</v>
      </c>
      <c r="P51" s="63">
        <v>0</v>
      </c>
      <c r="Q51" s="142">
        <f t="shared" si="11"/>
        <v>0</v>
      </c>
      <c r="R51" s="142" t="e">
        <f t="shared" si="12"/>
        <v>#DIV/0!</v>
      </c>
      <c r="T51" s="157"/>
      <c r="U51" s="40">
        <f t="shared" si="13"/>
        <v>0</v>
      </c>
    </row>
    <row r="52" spans="1:21" s="84" customFormat="1" ht="24.95" hidden="1" customHeight="1">
      <c r="A52" s="3" t="s">
        <v>166</v>
      </c>
      <c r="B52" s="3" t="s">
        <v>380</v>
      </c>
      <c r="C52" s="3"/>
      <c r="D52" s="26" t="s">
        <v>167</v>
      </c>
      <c r="E52" s="63">
        <v>0</v>
      </c>
      <c r="F52" s="63">
        <v>0</v>
      </c>
      <c r="G52" s="63">
        <v>0</v>
      </c>
      <c r="H52" s="63">
        <v>0</v>
      </c>
      <c r="I52" s="63">
        <v>0</v>
      </c>
      <c r="J52" s="63">
        <v>0</v>
      </c>
      <c r="K52" s="63">
        <v>0</v>
      </c>
      <c r="L52" s="63">
        <v>0</v>
      </c>
      <c r="M52" s="63">
        <v>0</v>
      </c>
      <c r="N52" s="63">
        <v>0</v>
      </c>
      <c r="O52" s="63">
        <v>0</v>
      </c>
      <c r="P52" s="63">
        <v>0</v>
      </c>
      <c r="Q52" s="142">
        <f t="shared" si="11"/>
        <v>0</v>
      </c>
      <c r="R52" s="142" t="e">
        <f t="shared" si="12"/>
        <v>#DIV/0!</v>
      </c>
      <c r="T52" s="157"/>
      <c r="U52" s="40">
        <f t="shared" si="13"/>
        <v>0</v>
      </c>
    </row>
    <row r="53" spans="1:21" s="84" customFormat="1" ht="24.95" hidden="1" customHeight="1">
      <c r="A53" s="3" t="s">
        <v>168</v>
      </c>
      <c r="B53" s="3" t="s">
        <v>380</v>
      </c>
      <c r="C53" s="3"/>
      <c r="D53" s="26" t="s">
        <v>169</v>
      </c>
      <c r="E53" s="63"/>
      <c r="F53" s="63"/>
      <c r="G53" s="63"/>
      <c r="H53" s="63"/>
      <c r="I53" s="63"/>
      <c r="J53" s="63"/>
      <c r="K53" s="63"/>
      <c r="L53" s="63"/>
      <c r="M53" s="63"/>
      <c r="N53" s="63"/>
      <c r="O53" s="63"/>
      <c r="P53" s="63"/>
      <c r="Q53" s="142">
        <f t="shared" si="11"/>
        <v>0</v>
      </c>
      <c r="R53" s="142" t="e">
        <f t="shared" si="12"/>
        <v>#DIV/0!</v>
      </c>
      <c r="T53" s="157"/>
      <c r="U53" s="40">
        <f t="shared" si="13"/>
        <v>0</v>
      </c>
    </row>
    <row r="54" spans="1:21" s="84" customFormat="1" ht="24.95" customHeight="1">
      <c r="A54" s="3" t="s">
        <v>170</v>
      </c>
      <c r="B54" s="3" t="s">
        <v>380</v>
      </c>
      <c r="C54" s="3"/>
      <c r="D54" s="26" t="s">
        <v>171</v>
      </c>
      <c r="E54" s="63">
        <f>E117*0.27</f>
        <v>0</v>
      </c>
      <c r="F54" s="63">
        <f t="shared" ref="F54:P54" si="14">F117*0.27</f>
        <v>0</v>
      </c>
      <c r="G54" s="63">
        <f t="shared" si="14"/>
        <v>0</v>
      </c>
      <c r="H54" s="63">
        <f t="shared" si="14"/>
        <v>0</v>
      </c>
      <c r="I54" s="63">
        <f t="shared" si="14"/>
        <v>0</v>
      </c>
      <c r="J54" s="63">
        <f t="shared" si="14"/>
        <v>0</v>
      </c>
      <c r="K54" s="63">
        <f t="shared" si="14"/>
        <v>0</v>
      </c>
      <c r="L54" s="63">
        <f t="shared" si="14"/>
        <v>0</v>
      </c>
      <c r="M54" s="63">
        <f t="shared" si="14"/>
        <v>0</v>
      </c>
      <c r="N54" s="63">
        <f t="shared" si="14"/>
        <v>0</v>
      </c>
      <c r="O54" s="63">
        <f t="shared" si="14"/>
        <v>0</v>
      </c>
      <c r="P54" s="63">
        <f t="shared" si="14"/>
        <v>0</v>
      </c>
      <c r="Q54" s="142">
        <f t="shared" si="11"/>
        <v>0</v>
      </c>
      <c r="R54" s="142" t="e">
        <f t="shared" si="12"/>
        <v>#DIV/0!</v>
      </c>
      <c r="T54" s="157"/>
      <c r="U54" s="40">
        <f t="shared" si="13"/>
        <v>0</v>
      </c>
    </row>
    <row r="55" spans="1:21" s="84" customFormat="1" ht="24.95" hidden="1" customHeight="1">
      <c r="A55" s="3" t="s">
        <v>172</v>
      </c>
      <c r="B55" s="3" t="s">
        <v>380</v>
      </c>
      <c r="C55" s="3"/>
      <c r="D55" s="26" t="s">
        <v>173</v>
      </c>
      <c r="E55" s="63">
        <v>0</v>
      </c>
      <c r="F55" s="63">
        <v>0</v>
      </c>
      <c r="G55" s="63">
        <v>0</v>
      </c>
      <c r="H55" s="63">
        <v>0</v>
      </c>
      <c r="I55" s="63">
        <v>0</v>
      </c>
      <c r="J55" s="63">
        <v>0</v>
      </c>
      <c r="K55" s="63">
        <v>0</v>
      </c>
      <c r="L55" s="63">
        <v>0</v>
      </c>
      <c r="M55" s="63">
        <v>0</v>
      </c>
      <c r="N55" s="63">
        <v>0</v>
      </c>
      <c r="O55" s="63">
        <v>0</v>
      </c>
      <c r="P55" s="63">
        <v>0</v>
      </c>
      <c r="Q55" s="142">
        <f t="shared" si="11"/>
        <v>0</v>
      </c>
      <c r="R55" s="142" t="e">
        <f t="shared" si="12"/>
        <v>#DIV/0!</v>
      </c>
      <c r="T55" s="157"/>
      <c r="U55" s="40">
        <f t="shared" si="13"/>
        <v>0</v>
      </c>
    </row>
    <row r="56" spans="1:21" s="84" customFormat="1" ht="24.95" hidden="1" customHeight="1">
      <c r="A56" s="3" t="s">
        <v>174</v>
      </c>
      <c r="B56" s="3" t="s">
        <v>380</v>
      </c>
      <c r="C56" s="3"/>
      <c r="D56" s="26" t="s">
        <v>175</v>
      </c>
      <c r="E56" s="63">
        <v>0</v>
      </c>
      <c r="F56" s="63">
        <v>0</v>
      </c>
      <c r="G56" s="63">
        <v>0</v>
      </c>
      <c r="H56" s="63">
        <v>0</v>
      </c>
      <c r="I56" s="63">
        <v>0</v>
      </c>
      <c r="J56" s="63">
        <v>0</v>
      </c>
      <c r="K56" s="63">
        <v>0</v>
      </c>
      <c r="L56" s="63">
        <v>0</v>
      </c>
      <c r="M56" s="63">
        <v>0</v>
      </c>
      <c r="N56" s="63">
        <v>0</v>
      </c>
      <c r="O56" s="63">
        <v>0</v>
      </c>
      <c r="P56" s="63">
        <v>0</v>
      </c>
      <c r="Q56" s="142">
        <f t="shared" si="11"/>
        <v>0</v>
      </c>
      <c r="R56" s="142" t="e">
        <f t="shared" si="12"/>
        <v>#DIV/0!</v>
      </c>
      <c r="T56" s="157"/>
      <c r="U56" s="40">
        <f t="shared" si="13"/>
        <v>0</v>
      </c>
    </row>
    <row r="57" spans="1:21" s="84" customFormat="1" ht="24.95" hidden="1" customHeight="1">
      <c r="A57" s="3" t="s">
        <v>176</v>
      </c>
      <c r="B57" s="3" t="s">
        <v>380</v>
      </c>
      <c r="C57" s="3"/>
      <c r="D57" s="26" t="s">
        <v>177</v>
      </c>
      <c r="E57" s="63">
        <v>0</v>
      </c>
      <c r="F57" s="63">
        <v>0</v>
      </c>
      <c r="G57" s="63">
        <v>0</v>
      </c>
      <c r="H57" s="63">
        <v>0</v>
      </c>
      <c r="I57" s="63">
        <v>0</v>
      </c>
      <c r="J57" s="63">
        <v>0</v>
      </c>
      <c r="K57" s="63">
        <v>0</v>
      </c>
      <c r="L57" s="63">
        <v>0</v>
      </c>
      <c r="M57" s="63">
        <v>0</v>
      </c>
      <c r="N57" s="63">
        <v>0</v>
      </c>
      <c r="O57" s="63">
        <v>0</v>
      </c>
      <c r="P57" s="63">
        <v>0</v>
      </c>
      <c r="Q57" s="142">
        <f t="shared" si="11"/>
        <v>0</v>
      </c>
      <c r="R57" s="142" t="e">
        <f t="shared" si="12"/>
        <v>#DIV/0!</v>
      </c>
      <c r="T57" s="157"/>
      <c r="U57" s="40">
        <f t="shared" si="13"/>
        <v>0</v>
      </c>
    </row>
    <row r="58" spans="1:21" s="84" customFormat="1" ht="24.95" customHeight="1">
      <c r="A58" s="3" t="s">
        <v>178</v>
      </c>
      <c r="B58" s="3" t="s">
        <v>380</v>
      </c>
      <c r="C58" s="3"/>
      <c r="D58" s="26" t="s">
        <v>179</v>
      </c>
      <c r="E58" s="63"/>
      <c r="F58" s="63"/>
      <c r="G58" s="63"/>
      <c r="H58" s="63"/>
      <c r="I58" s="63"/>
      <c r="J58" s="63"/>
      <c r="K58" s="63"/>
      <c r="L58" s="63"/>
      <c r="M58" s="63"/>
      <c r="N58" s="63"/>
      <c r="O58" s="63"/>
      <c r="P58" s="63"/>
      <c r="Q58" s="142">
        <f t="shared" si="11"/>
        <v>0</v>
      </c>
      <c r="R58" s="142" t="e">
        <f t="shared" si="12"/>
        <v>#DIV/0!</v>
      </c>
      <c r="T58" s="157"/>
      <c r="U58" s="40">
        <f t="shared" si="13"/>
        <v>0</v>
      </c>
    </row>
    <row r="59" spans="1:21" s="84" customFormat="1" ht="24.95" hidden="1" customHeight="1">
      <c r="A59" s="3" t="s">
        <v>180</v>
      </c>
      <c r="B59" s="3" t="s">
        <v>380</v>
      </c>
      <c r="C59" s="3"/>
      <c r="D59" s="26" t="s">
        <v>181</v>
      </c>
      <c r="E59" s="63"/>
      <c r="F59" s="63"/>
      <c r="G59" s="63"/>
      <c r="H59" s="63"/>
      <c r="I59" s="63"/>
      <c r="J59" s="63"/>
      <c r="K59" s="63"/>
      <c r="L59" s="63"/>
      <c r="M59" s="63"/>
      <c r="N59" s="63"/>
      <c r="O59" s="63"/>
      <c r="P59" s="63"/>
      <c r="Q59" s="142">
        <f t="shared" si="11"/>
        <v>0</v>
      </c>
      <c r="R59" s="142" t="e">
        <f t="shared" si="12"/>
        <v>#DIV/0!</v>
      </c>
      <c r="T59" s="157"/>
      <c r="U59" s="40"/>
    </row>
    <row r="60" spans="1:21" s="84" customFormat="1" ht="24.95" hidden="1" customHeight="1">
      <c r="A60" s="3" t="s">
        <v>182</v>
      </c>
      <c r="B60" s="3" t="s">
        <v>380</v>
      </c>
      <c r="C60" s="3"/>
      <c r="D60" s="26" t="s">
        <v>183</v>
      </c>
      <c r="E60" s="63"/>
      <c r="F60" s="63"/>
      <c r="G60" s="63"/>
      <c r="H60" s="63"/>
      <c r="I60" s="63"/>
      <c r="J60" s="63"/>
      <c r="K60" s="63"/>
      <c r="L60" s="63"/>
      <c r="M60" s="63"/>
      <c r="N60" s="63"/>
      <c r="O60" s="63"/>
      <c r="P60" s="63"/>
      <c r="Q60" s="142">
        <f t="shared" si="11"/>
        <v>0</v>
      </c>
      <c r="R60" s="142" t="e">
        <f t="shared" si="12"/>
        <v>#DIV/0!</v>
      </c>
      <c r="T60" s="157"/>
      <c r="U60" s="40">
        <f t="shared" si="13"/>
        <v>0</v>
      </c>
    </row>
    <row r="61" spans="1:21" s="84" customFormat="1" ht="24.95" customHeight="1">
      <c r="A61" s="3" t="s">
        <v>184</v>
      </c>
      <c r="B61" s="3" t="s">
        <v>380</v>
      </c>
      <c r="C61" s="3"/>
      <c r="D61" s="26" t="s">
        <v>185</v>
      </c>
      <c r="E61" s="63"/>
      <c r="F61" s="63"/>
      <c r="G61" s="63"/>
      <c r="H61" s="63"/>
      <c r="I61" s="63"/>
      <c r="J61" s="63"/>
      <c r="K61" s="63"/>
      <c r="L61" s="63"/>
      <c r="M61" s="63"/>
      <c r="N61" s="63"/>
      <c r="O61" s="63"/>
      <c r="P61" s="63"/>
      <c r="Q61" s="142">
        <f t="shared" si="11"/>
        <v>0</v>
      </c>
      <c r="R61" s="142" t="e">
        <f t="shared" si="12"/>
        <v>#DIV/0!</v>
      </c>
      <c r="T61" s="157"/>
      <c r="U61" s="40">
        <f t="shared" si="13"/>
        <v>0</v>
      </c>
    </row>
    <row r="62" spans="1:21" s="84" customFormat="1" ht="24.95" customHeight="1">
      <c r="A62" s="3" t="s">
        <v>186</v>
      </c>
      <c r="B62" s="3" t="s">
        <v>380</v>
      </c>
      <c r="C62" s="3"/>
      <c r="D62" s="26" t="s">
        <v>187</v>
      </c>
      <c r="E62" s="63"/>
      <c r="F62" s="63"/>
      <c r="G62" s="63"/>
      <c r="H62" s="63"/>
      <c r="I62" s="63"/>
      <c r="J62" s="63"/>
      <c r="K62" s="63"/>
      <c r="L62" s="63"/>
      <c r="M62" s="63"/>
      <c r="N62" s="63"/>
      <c r="O62" s="63"/>
      <c r="P62" s="63"/>
      <c r="Q62" s="142">
        <f t="shared" si="11"/>
        <v>0</v>
      </c>
      <c r="R62" s="142" t="e">
        <f t="shared" si="12"/>
        <v>#DIV/0!</v>
      </c>
      <c r="T62" s="157"/>
      <c r="U62" s="40">
        <f t="shared" si="13"/>
        <v>0</v>
      </c>
    </row>
    <row r="63" spans="1:21" s="84" customFormat="1" ht="24.95" customHeight="1">
      <c r="A63" s="3" t="s">
        <v>188</v>
      </c>
      <c r="B63" s="3" t="s">
        <v>380</v>
      </c>
      <c r="C63" s="3"/>
      <c r="D63" s="26" t="s">
        <v>189</v>
      </c>
      <c r="E63" s="63"/>
      <c r="F63" s="63"/>
      <c r="G63" s="63"/>
      <c r="H63" s="63"/>
      <c r="I63" s="63"/>
      <c r="J63" s="63"/>
      <c r="K63" s="63"/>
      <c r="L63" s="63"/>
      <c r="M63" s="63"/>
      <c r="N63" s="63"/>
      <c r="O63" s="63"/>
      <c r="P63" s="63"/>
      <c r="Q63" s="142">
        <f t="shared" si="11"/>
        <v>0</v>
      </c>
      <c r="R63" s="142" t="e">
        <f t="shared" si="12"/>
        <v>#DIV/0!</v>
      </c>
      <c r="T63" s="157"/>
      <c r="U63" s="40">
        <f t="shared" si="13"/>
        <v>0</v>
      </c>
    </row>
    <row r="64" spans="1:21" s="84" customFormat="1" ht="24.95" customHeight="1">
      <c r="A64" s="3" t="s">
        <v>190</v>
      </c>
      <c r="B64" s="3" t="s">
        <v>380</v>
      </c>
      <c r="C64" s="3"/>
      <c r="D64" s="26" t="s">
        <v>191</v>
      </c>
      <c r="E64" s="63"/>
      <c r="F64" s="63"/>
      <c r="G64" s="63"/>
      <c r="H64" s="63"/>
      <c r="I64" s="63"/>
      <c r="J64" s="63"/>
      <c r="K64" s="63"/>
      <c r="L64" s="63"/>
      <c r="M64" s="63"/>
      <c r="N64" s="63"/>
      <c r="O64" s="63"/>
      <c r="P64" s="63"/>
      <c r="Q64" s="142">
        <f t="shared" si="11"/>
        <v>0</v>
      </c>
      <c r="R64" s="142" t="e">
        <f t="shared" si="12"/>
        <v>#DIV/0!</v>
      </c>
      <c r="T64" s="157"/>
      <c r="U64" s="40">
        <f t="shared" si="13"/>
        <v>0</v>
      </c>
    </row>
    <row r="65" spans="1:21" s="84" customFormat="1" ht="24.95" customHeight="1">
      <c r="A65" s="3" t="s">
        <v>192</v>
      </c>
      <c r="B65" s="3" t="s">
        <v>380</v>
      </c>
      <c r="C65" s="3"/>
      <c r="D65" s="26" t="s">
        <v>193</v>
      </c>
      <c r="E65" s="63"/>
      <c r="F65" s="63"/>
      <c r="G65" s="63"/>
      <c r="H65" s="63"/>
      <c r="I65" s="63"/>
      <c r="J65" s="63"/>
      <c r="K65" s="63"/>
      <c r="L65" s="63"/>
      <c r="M65" s="63"/>
      <c r="N65" s="63"/>
      <c r="O65" s="63"/>
      <c r="P65" s="63"/>
      <c r="Q65" s="142">
        <f t="shared" si="11"/>
        <v>0</v>
      </c>
      <c r="R65" s="142" t="e">
        <f t="shared" si="12"/>
        <v>#DIV/0!</v>
      </c>
      <c r="T65" s="157"/>
      <c r="U65" s="40"/>
    </row>
    <row r="66" spans="1:21" s="84" customFormat="1" ht="24.95" customHeight="1">
      <c r="A66" s="3" t="s">
        <v>194</v>
      </c>
      <c r="B66" s="3" t="s">
        <v>380</v>
      </c>
      <c r="C66" s="3"/>
      <c r="D66" s="26" t="s">
        <v>195</v>
      </c>
      <c r="E66" s="63"/>
      <c r="F66" s="63"/>
      <c r="G66" s="63"/>
      <c r="H66" s="63"/>
      <c r="I66" s="63"/>
      <c r="J66" s="63"/>
      <c r="K66" s="63"/>
      <c r="L66" s="63"/>
      <c r="M66" s="63"/>
      <c r="N66" s="63"/>
      <c r="O66" s="63"/>
      <c r="P66" s="63"/>
      <c r="Q66" s="142">
        <f t="shared" si="11"/>
        <v>0</v>
      </c>
      <c r="R66" s="142" t="e">
        <f t="shared" si="12"/>
        <v>#DIV/0!</v>
      </c>
      <c r="T66" s="157"/>
      <c r="U66" s="40">
        <f t="shared" si="13"/>
        <v>0</v>
      </c>
    </row>
    <row r="67" spans="1:21" s="84" customFormat="1" ht="24.95" customHeight="1">
      <c r="A67" s="3" t="s">
        <v>196</v>
      </c>
      <c r="B67" s="3" t="s">
        <v>380</v>
      </c>
      <c r="C67" s="3"/>
      <c r="D67" s="26" t="s">
        <v>197</v>
      </c>
      <c r="E67" s="63">
        <v>0</v>
      </c>
      <c r="F67" s="63">
        <v>0</v>
      </c>
      <c r="G67" s="63">
        <v>0</v>
      </c>
      <c r="H67" s="63">
        <v>0</v>
      </c>
      <c r="I67" s="63">
        <v>0</v>
      </c>
      <c r="J67" s="63">
        <v>0</v>
      </c>
      <c r="K67" s="63">
        <v>0</v>
      </c>
      <c r="L67" s="63">
        <v>0</v>
      </c>
      <c r="M67" s="63">
        <v>0</v>
      </c>
      <c r="N67" s="63">
        <v>0</v>
      </c>
      <c r="O67" s="63">
        <v>0</v>
      </c>
      <c r="P67" s="63">
        <v>0</v>
      </c>
      <c r="Q67" s="142">
        <f t="shared" si="11"/>
        <v>0</v>
      </c>
      <c r="R67" s="142" t="e">
        <f t="shared" si="12"/>
        <v>#DIV/0!</v>
      </c>
      <c r="T67" s="157"/>
      <c r="U67" s="40">
        <f t="shared" si="13"/>
        <v>0</v>
      </c>
    </row>
    <row r="68" spans="1:21" s="84" customFormat="1" ht="24.95" hidden="1" customHeight="1">
      <c r="A68" s="3" t="s">
        <v>198</v>
      </c>
      <c r="B68" s="3" t="s">
        <v>380</v>
      </c>
      <c r="C68" s="3"/>
      <c r="D68" s="26" t="s">
        <v>199</v>
      </c>
      <c r="E68" s="63">
        <v>0</v>
      </c>
      <c r="F68" s="63">
        <v>0</v>
      </c>
      <c r="G68" s="63">
        <v>0</v>
      </c>
      <c r="H68" s="63">
        <v>0</v>
      </c>
      <c r="I68" s="63">
        <v>0</v>
      </c>
      <c r="J68" s="63">
        <v>0</v>
      </c>
      <c r="K68" s="63">
        <v>0</v>
      </c>
      <c r="L68" s="63">
        <v>0</v>
      </c>
      <c r="M68" s="63">
        <v>0</v>
      </c>
      <c r="N68" s="63">
        <v>0</v>
      </c>
      <c r="O68" s="63">
        <v>0</v>
      </c>
      <c r="P68" s="63">
        <v>0</v>
      </c>
      <c r="Q68" s="142">
        <f t="shared" si="11"/>
        <v>0</v>
      </c>
      <c r="R68" s="142" t="e">
        <f t="shared" si="12"/>
        <v>#DIV/0!</v>
      </c>
      <c r="T68" s="157"/>
      <c r="U68" s="40">
        <f t="shared" si="13"/>
        <v>0</v>
      </c>
    </row>
    <row r="69" spans="1:21" s="84" customFormat="1" ht="24.95" hidden="1" customHeight="1">
      <c r="A69" s="3" t="s">
        <v>200</v>
      </c>
      <c r="B69" s="3" t="s">
        <v>380</v>
      </c>
      <c r="C69" s="3"/>
      <c r="D69" s="26" t="s">
        <v>201</v>
      </c>
      <c r="E69" s="63">
        <v>0</v>
      </c>
      <c r="F69" s="63">
        <v>0</v>
      </c>
      <c r="G69" s="63">
        <v>0</v>
      </c>
      <c r="H69" s="63">
        <v>0</v>
      </c>
      <c r="I69" s="63">
        <v>0</v>
      </c>
      <c r="J69" s="63">
        <v>0</v>
      </c>
      <c r="K69" s="63">
        <v>0</v>
      </c>
      <c r="L69" s="63">
        <v>0</v>
      </c>
      <c r="M69" s="63">
        <v>0</v>
      </c>
      <c r="N69" s="63">
        <v>0</v>
      </c>
      <c r="O69" s="63">
        <v>0</v>
      </c>
      <c r="P69" s="63">
        <v>0</v>
      </c>
      <c r="Q69" s="142">
        <f t="shared" si="11"/>
        <v>0</v>
      </c>
      <c r="R69" s="142" t="e">
        <f t="shared" si="12"/>
        <v>#DIV/0!</v>
      </c>
      <c r="T69" s="157"/>
      <c r="U69" s="40">
        <f t="shared" si="13"/>
        <v>0</v>
      </c>
    </row>
    <row r="70" spans="1:21" s="84" customFormat="1" ht="24.95" customHeight="1">
      <c r="A70" s="3" t="s">
        <v>202</v>
      </c>
      <c r="B70" s="3" t="s">
        <v>380</v>
      </c>
      <c r="C70" s="3"/>
      <c r="D70" s="26" t="s">
        <v>203</v>
      </c>
      <c r="E70" s="63"/>
      <c r="F70" s="63"/>
      <c r="G70" s="63"/>
      <c r="H70" s="63"/>
      <c r="I70" s="63"/>
      <c r="J70" s="63"/>
      <c r="K70" s="63"/>
      <c r="L70" s="63"/>
      <c r="M70" s="63"/>
      <c r="N70" s="63"/>
      <c r="O70" s="63"/>
      <c r="P70" s="63"/>
      <c r="Q70" s="142">
        <f t="shared" si="11"/>
        <v>0</v>
      </c>
      <c r="R70" s="142" t="e">
        <f t="shared" si="12"/>
        <v>#DIV/0!</v>
      </c>
      <c r="T70" s="157"/>
      <c r="U70" s="40">
        <f t="shared" si="13"/>
        <v>0</v>
      </c>
    </row>
    <row r="71" spans="1:21" s="84" customFormat="1" ht="24.95" customHeight="1">
      <c r="A71" s="3" t="s">
        <v>204</v>
      </c>
      <c r="B71" s="3" t="s">
        <v>380</v>
      </c>
      <c r="C71" s="3"/>
      <c r="D71" s="26" t="s">
        <v>205</v>
      </c>
      <c r="E71" s="63"/>
      <c r="F71" s="63"/>
      <c r="G71" s="63"/>
      <c r="H71" s="63"/>
      <c r="I71" s="63"/>
      <c r="J71" s="63"/>
      <c r="K71" s="63"/>
      <c r="L71" s="63"/>
      <c r="M71" s="63"/>
      <c r="N71" s="63"/>
      <c r="O71" s="63"/>
      <c r="P71" s="63"/>
      <c r="Q71" s="142">
        <f t="shared" si="11"/>
        <v>0</v>
      </c>
      <c r="R71" s="142" t="e">
        <f t="shared" si="12"/>
        <v>#DIV/0!</v>
      </c>
      <c r="T71" s="157"/>
      <c r="U71" s="40">
        <f t="shared" si="13"/>
        <v>0</v>
      </c>
    </row>
    <row r="72" spans="1:21" s="84" customFormat="1" ht="24.75" hidden="1" customHeight="1">
      <c r="A72" s="3" t="s">
        <v>206</v>
      </c>
      <c r="B72" s="3" t="s">
        <v>380</v>
      </c>
      <c r="C72" s="3"/>
      <c r="D72" s="26" t="s">
        <v>207</v>
      </c>
      <c r="E72" s="63"/>
      <c r="F72" s="63"/>
      <c r="G72" s="63"/>
      <c r="H72" s="63"/>
      <c r="I72" s="63"/>
      <c r="J72" s="63"/>
      <c r="K72" s="63"/>
      <c r="L72" s="63"/>
      <c r="M72" s="63"/>
      <c r="N72" s="63"/>
      <c r="O72" s="63"/>
      <c r="P72" s="63"/>
      <c r="Q72" s="142">
        <f t="shared" si="11"/>
        <v>0</v>
      </c>
      <c r="R72" s="142" t="e">
        <f t="shared" si="12"/>
        <v>#DIV/0!</v>
      </c>
      <c r="T72" s="157"/>
      <c r="U72" s="40">
        <f t="shared" si="13"/>
        <v>0</v>
      </c>
    </row>
    <row r="73" spans="1:21" s="84" customFormat="1" ht="24.95" hidden="1" customHeight="1">
      <c r="A73" s="3" t="s">
        <v>208</v>
      </c>
      <c r="B73" s="3" t="s">
        <v>380</v>
      </c>
      <c r="C73" s="3"/>
      <c r="D73" s="26" t="s">
        <v>209</v>
      </c>
      <c r="E73" s="63"/>
      <c r="F73" s="63"/>
      <c r="G73" s="63"/>
      <c r="H73" s="63"/>
      <c r="I73" s="63"/>
      <c r="J73" s="63"/>
      <c r="K73" s="63"/>
      <c r="L73" s="63"/>
      <c r="M73" s="63"/>
      <c r="N73" s="63"/>
      <c r="O73" s="63"/>
      <c r="P73" s="63"/>
      <c r="Q73" s="142">
        <f t="shared" si="11"/>
        <v>0</v>
      </c>
      <c r="R73" s="142" t="e">
        <f t="shared" si="12"/>
        <v>#DIV/0!</v>
      </c>
      <c r="T73" s="157"/>
      <c r="U73" s="40">
        <f t="shared" si="13"/>
        <v>0</v>
      </c>
    </row>
    <row r="74" spans="1:21" s="84" customFormat="1" ht="24.95" customHeight="1">
      <c r="A74" s="3" t="s">
        <v>210</v>
      </c>
      <c r="B74" s="3" t="s">
        <v>380</v>
      </c>
      <c r="C74" s="3"/>
      <c r="D74" s="26" t="s">
        <v>211</v>
      </c>
      <c r="E74" s="63"/>
      <c r="F74" s="63"/>
      <c r="G74" s="63"/>
      <c r="H74" s="63"/>
      <c r="I74" s="63"/>
      <c r="J74" s="63"/>
      <c r="K74" s="63"/>
      <c r="L74" s="63"/>
      <c r="M74" s="63"/>
      <c r="N74" s="63"/>
      <c r="O74" s="63"/>
      <c r="P74" s="63"/>
      <c r="Q74" s="142">
        <f t="shared" si="11"/>
        <v>0</v>
      </c>
      <c r="R74" s="142" t="e">
        <f t="shared" si="12"/>
        <v>#DIV/0!</v>
      </c>
      <c r="T74" s="157"/>
      <c r="U74" s="40">
        <f t="shared" si="13"/>
        <v>0</v>
      </c>
    </row>
    <row r="75" spans="1:21" s="84" customFormat="1" ht="24.95" customHeight="1">
      <c r="A75" s="3" t="s">
        <v>212</v>
      </c>
      <c r="B75" s="3" t="s">
        <v>380</v>
      </c>
      <c r="C75" s="3"/>
      <c r="D75" s="26" t="s">
        <v>213</v>
      </c>
      <c r="E75" s="63"/>
      <c r="F75" s="63"/>
      <c r="G75" s="63"/>
      <c r="H75" s="63"/>
      <c r="I75" s="63"/>
      <c r="J75" s="63"/>
      <c r="K75" s="63"/>
      <c r="L75" s="63"/>
      <c r="M75" s="63"/>
      <c r="N75" s="63"/>
      <c r="O75" s="63"/>
      <c r="P75" s="63"/>
      <c r="Q75" s="142">
        <f t="shared" si="11"/>
        <v>0</v>
      </c>
      <c r="R75" s="142" t="e">
        <f t="shared" si="12"/>
        <v>#DIV/0!</v>
      </c>
      <c r="T75" s="157"/>
      <c r="U75" s="40">
        <f t="shared" si="13"/>
        <v>0</v>
      </c>
    </row>
    <row r="76" spans="1:21" s="84" customFormat="1" ht="24.95" hidden="1" customHeight="1">
      <c r="A76" s="3" t="s">
        <v>214</v>
      </c>
      <c r="B76" s="3" t="s">
        <v>380</v>
      </c>
      <c r="C76" s="3"/>
      <c r="D76" s="26" t="s">
        <v>215</v>
      </c>
      <c r="E76" s="63"/>
      <c r="F76" s="63"/>
      <c r="G76" s="63"/>
      <c r="H76" s="63"/>
      <c r="I76" s="63"/>
      <c r="J76" s="63"/>
      <c r="K76" s="63"/>
      <c r="L76" s="63"/>
      <c r="M76" s="63"/>
      <c r="N76" s="63"/>
      <c r="O76" s="63"/>
      <c r="P76" s="63"/>
      <c r="Q76" s="142">
        <f t="shared" si="11"/>
        <v>0</v>
      </c>
      <c r="R76" s="142" t="e">
        <f t="shared" si="12"/>
        <v>#DIV/0!</v>
      </c>
      <c r="T76" s="157"/>
      <c r="U76" s="40">
        <f t="shared" si="13"/>
        <v>0</v>
      </c>
    </row>
    <row r="77" spans="1:21" s="84" customFormat="1" ht="24.95" hidden="1" customHeight="1">
      <c r="A77" s="3" t="s">
        <v>216</v>
      </c>
      <c r="B77" s="3" t="s">
        <v>380</v>
      </c>
      <c r="C77" s="3"/>
      <c r="D77" s="26" t="s">
        <v>217</v>
      </c>
      <c r="E77" s="63"/>
      <c r="F77" s="63"/>
      <c r="G77" s="63"/>
      <c r="H77" s="63"/>
      <c r="I77" s="63"/>
      <c r="J77" s="63"/>
      <c r="K77" s="63"/>
      <c r="L77" s="63"/>
      <c r="M77" s="63"/>
      <c r="N77" s="63"/>
      <c r="O77" s="63"/>
      <c r="P77" s="63"/>
      <c r="Q77" s="142">
        <f t="shared" si="11"/>
        <v>0</v>
      </c>
      <c r="R77" s="142" t="e">
        <f t="shared" si="12"/>
        <v>#DIV/0!</v>
      </c>
      <c r="T77" s="157"/>
      <c r="U77" s="40">
        <f t="shared" si="13"/>
        <v>0</v>
      </c>
    </row>
    <row r="78" spans="1:21" s="84" customFormat="1" ht="24.95" hidden="1" customHeight="1">
      <c r="A78" s="3" t="s">
        <v>218</v>
      </c>
      <c r="B78" s="3" t="s">
        <v>380</v>
      </c>
      <c r="C78" s="3"/>
      <c r="D78" s="26" t="s">
        <v>219</v>
      </c>
      <c r="E78" s="63"/>
      <c r="F78" s="63"/>
      <c r="G78" s="63"/>
      <c r="H78" s="63"/>
      <c r="I78" s="63"/>
      <c r="J78" s="63"/>
      <c r="K78" s="63"/>
      <c r="L78" s="63"/>
      <c r="M78" s="63"/>
      <c r="N78" s="63"/>
      <c r="O78" s="63"/>
      <c r="P78" s="63"/>
      <c r="Q78" s="142">
        <f t="shared" si="11"/>
        <v>0</v>
      </c>
      <c r="R78" s="142" t="e">
        <f t="shared" si="12"/>
        <v>#DIV/0!</v>
      </c>
      <c r="T78" s="157"/>
      <c r="U78" s="40">
        <f t="shared" si="13"/>
        <v>0</v>
      </c>
    </row>
    <row r="79" spans="1:21" s="84" customFormat="1" ht="24.95" hidden="1" customHeight="1">
      <c r="A79" s="3" t="s">
        <v>220</v>
      </c>
      <c r="B79" s="3" t="s">
        <v>380</v>
      </c>
      <c r="C79" s="3"/>
      <c r="D79" s="26" t="s">
        <v>221</v>
      </c>
      <c r="E79" s="63"/>
      <c r="F79" s="63"/>
      <c r="G79" s="63"/>
      <c r="H79" s="63"/>
      <c r="I79" s="63"/>
      <c r="J79" s="63"/>
      <c r="K79" s="63"/>
      <c r="L79" s="63"/>
      <c r="M79" s="63"/>
      <c r="N79" s="63"/>
      <c r="O79" s="63"/>
      <c r="P79" s="63"/>
      <c r="Q79" s="142">
        <f t="shared" si="11"/>
        <v>0</v>
      </c>
      <c r="R79" s="142" t="e">
        <f t="shared" si="12"/>
        <v>#DIV/0!</v>
      </c>
      <c r="T79" s="157"/>
      <c r="U79" s="40">
        <f t="shared" si="13"/>
        <v>0</v>
      </c>
    </row>
    <row r="80" spans="1:21" s="84" customFormat="1" ht="24.95" hidden="1" customHeight="1">
      <c r="A80" s="3" t="s">
        <v>222</v>
      </c>
      <c r="B80" s="3" t="s">
        <v>380</v>
      </c>
      <c r="C80" s="3"/>
      <c r="D80" s="26" t="s">
        <v>223</v>
      </c>
      <c r="E80" s="63"/>
      <c r="F80" s="63"/>
      <c r="G80" s="63"/>
      <c r="H80" s="63"/>
      <c r="I80" s="63"/>
      <c r="J80" s="63"/>
      <c r="K80" s="63"/>
      <c r="L80" s="63"/>
      <c r="M80" s="63"/>
      <c r="N80" s="63"/>
      <c r="O80" s="63"/>
      <c r="P80" s="63"/>
      <c r="Q80" s="142">
        <f t="shared" si="11"/>
        <v>0</v>
      </c>
      <c r="R80" s="142" t="e">
        <f t="shared" si="12"/>
        <v>#DIV/0!</v>
      </c>
      <c r="T80" s="157"/>
      <c r="U80" s="40">
        <f t="shared" si="13"/>
        <v>0</v>
      </c>
    </row>
    <row r="81" spans="1:21" s="84" customFormat="1" ht="24.95" customHeight="1">
      <c r="A81" s="3" t="s">
        <v>224</v>
      </c>
      <c r="B81" s="3" t="s">
        <v>380</v>
      </c>
      <c r="C81" s="3"/>
      <c r="D81" s="26" t="s">
        <v>225</v>
      </c>
      <c r="E81" s="63"/>
      <c r="F81" s="63"/>
      <c r="G81" s="63"/>
      <c r="H81" s="63"/>
      <c r="I81" s="63"/>
      <c r="J81" s="63"/>
      <c r="K81" s="63"/>
      <c r="L81" s="63"/>
      <c r="M81" s="63"/>
      <c r="N81" s="63"/>
      <c r="O81" s="63"/>
      <c r="P81" s="63"/>
      <c r="Q81" s="142">
        <f t="shared" si="11"/>
        <v>0</v>
      </c>
      <c r="R81" s="142" t="e">
        <f t="shared" si="12"/>
        <v>#DIV/0!</v>
      </c>
      <c r="T81" s="157"/>
      <c r="U81" s="40">
        <f t="shared" si="13"/>
        <v>0</v>
      </c>
    </row>
    <row r="82" spans="1:21" s="84" customFormat="1" ht="24.75" hidden="1" customHeight="1">
      <c r="A82" s="3" t="s">
        <v>226</v>
      </c>
      <c r="B82" s="3" t="s">
        <v>380</v>
      </c>
      <c r="C82" s="3"/>
      <c r="D82" s="26" t="s">
        <v>227</v>
      </c>
      <c r="E82" s="63"/>
      <c r="F82" s="63"/>
      <c r="G82" s="63"/>
      <c r="H82" s="63"/>
      <c r="I82" s="63"/>
      <c r="J82" s="63"/>
      <c r="K82" s="63"/>
      <c r="L82" s="63"/>
      <c r="M82" s="63"/>
      <c r="N82" s="63"/>
      <c r="O82" s="63"/>
      <c r="P82" s="63"/>
      <c r="Q82" s="142">
        <f t="shared" si="11"/>
        <v>0</v>
      </c>
      <c r="R82" s="142" t="e">
        <f t="shared" si="12"/>
        <v>#DIV/0!</v>
      </c>
      <c r="T82" s="157"/>
      <c r="U82" s="40">
        <f t="shared" si="13"/>
        <v>0</v>
      </c>
    </row>
    <row r="83" spans="1:21" s="84" customFormat="1" ht="24.95" hidden="1" customHeight="1">
      <c r="A83" s="3" t="s">
        <v>228</v>
      </c>
      <c r="B83" s="3" t="s">
        <v>380</v>
      </c>
      <c r="C83" s="3"/>
      <c r="D83" s="26" t="s">
        <v>229</v>
      </c>
      <c r="E83" s="63"/>
      <c r="F83" s="63"/>
      <c r="G83" s="63"/>
      <c r="H83" s="63"/>
      <c r="I83" s="63"/>
      <c r="J83" s="63"/>
      <c r="K83" s="63"/>
      <c r="L83" s="63"/>
      <c r="M83" s="63"/>
      <c r="N83" s="63"/>
      <c r="O83" s="63"/>
      <c r="P83" s="63"/>
      <c r="Q83" s="142">
        <f t="shared" si="11"/>
        <v>0</v>
      </c>
      <c r="R83" s="142" t="e">
        <f t="shared" si="12"/>
        <v>#DIV/0!</v>
      </c>
      <c r="T83" s="157"/>
      <c r="U83" s="40">
        <f t="shared" si="13"/>
        <v>0</v>
      </c>
    </row>
    <row r="84" spans="1:21" s="84" customFormat="1" ht="24.95" hidden="1" customHeight="1">
      <c r="A84" s="3" t="s">
        <v>230</v>
      </c>
      <c r="B84" s="3" t="s">
        <v>380</v>
      </c>
      <c r="C84" s="3"/>
      <c r="D84" s="26" t="s">
        <v>231</v>
      </c>
      <c r="E84" s="63"/>
      <c r="F84" s="63"/>
      <c r="G84" s="63"/>
      <c r="H84" s="63"/>
      <c r="I84" s="63"/>
      <c r="J84" s="63"/>
      <c r="K84" s="63"/>
      <c r="L84" s="63"/>
      <c r="M84" s="63"/>
      <c r="N84" s="63"/>
      <c r="O84" s="63"/>
      <c r="P84" s="63"/>
      <c r="Q84" s="142">
        <f t="shared" si="11"/>
        <v>0</v>
      </c>
      <c r="R84" s="142" t="e">
        <f t="shared" si="12"/>
        <v>#DIV/0!</v>
      </c>
      <c r="T84" s="157"/>
      <c r="U84" s="40">
        <f t="shared" si="13"/>
        <v>0</v>
      </c>
    </row>
    <row r="85" spans="1:21" s="84" customFormat="1" ht="24.95" hidden="1" customHeight="1">
      <c r="A85" s="3" t="s">
        <v>232</v>
      </c>
      <c r="B85" s="3" t="s">
        <v>380</v>
      </c>
      <c r="C85" s="3"/>
      <c r="D85" s="26" t="s">
        <v>233</v>
      </c>
      <c r="E85" s="63"/>
      <c r="F85" s="63"/>
      <c r="G85" s="63"/>
      <c r="H85" s="63"/>
      <c r="I85" s="63"/>
      <c r="J85" s="63"/>
      <c r="K85" s="63"/>
      <c r="L85" s="63"/>
      <c r="M85" s="63"/>
      <c r="N85" s="63"/>
      <c r="O85" s="63"/>
      <c r="P85" s="63"/>
      <c r="Q85" s="142">
        <f t="shared" si="11"/>
        <v>0</v>
      </c>
      <c r="R85" s="142" t="e">
        <f t="shared" si="12"/>
        <v>#DIV/0!</v>
      </c>
      <c r="T85" s="157"/>
      <c r="U85" s="40">
        <f t="shared" si="13"/>
        <v>0</v>
      </c>
    </row>
    <row r="86" spans="1:21" s="84" customFormat="1" ht="24.95" hidden="1" customHeight="1">
      <c r="A86" s="3" t="s">
        <v>434</v>
      </c>
      <c r="B86" s="3" t="s">
        <v>380</v>
      </c>
      <c r="C86" s="3"/>
      <c r="D86" s="26" t="s">
        <v>435</v>
      </c>
      <c r="E86" s="63"/>
      <c r="F86" s="63"/>
      <c r="G86" s="63"/>
      <c r="H86" s="63"/>
      <c r="I86" s="63"/>
      <c r="J86" s="63"/>
      <c r="K86" s="63"/>
      <c r="L86" s="63"/>
      <c r="M86" s="63"/>
      <c r="N86" s="63"/>
      <c r="O86" s="63"/>
      <c r="P86" s="63"/>
      <c r="Q86" s="142">
        <f t="shared" si="11"/>
        <v>0</v>
      </c>
      <c r="R86" s="142" t="e">
        <f t="shared" si="12"/>
        <v>#DIV/0!</v>
      </c>
      <c r="T86" s="157"/>
      <c r="U86" s="40">
        <f t="shared" si="13"/>
        <v>0</v>
      </c>
    </row>
    <row r="87" spans="1:21" s="84" customFormat="1" ht="24.95" hidden="1" customHeight="1">
      <c r="A87" s="3" t="s">
        <v>234</v>
      </c>
      <c r="B87" s="3" t="s">
        <v>380</v>
      </c>
      <c r="C87" s="3"/>
      <c r="D87" s="26" t="s">
        <v>235</v>
      </c>
      <c r="E87" s="63"/>
      <c r="F87" s="63"/>
      <c r="G87" s="63"/>
      <c r="H87" s="63"/>
      <c r="I87" s="63"/>
      <c r="J87" s="63"/>
      <c r="K87" s="63"/>
      <c r="L87" s="63"/>
      <c r="M87" s="63"/>
      <c r="N87" s="63"/>
      <c r="O87" s="63"/>
      <c r="P87" s="63"/>
      <c r="Q87" s="142">
        <f t="shared" si="11"/>
        <v>0</v>
      </c>
      <c r="R87" s="142" t="e">
        <f t="shared" si="12"/>
        <v>#DIV/0!</v>
      </c>
      <c r="T87" s="157"/>
      <c r="U87" s="40">
        <f t="shared" si="13"/>
        <v>0</v>
      </c>
    </row>
    <row r="88" spans="1:21" s="84" customFormat="1" ht="24.95" hidden="1" customHeight="1">
      <c r="A88" s="3" t="s">
        <v>236</v>
      </c>
      <c r="B88" s="3" t="s">
        <v>380</v>
      </c>
      <c r="C88" s="3"/>
      <c r="D88" s="26" t="s">
        <v>237</v>
      </c>
      <c r="E88" s="63"/>
      <c r="F88" s="63"/>
      <c r="G88" s="63"/>
      <c r="H88" s="63"/>
      <c r="I88" s="63"/>
      <c r="J88" s="63"/>
      <c r="K88" s="63"/>
      <c r="L88" s="63"/>
      <c r="M88" s="63"/>
      <c r="N88" s="63"/>
      <c r="O88" s="63"/>
      <c r="P88" s="63"/>
      <c r="Q88" s="142">
        <f t="shared" si="11"/>
        <v>0</v>
      </c>
      <c r="R88" s="142" t="e">
        <f t="shared" si="12"/>
        <v>#DIV/0!</v>
      </c>
      <c r="T88" s="157"/>
      <c r="U88" s="40">
        <f t="shared" si="13"/>
        <v>0</v>
      </c>
    </row>
    <row r="89" spans="1:21" s="84" customFormat="1" ht="24.95" hidden="1" customHeight="1">
      <c r="A89" s="3" t="s">
        <v>238</v>
      </c>
      <c r="B89" s="3" t="s">
        <v>380</v>
      </c>
      <c r="C89" s="3"/>
      <c r="D89" s="26" t="s">
        <v>239</v>
      </c>
      <c r="E89" s="63"/>
      <c r="F89" s="63"/>
      <c r="G89" s="63"/>
      <c r="H89" s="63"/>
      <c r="I89" s="63"/>
      <c r="J89" s="63"/>
      <c r="K89" s="63"/>
      <c r="L89" s="63"/>
      <c r="M89" s="63"/>
      <c r="N89" s="63"/>
      <c r="O89" s="63"/>
      <c r="P89" s="63"/>
      <c r="Q89" s="142">
        <f t="shared" si="11"/>
        <v>0</v>
      </c>
      <c r="R89" s="142" t="e">
        <f t="shared" si="12"/>
        <v>#DIV/0!</v>
      </c>
      <c r="T89" s="157"/>
      <c r="U89" s="40">
        <f t="shared" si="13"/>
        <v>0</v>
      </c>
    </row>
    <row r="90" spans="1:21" s="84" customFormat="1" ht="24.95" hidden="1" customHeight="1">
      <c r="A90" s="3" t="s">
        <v>240</v>
      </c>
      <c r="B90" s="3" t="s">
        <v>380</v>
      </c>
      <c r="C90" s="3"/>
      <c r="D90" s="26" t="s">
        <v>241</v>
      </c>
      <c r="E90" s="63"/>
      <c r="F90" s="63"/>
      <c r="G90" s="63"/>
      <c r="H90" s="63"/>
      <c r="I90" s="63"/>
      <c r="J90" s="63"/>
      <c r="K90" s="63"/>
      <c r="L90" s="63"/>
      <c r="M90" s="63"/>
      <c r="N90" s="63"/>
      <c r="O90" s="63"/>
      <c r="P90" s="63"/>
      <c r="Q90" s="142">
        <f t="shared" si="11"/>
        <v>0</v>
      </c>
      <c r="R90" s="142" t="e">
        <f t="shared" si="12"/>
        <v>#DIV/0!</v>
      </c>
      <c r="T90" s="157"/>
      <c r="U90" s="40">
        <f t="shared" si="13"/>
        <v>0</v>
      </c>
    </row>
    <row r="91" spans="1:21" s="84" customFormat="1" ht="24.95" hidden="1" customHeight="1">
      <c r="A91" s="3" t="s">
        <v>242</v>
      </c>
      <c r="B91" s="3" t="s">
        <v>380</v>
      </c>
      <c r="C91" s="3"/>
      <c r="D91" s="26" t="s">
        <v>243</v>
      </c>
      <c r="E91" s="63"/>
      <c r="F91" s="63"/>
      <c r="G91" s="63"/>
      <c r="H91" s="63"/>
      <c r="I91" s="63"/>
      <c r="J91" s="63"/>
      <c r="K91" s="63"/>
      <c r="L91" s="63"/>
      <c r="M91" s="63"/>
      <c r="N91" s="63"/>
      <c r="O91" s="63"/>
      <c r="P91" s="63"/>
      <c r="Q91" s="142">
        <f t="shared" si="11"/>
        <v>0</v>
      </c>
      <c r="R91" s="142" t="e">
        <f t="shared" si="12"/>
        <v>#DIV/0!</v>
      </c>
      <c r="T91" s="157"/>
      <c r="U91" s="40">
        <f t="shared" si="13"/>
        <v>0</v>
      </c>
    </row>
    <row r="92" spans="1:21" s="84" customFormat="1" ht="24.95" hidden="1" customHeight="1">
      <c r="A92" s="3" t="s">
        <v>244</v>
      </c>
      <c r="B92" s="3" t="s">
        <v>380</v>
      </c>
      <c r="C92" s="3"/>
      <c r="D92" s="26" t="s">
        <v>245</v>
      </c>
      <c r="E92" s="63"/>
      <c r="F92" s="63"/>
      <c r="G92" s="63"/>
      <c r="H92" s="63"/>
      <c r="I92" s="63"/>
      <c r="J92" s="63"/>
      <c r="K92" s="63"/>
      <c r="L92" s="63"/>
      <c r="M92" s="63"/>
      <c r="N92" s="63"/>
      <c r="O92" s="63"/>
      <c r="P92" s="63"/>
      <c r="Q92" s="142">
        <f t="shared" si="11"/>
        <v>0</v>
      </c>
      <c r="R92" s="142" t="e">
        <f t="shared" si="12"/>
        <v>#DIV/0!</v>
      </c>
      <c r="T92" s="157"/>
      <c r="U92" s="40">
        <f t="shared" si="13"/>
        <v>0</v>
      </c>
    </row>
    <row r="93" spans="1:21" s="84" customFormat="1" ht="24.95" hidden="1" customHeight="1">
      <c r="A93" s="3" t="s">
        <v>246</v>
      </c>
      <c r="B93" s="3" t="s">
        <v>380</v>
      </c>
      <c r="C93" s="3"/>
      <c r="D93" s="26" t="s">
        <v>247</v>
      </c>
      <c r="E93" s="63"/>
      <c r="F93" s="63"/>
      <c r="G93" s="63"/>
      <c r="H93" s="63"/>
      <c r="I93" s="63"/>
      <c r="J93" s="63"/>
      <c r="K93" s="63"/>
      <c r="L93" s="63"/>
      <c r="M93" s="63"/>
      <c r="N93" s="63"/>
      <c r="O93" s="63"/>
      <c r="P93" s="63"/>
      <c r="Q93" s="142">
        <f t="shared" si="11"/>
        <v>0</v>
      </c>
      <c r="R93" s="142" t="e">
        <f t="shared" si="12"/>
        <v>#DIV/0!</v>
      </c>
      <c r="T93" s="157"/>
      <c r="U93" s="40">
        <f t="shared" si="13"/>
        <v>0</v>
      </c>
    </row>
    <row r="94" spans="1:21" s="84" customFormat="1" ht="24.95" customHeight="1">
      <c r="A94" s="3" t="s">
        <v>248</v>
      </c>
      <c r="B94" s="3" t="s">
        <v>380</v>
      </c>
      <c r="C94" s="3"/>
      <c r="D94" s="26" t="s">
        <v>249</v>
      </c>
      <c r="E94" s="63"/>
      <c r="F94" s="63"/>
      <c r="G94" s="63"/>
      <c r="H94" s="63"/>
      <c r="I94" s="63"/>
      <c r="J94" s="63"/>
      <c r="K94" s="63"/>
      <c r="L94" s="63"/>
      <c r="M94" s="63"/>
      <c r="N94" s="63"/>
      <c r="O94" s="63"/>
      <c r="P94" s="63"/>
      <c r="Q94" s="142">
        <f t="shared" si="11"/>
        <v>0</v>
      </c>
      <c r="R94" s="142" t="e">
        <f t="shared" si="12"/>
        <v>#DIV/0!</v>
      </c>
      <c r="T94" s="157"/>
      <c r="U94" s="40">
        <f t="shared" si="13"/>
        <v>0</v>
      </c>
    </row>
    <row r="95" spans="1:21" s="84" customFormat="1" ht="24.95" customHeight="1">
      <c r="A95" s="3" t="s">
        <v>250</v>
      </c>
      <c r="B95" s="3" t="s">
        <v>380</v>
      </c>
      <c r="C95" s="3"/>
      <c r="D95" s="26" t="s">
        <v>251</v>
      </c>
      <c r="E95" s="27">
        <f>+Laundry!E247+Laundry!E259</f>
        <v>0</v>
      </c>
      <c r="F95" s="27">
        <f>+Laundry!F247+Laundry!F259</f>
        <v>0</v>
      </c>
      <c r="G95" s="27">
        <f>+Laundry!G247+Laundry!G259</f>
        <v>0</v>
      </c>
      <c r="H95" s="27">
        <f>+Laundry!H247+Laundry!H259</f>
        <v>0</v>
      </c>
      <c r="I95" s="27">
        <f>+Laundry!I247+Laundry!I259</f>
        <v>0</v>
      </c>
      <c r="J95" s="27">
        <f>+Laundry!J247+Laundry!J259</f>
        <v>0</v>
      </c>
      <c r="K95" s="27">
        <f>+Laundry!K247+Laundry!K259</f>
        <v>0</v>
      </c>
      <c r="L95" s="27">
        <f>+Laundry!L247+Laundry!L259</f>
        <v>0</v>
      </c>
      <c r="M95" s="27">
        <f>+Laundry!M247+Laundry!M259</f>
        <v>0</v>
      </c>
      <c r="N95" s="27">
        <f>+Laundry!N247+Laundry!N259</f>
        <v>0</v>
      </c>
      <c r="O95" s="27">
        <f>+Laundry!O247+Laundry!O259</f>
        <v>0</v>
      </c>
      <c r="P95" s="27">
        <f>+Laundry!P247+Laundry!P259</f>
        <v>0</v>
      </c>
      <c r="Q95" s="142">
        <f t="shared" si="11"/>
        <v>0</v>
      </c>
      <c r="R95" s="142" t="e">
        <f t="shared" si="12"/>
        <v>#DIV/0!</v>
      </c>
      <c r="T95" s="157"/>
      <c r="U95" s="40">
        <f t="shared" si="13"/>
        <v>0</v>
      </c>
    </row>
    <row r="96" spans="1:21" s="84" customFormat="1" ht="24.95" hidden="1" customHeight="1">
      <c r="A96" s="3" t="s">
        <v>252</v>
      </c>
      <c r="B96" s="3" t="s">
        <v>380</v>
      </c>
      <c r="C96" s="3"/>
      <c r="D96" s="26" t="s">
        <v>253</v>
      </c>
      <c r="E96" s="63">
        <v>0</v>
      </c>
      <c r="F96" s="63">
        <v>0</v>
      </c>
      <c r="G96" s="63">
        <v>0</v>
      </c>
      <c r="H96" s="63">
        <v>0</v>
      </c>
      <c r="I96" s="63">
        <v>0</v>
      </c>
      <c r="J96" s="63">
        <v>0</v>
      </c>
      <c r="K96" s="63">
        <v>0</v>
      </c>
      <c r="L96" s="63">
        <v>0</v>
      </c>
      <c r="M96" s="63">
        <v>0</v>
      </c>
      <c r="N96" s="63">
        <v>0</v>
      </c>
      <c r="O96" s="63">
        <v>0</v>
      </c>
      <c r="P96" s="63">
        <v>0</v>
      </c>
      <c r="Q96" s="142">
        <f t="shared" si="11"/>
        <v>0</v>
      </c>
      <c r="R96" s="142" t="e">
        <f t="shared" si="12"/>
        <v>#DIV/0!</v>
      </c>
      <c r="T96" s="157"/>
      <c r="U96" s="40">
        <f t="shared" si="13"/>
        <v>0</v>
      </c>
    </row>
    <row r="97" spans="1:21" s="84" customFormat="1" ht="24.95" hidden="1" customHeight="1">
      <c r="A97" s="3" t="s">
        <v>254</v>
      </c>
      <c r="B97" s="3" t="s">
        <v>380</v>
      </c>
      <c r="C97" s="3"/>
      <c r="D97" s="26" t="s">
        <v>255</v>
      </c>
      <c r="E97" s="63">
        <v>0</v>
      </c>
      <c r="F97" s="63">
        <v>0</v>
      </c>
      <c r="G97" s="63">
        <v>0</v>
      </c>
      <c r="H97" s="63">
        <v>0</v>
      </c>
      <c r="I97" s="63">
        <v>0</v>
      </c>
      <c r="J97" s="63">
        <v>0</v>
      </c>
      <c r="K97" s="63">
        <v>0</v>
      </c>
      <c r="L97" s="63">
        <v>0</v>
      </c>
      <c r="M97" s="63">
        <v>0</v>
      </c>
      <c r="N97" s="63">
        <v>0</v>
      </c>
      <c r="O97" s="63">
        <v>0</v>
      </c>
      <c r="P97" s="63">
        <v>0</v>
      </c>
      <c r="Q97" s="142">
        <f t="shared" si="11"/>
        <v>0</v>
      </c>
      <c r="R97" s="142" t="e">
        <f t="shared" si="12"/>
        <v>#DIV/0!</v>
      </c>
      <c r="T97" s="157"/>
      <c r="U97" s="40">
        <f t="shared" si="13"/>
        <v>0</v>
      </c>
    </row>
    <row r="98" spans="1:21" s="84" customFormat="1" ht="24.95" hidden="1" customHeight="1">
      <c r="A98" s="3" t="s">
        <v>256</v>
      </c>
      <c r="B98" s="3" t="s">
        <v>380</v>
      </c>
      <c r="C98" s="3"/>
      <c r="D98" s="26" t="s">
        <v>257</v>
      </c>
      <c r="E98" s="63">
        <v>0</v>
      </c>
      <c r="F98" s="63">
        <v>0</v>
      </c>
      <c r="G98" s="63">
        <v>0</v>
      </c>
      <c r="H98" s="63">
        <v>0</v>
      </c>
      <c r="I98" s="63">
        <v>0</v>
      </c>
      <c r="J98" s="63">
        <v>0</v>
      </c>
      <c r="K98" s="63">
        <v>0</v>
      </c>
      <c r="L98" s="63">
        <v>0</v>
      </c>
      <c r="M98" s="63">
        <v>0</v>
      </c>
      <c r="N98" s="63">
        <v>0</v>
      </c>
      <c r="O98" s="63">
        <v>0</v>
      </c>
      <c r="P98" s="63">
        <v>0</v>
      </c>
      <c r="Q98" s="142">
        <f t="shared" si="11"/>
        <v>0</v>
      </c>
      <c r="R98" s="142" t="e">
        <f t="shared" si="12"/>
        <v>#DIV/0!</v>
      </c>
      <c r="T98" s="157"/>
      <c r="U98" s="40">
        <f t="shared" si="13"/>
        <v>0</v>
      </c>
    </row>
    <row r="99" spans="1:21" s="84" customFormat="1" ht="24.95" customHeight="1">
      <c r="A99" s="3" t="s">
        <v>258</v>
      </c>
      <c r="B99" s="3" t="s">
        <v>380</v>
      </c>
      <c r="C99" s="3"/>
      <c r="D99" s="26" t="s">
        <v>259</v>
      </c>
      <c r="E99" s="63"/>
      <c r="F99" s="63"/>
      <c r="G99" s="63"/>
      <c r="H99" s="63"/>
      <c r="I99" s="63"/>
      <c r="J99" s="63"/>
      <c r="K99" s="63"/>
      <c r="L99" s="63"/>
      <c r="M99" s="63"/>
      <c r="N99" s="63"/>
      <c r="O99" s="63"/>
      <c r="P99" s="63"/>
      <c r="Q99" s="142">
        <f t="shared" si="11"/>
        <v>0</v>
      </c>
      <c r="R99" s="142" t="e">
        <f t="shared" si="12"/>
        <v>#DIV/0!</v>
      </c>
      <c r="T99" s="157"/>
      <c r="U99" s="40"/>
    </row>
    <row r="100" spans="1:21" s="84" customFormat="1" ht="24.95" hidden="1" customHeight="1">
      <c r="A100" s="3" t="s">
        <v>260</v>
      </c>
      <c r="B100" s="3" t="s">
        <v>380</v>
      </c>
      <c r="C100" s="3"/>
      <c r="D100" s="26" t="s">
        <v>261</v>
      </c>
      <c r="E100" s="63"/>
      <c r="F100" s="63"/>
      <c r="G100" s="63"/>
      <c r="H100" s="63"/>
      <c r="I100" s="63"/>
      <c r="J100" s="63"/>
      <c r="K100" s="63"/>
      <c r="L100" s="63"/>
      <c r="M100" s="63"/>
      <c r="N100" s="63"/>
      <c r="O100" s="63"/>
      <c r="P100" s="63"/>
      <c r="Q100" s="142">
        <f t="shared" si="11"/>
        <v>0</v>
      </c>
      <c r="R100" s="142" t="e">
        <f t="shared" si="12"/>
        <v>#DIV/0!</v>
      </c>
      <c r="T100" s="157"/>
      <c r="U100" s="40">
        <f t="shared" si="13"/>
        <v>0</v>
      </c>
    </row>
    <row r="101" spans="1:21" s="84" customFormat="1" ht="24.95" hidden="1" customHeight="1">
      <c r="A101" s="3" t="s">
        <v>262</v>
      </c>
      <c r="B101" s="3" t="s">
        <v>380</v>
      </c>
      <c r="C101" s="3"/>
      <c r="D101" s="26" t="s">
        <v>263</v>
      </c>
      <c r="E101" s="63"/>
      <c r="F101" s="63"/>
      <c r="G101" s="63"/>
      <c r="H101" s="63"/>
      <c r="I101" s="63"/>
      <c r="J101" s="63"/>
      <c r="K101" s="63"/>
      <c r="L101" s="63"/>
      <c r="M101" s="63"/>
      <c r="N101" s="63"/>
      <c r="O101" s="63"/>
      <c r="P101" s="63"/>
      <c r="Q101" s="142">
        <f t="shared" si="11"/>
        <v>0</v>
      </c>
      <c r="R101" s="142" t="e">
        <f t="shared" si="12"/>
        <v>#DIV/0!</v>
      </c>
      <c r="T101" s="157"/>
      <c r="U101" s="40">
        <f t="shared" si="13"/>
        <v>0</v>
      </c>
    </row>
    <row r="102" spans="1:21" s="84" customFormat="1" ht="24.95" hidden="1" customHeight="1">
      <c r="A102" s="3" t="s">
        <v>264</v>
      </c>
      <c r="B102" s="3" t="s">
        <v>380</v>
      </c>
      <c r="C102" s="3"/>
      <c r="D102" s="26" t="s">
        <v>265</v>
      </c>
      <c r="E102" s="63"/>
      <c r="F102" s="63"/>
      <c r="G102" s="63"/>
      <c r="H102" s="63"/>
      <c r="I102" s="63"/>
      <c r="J102" s="63"/>
      <c r="K102" s="63"/>
      <c r="L102" s="63"/>
      <c r="M102" s="63"/>
      <c r="N102" s="63"/>
      <c r="O102" s="63"/>
      <c r="P102" s="63"/>
      <c r="Q102" s="142">
        <f t="shared" si="11"/>
        <v>0</v>
      </c>
      <c r="R102" s="142" t="e">
        <f t="shared" si="12"/>
        <v>#DIV/0!</v>
      </c>
      <c r="T102" s="157"/>
      <c r="U102" s="40">
        <f t="shared" si="13"/>
        <v>0</v>
      </c>
    </row>
    <row r="103" spans="1:21" s="84" customFormat="1" ht="24.95" hidden="1" customHeight="1">
      <c r="A103" s="3" t="s">
        <v>266</v>
      </c>
      <c r="B103" s="3" t="s">
        <v>380</v>
      </c>
      <c r="C103" s="3"/>
      <c r="D103" s="26" t="s">
        <v>267</v>
      </c>
      <c r="E103" s="63"/>
      <c r="F103" s="63"/>
      <c r="G103" s="63"/>
      <c r="H103" s="63"/>
      <c r="I103" s="63"/>
      <c r="J103" s="63"/>
      <c r="K103" s="63"/>
      <c r="L103" s="63"/>
      <c r="M103" s="63"/>
      <c r="N103" s="63"/>
      <c r="O103" s="63"/>
      <c r="P103" s="63"/>
      <c r="Q103" s="142">
        <f t="shared" si="11"/>
        <v>0</v>
      </c>
      <c r="R103" s="142" t="e">
        <f t="shared" si="12"/>
        <v>#DIV/0!</v>
      </c>
      <c r="T103" s="157"/>
      <c r="U103" s="40">
        <f t="shared" si="13"/>
        <v>0</v>
      </c>
    </row>
    <row r="104" spans="1:21" s="84" customFormat="1" ht="24.95" hidden="1" customHeight="1">
      <c r="A104" s="3" t="s">
        <v>268</v>
      </c>
      <c r="B104" s="3" t="s">
        <v>380</v>
      </c>
      <c r="C104" s="3"/>
      <c r="D104" s="26" t="s">
        <v>269</v>
      </c>
      <c r="E104" s="63"/>
      <c r="F104" s="63"/>
      <c r="G104" s="63"/>
      <c r="H104" s="63"/>
      <c r="I104" s="63"/>
      <c r="J104" s="63"/>
      <c r="K104" s="63"/>
      <c r="L104" s="63"/>
      <c r="M104" s="63"/>
      <c r="N104" s="63"/>
      <c r="O104" s="63"/>
      <c r="P104" s="63"/>
      <c r="Q104" s="142">
        <f t="shared" ref="Q104:Q107" si="15">SUM(E104:P104)</f>
        <v>0</v>
      </c>
      <c r="R104" s="142" t="e">
        <f>Q104/$Q$117</f>
        <v>#DIV/0!</v>
      </c>
      <c r="T104" s="157"/>
      <c r="U104" s="40">
        <f t="shared" si="13"/>
        <v>0</v>
      </c>
    </row>
    <row r="105" spans="1:21" s="84" customFormat="1" ht="24.95" hidden="1" customHeight="1">
      <c r="A105" s="3" t="s">
        <v>270</v>
      </c>
      <c r="B105" s="3" t="s">
        <v>380</v>
      </c>
      <c r="C105" s="3"/>
      <c r="D105" s="26" t="s">
        <v>271</v>
      </c>
      <c r="E105" s="63"/>
      <c r="F105" s="63"/>
      <c r="G105" s="63"/>
      <c r="H105" s="63"/>
      <c r="I105" s="63"/>
      <c r="J105" s="63"/>
      <c r="K105" s="63"/>
      <c r="L105" s="63"/>
      <c r="M105" s="63"/>
      <c r="N105" s="63"/>
      <c r="O105" s="63"/>
      <c r="P105" s="63"/>
      <c r="Q105" s="142">
        <f t="shared" si="15"/>
        <v>0</v>
      </c>
      <c r="R105" s="142" t="e">
        <f>Q105/$Q$117</f>
        <v>#DIV/0!</v>
      </c>
      <c r="T105" s="157"/>
      <c r="U105" s="40">
        <f t="shared" si="13"/>
        <v>0</v>
      </c>
    </row>
    <row r="106" spans="1:21" s="84" customFormat="1" ht="24.95" customHeight="1">
      <c r="A106" s="3" t="s">
        <v>272</v>
      </c>
      <c r="B106" s="3" t="s">
        <v>380</v>
      </c>
      <c r="C106" s="3"/>
      <c r="D106" s="26" t="s">
        <v>273</v>
      </c>
      <c r="E106" s="63"/>
      <c r="F106" s="63"/>
      <c r="G106" s="63"/>
      <c r="H106" s="63"/>
      <c r="I106" s="63"/>
      <c r="J106" s="63"/>
      <c r="K106" s="63"/>
      <c r="L106" s="63"/>
      <c r="M106" s="63"/>
      <c r="N106" s="63"/>
      <c r="O106" s="63"/>
      <c r="P106" s="63"/>
      <c r="Q106" s="142">
        <f t="shared" si="15"/>
        <v>0</v>
      </c>
      <c r="R106" s="142" t="e">
        <f>Q106/$Q$117</f>
        <v>#DIV/0!</v>
      </c>
      <c r="T106" s="157"/>
      <c r="U106" s="40">
        <f t="shared" si="13"/>
        <v>0</v>
      </c>
    </row>
    <row r="107" spans="1:21" s="84" customFormat="1" ht="24.95" customHeight="1">
      <c r="A107" s="3" t="s">
        <v>468</v>
      </c>
      <c r="B107" s="3" t="s">
        <v>380</v>
      </c>
      <c r="C107" s="3"/>
      <c r="D107" s="26" t="s">
        <v>469</v>
      </c>
      <c r="E107" s="27"/>
      <c r="F107" s="27"/>
      <c r="G107" s="27"/>
      <c r="H107" s="27"/>
      <c r="I107" s="27"/>
      <c r="J107" s="27"/>
      <c r="K107" s="27"/>
      <c r="L107" s="27"/>
      <c r="M107" s="27"/>
      <c r="N107" s="27"/>
      <c r="O107" s="27"/>
      <c r="P107" s="27"/>
      <c r="Q107" s="142">
        <f t="shared" si="15"/>
        <v>0</v>
      </c>
      <c r="R107" s="142" t="e">
        <f>Q107/$Q$117</f>
        <v>#DIV/0!</v>
      </c>
      <c r="T107" s="157"/>
      <c r="U107" s="40">
        <f t="shared" si="13"/>
        <v>0</v>
      </c>
    </row>
    <row r="108" spans="1:21" s="84" customFormat="1" ht="24.95" customHeight="1">
      <c r="A108" s="3"/>
      <c r="B108" s="3"/>
      <c r="C108" s="3"/>
      <c r="D108" s="19" t="s">
        <v>274</v>
      </c>
      <c r="E108" s="160">
        <f>SUM(E39:E107)</f>
        <v>0</v>
      </c>
      <c r="F108" s="160">
        <f t="shared" ref="F108:Q108" si="16">SUM(F39:F107)</f>
        <v>0</v>
      </c>
      <c r="G108" s="160">
        <f t="shared" si="16"/>
        <v>0</v>
      </c>
      <c r="H108" s="160">
        <f t="shared" si="16"/>
        <v>0</v>
      </c>
      <c r="I108" s="160">
        <f t="shared" si="16"/>
        <v>0</v>
      </c>
      <c r="J108" s="160">
        <f t="shared" si="16"/>
        <v>0</v>
      </c>
      <c r="K108" s="160">
        <f t="shared" si="16"/>
        <v>0</v>
      </c>
      <c r="L108" s="160">
        <f t="shared" si="16"/>
        <v>0</v>
      </c>
      <c r="M108" s="160">
        <f t="shared" si="16"/>
        <v>0</v>
      </c>
      <c r="N108" s="160">
        <f t="shared" si="16"/>
        <v>0</v>
      </c>
      <c r="O108" s="160">
        <f t="shared" si="16"/>
        <v>0</v>
      </c>
      <c r="P108" s="160">
        <f t="shared" si="16"/>
        <v>0</v>
      </c>
      <c r="Q108" s="160">
        <f t="shared" si="16"/>
        <v>0</v>
      </c>
      <c r="R108" s="142" t="e">
        <f>Q108/$Q$117</f>
        <v>#DIV/0!</v>
      </c>
      <c r="T108" s="157"/>
      <c r="U108" s="40">
        <f t="shared" si="13"/>
        <v>0</v>
      </c>
    </row>
    <row r="109" spans="1:21" s="84" customFormat="1" ht="24.95" customHeight="1">
      <c r="A109" s="3"/>
      <c r="B109" s="3"/>
      <c r="C109" s="3"/>
      <c r="D109" s="19" t="s">
        <v>275</v>
      </c>
      <c r="E109" s="160">
        <f>E28-E34-E36-E108</f>
        <v>0</v>
      </c>
      <c r="F109" s="160">
        <f t="shared" ref="F109:P109" si="17">F28-F34-F36-F108</f>
        <v>0</v>
      </c>
      <c r="G109" s="160">
        <f t="shared" si="17"/>
        <v>0</v>
      </c>
      <c r="H109" s="160">
        <f t="shared" si="17"/>
        <v>0</v>
      </c>
      <c r="I109" s="160">
        <f t="shared" si="17"/>
        <v>0</v>
      </c>
      <c r="J109" s="160">
        <f t="shared" si="17"/>
        <v>0</v>
      </c>
      <c r="K109" s="160">
        <f t="shared" si="17"/>
        <v>0</v>
      </c>
      <c r="L109" s="160">
        <f t="shared" si="17"/>
        <v>0</v>
      </c>
      <c r="M109" s="160">
        <f t="shared" si="17"/>
        <v>0</v>
      </c>
      <c r="N109" s="160">
        <f t="shared" si="17"/>
        <v>0</v>
      </c>
      <c r="O109" s="160">
        <f t="shared" si="17"/>
        <v>0</v>
      </c>
      <c r="P109" s="160">
        <f t="shared" si="17"/>
        <v>0</v>
      </c>
      <c r="Q109" s="160">
        <f t="shared" ref="Q109" si="18">Q28-Q34-Q36-Q108</f>
        <v>0</v>
      </c>
      <c r="R109" s="160"/>
      <c r="T109" s="157"/>
      <c r="U109" s="40">
        <f t="shared" ref="U109:U117" si="19">IF(Q109-T109=0,0,(Q109-T109)/T109)</f>
        <v>0</v>
      </c>
    </row>
    <row r="110" spans="1:21" s="84" customFormat="1" ht="24.95" customHeight="1">
      <c r="A110" s="3"/>
      <c r="B110" s="3"/>
      <c r="C110" s="3"/>
      <c r="D110" s="19" t="s">
        <v>276</v>
      </c>
      <c r="E110" s="137">
        <f t="shared" ref="E110:Q110" si="20">IF(E109=0,0,E109/E28)</f>
        <v>0</v>
      </c>
      <c r="F110" s="137">
        <f t="shared" si="20"/>
        <v>0</v>
      </c>
      <c r="G110" s="137">
        <f t="shared" si="20"/>
        <v>0</v>
      </c>
      <c r="H110" s="137">
        <f t="shared" si="20"/>
        <v>0</v>
      </c>
      <c r="I110" s="137">
        <f t="shared" si="20"/>
        <v>0</v>
      </c>
      <c r="J110" s="137">
        <f t="shared" si="20"/>
        <v>0</v>
      </c>
      <c r="K110" s="137">
        <f t="shared" si="20"/>
        <v>0</v>
      </c>
      <c r="L110" s="137">
        <f t="shared" si="20"/>
        <v>0</v>
      </c>
      <c r="M110" s="137">
        <f t="shared" si="20"/>
        <v>0</v>
      </c>
      <c r="N110" s="137">
        <f t="shared" si="20"/>
        <v>0</v>
      </c>
      <c r="O110" s="137">
        <f t="shared" si="20"/>
        <v>0</v>
      </c>
      <c r="P110" s="137">
        <f t="shared" si="20"/>
        <v>0</v>
      </c>
      <c r="Q110" s="137">
        <f t="shared" si="20"/>
        <v>0</v>
      </c>
      <c r="R110" s="179"/>
      <c r="T110" s="40"/>
      <c r="U110" s="40">
        <f t="shared" si="19"/>
        <v>0</v>
      </c>
    </row>
    <row r="111" spans="1:21" s="84" customFormat="1" ht="24.95" customHeight="1">
      <c r="A111" s="3"/>
      <c r="B111" s="3"/>
      <c r="C111" s="3"/>
      <c r="D111" s="19" t="s">
        <v>436</v>
      </c>
      <c r="E111" s="3"/>
      <c r="F111" s="3"/>
      <c r="G111" s="3"/>
      <c r="H111" s="3"/>
      <c r="I111" s="3"/>
      <c r="J111" s="3"/>
      <c r="K111" s="3"/>
      <c r="L111" s="3"/>
      <c r="T111" s="157"/>
      <c r="U111" s="40"/>
    </row>
    <row r="112" spans="1:21" s="84" customFormat="1" ht="24.95" customHeight="1">
      <c r="A112" s="50" t="s">
        <v>470</v>
      </c>
      <c r="B112" s="3" t="s">
        <v>380</v>
      </c>
      <c r="C112" s="3"/>
      <c r="D112" s="26" t="s">
        <v>453</v>
      </c>
      <c r="E112" s="81"/>
      <c r="F112" s="81"/>
      <c r="G112" s="81"/>
      <c r="H112" s="81"/>
      <c r="I112" s="81"/>
      <c r="J112" s="81"/>
      <c r="K112" s="81"/>
      <c r="L112" s="81"/>
      <c r="M112" s="81"/>
      <c r="N112" s="81"/>
      <c r="O112" s="81"/>
      <c r="P112" s="81"/>
      <c r="Q112" s="171">
        <f>SUM(E112:P112)</f>
        <v>0</v>
      </c>
      <c r="R112" s="171"/>
      <c r="T112" s="157"/>
      <c r="U112" s="40">
        <f t="shared" si="19"/>
        <v>0</v>
      </c>
    </row>
    <row r="113" spans="1:21" s="84" customFormat="1" ht="24.95" customHeight="1">
      <c r="A113" s="3" t="s">
        <v>471</v>
      </c>
      <c r="B113" s="3" t="s">
        <v>380</v>
      </c>
      <c r="C113" s="3"/>
      <c r="D113" s="26" t="s">
        <v>455</v>
      </c>
      <c r="E113" s="81"/>
      <c r="F113" s="81"/>
      <c r="G113" s="81"/>
      <c r="H113" s="81"/>
      <c r="I113" s="81"/>
      <c r="J113" s="81"/>
      <c r="K113" s="81"/>
      <c r="L113" s="81"/>
      <c r="M113" s="81"/>
      <c r="N113" s="81"/>
      <c r="O113" s="81"/>
      <c r="P113" s="81"/>
      <c r="Q113" s="171">
        <f t="shared" ref="Q113:Q116" si="21">SUM(E113:P113)</f>
        <v>0</v>
      </c>
      <c r="R113" s="171"/>
      <c r="T113" s="157"/>
      <c r="U113" s="40">
        <f t="shared" si="19"/>
        <v>0</v>
      </c>
    </row>
    <row r="114" spans="1:21" s="84" customFormat="1" ht="24.95" customHeight="1">
      <c r="A114" s="3" t="s">
        <v>472</v>
      </c>
      <c r="B114" s="3" t="s">
        <v>380</v>
      </c>
      <c r="C114" s="3"/>
      <c r="D114" s="26" t="s">
        <v>457</v>
      </c>
      <c r="E114" s="81"/>
      <c r="F114" s="81"/>
      <c r="G114" s="81"/>
      <c r="H114" s="81"/>
      <c r="I114" s="81"/>
      <c r="J114" s="81"/>
      <c r="K114" s="81"/>
      <c r="L114" s="81"/>
      <c r="M114" s="81"/>
      <c r="N114" s="81"/>
      <c r="O114" s="81"/>
      <c r="P114" s="81"/>
      <c r="Q114" s="171">
        <f t="shared" si="21"/>
        <v>0</v>
      </c>
      <c r="R114" s="171"/>
      <c r="T114" s="157"/>
      <c r="U114" s="40">
        <f t="shared" si="19"/>
        <v>0</v>
      </c>
    </row>
    <row r="115" spans="1:21" s="84" customFormat="1" ht="24.95" customHeight="1">
      <c r="A115" s="3" t="s">
        <v>473</v>
      </c>
      <c r="B115" s="3" t="s">
        <v>380</v>
      </c>
      <c r="C115" s="3"/>
      <c r="D115" s="26" t="s">
        <v>459</v>
      </c>
      <c r="E115" s="81"/>
      <c r="F115" s="81"/>
      <c r="G115" s="81"/>
      <c r="H115" s="81"/>
      <c r="I115" s="81"/>
      <c r="J115" s="81"/>
      <c r="K115" s="81"/>
      <c r="L115" s="81"/>
      <c r="M115" s="81"/>
      <c r="N115" s="81"/>
      <c r="O115" s="81"/>
      <c r="P115" s="81"/>
      <c r="Q115" s="171">
        <f t="shared" si="21"/>
        <v>0</v>
      </c>
      <c r="R115" s="171"/>
      <c r="T115" s="157"/>
      <c r="U115" s="40">
        <f t="shared" si="19"/>
        <v>0</v>
      </c>
    </row>
    <row r="116" spans="1:21" s="84" customFormat="1" ht="24.95" customHeight="1">
      <c r="A116" s="3" t="s">
        <v>474</v>
      </c>
      <c r="B116" s="3" t="s">
        <v>380</v>
      </c>
      <c r="C116" s="3"/>
      <c r="D116" s="26" t="s">
        <v>461</v>
      </c>
      <c r="E116" s="81">
        <v>0</v>
      </c>
      <c r="F116" s="81">
        <v>0</v>
      </c>
      <c r="G116" s="81">
        <v>0</v>
      </c>
      <c r="H116" s="81">
        <v>0</v>
      </c>
      <c r="I116" s="81">
        <v>0</v>
      </c>
      <c r="J116" s="81">
        <v>0</v>
      </c>
      <c r="K116" s="81">
        <v>0</v>
      </c>
      <c r="L116" s="81">
        <v>0</v>
      </c>
      <c r="M116" s="81">
        <v>0</v>
      </c>
      <c r="N116" s="81">
        <v>0</v>
      </c>
      <c r="O116" s="81">
        <v>0</v>
      </c>
      <c r="P116" s="81">
        <v>0</v>
      </c>
      <c r="Q116" s="171">
        <f t="shared" si="21"/>
        <v>0</v>
      </c>
      <c r="R116" s="171"/>
      <c r="T116" s="157"/>
      <c r="U116" s="40"/>
    </row>
    <row r="117" spans="1:21" s="84" customFormat="1" ht="24.95" customHeight="1">
      <c r="A117" s="3"/>
      <c r="B117" s="3"/>
      <c r="C117" s="3"/>
      <c r="D117" s="19" t="s">
        <v>439</v>
      </c>
      <c r="E117" s="169">
        <f>SUM(E112:E116)</f>
        <v>0</v>
      </c>
      <c r="F117" s="169">
        <f t="shared" ref="F117:P117" si="22">SUM(F112:F116)</f>
        <v>0</v>
      </c>
      <c r="G117" s="169">
        <f t="shared" si="22"/>
        <v>0</v>
      </c>
      <c r="H117" s="169">
        <f t="shared" si="22"/>
        <v>0</v>
      </c>
      <c r="I117" s="169">
        <f t="shared" si="22"/>
        <v>0</v>
      </c>
      <c r="J117" s="169">
        <f t="shared" si="22"/>
        <v>0</v>
      </c>
      <c r="K117" s="169">
        <f t="shared" si="22"/>
        <v>0</v>
      </c>
      <c r="L117" s="169">
        <f t="shared" si="22"/>
        <v>0</v>
      </c>
      <c r="M117" s="169">
        <f t="shared" si="22"/>
        <v>0</v>
      </c>
      <c r="N117" s="169">
        <f t="shared" si="22"/>
        <v>0</v>
      </c>
      <c r="O117" s="169">
        <f t="shared" si="22"/>
        <v>0</v>
      </c>
      <c r="P117" s="169">
        <f t="shared" si="22"/>
        <v>0</v>
      </c>
      <c r="Q117" s="169">
        <f t="shared" ref="Q117" si="23">SUM(Q112:Q116)</f>
        <v>0</v>
      </c>
      <c r="R117" s="169"/>
      <c r="T117" s="157"/>
      <c r="U117" s="40">
        <f t="shared" si="19"/>
        <v>0</v>
      </c>
    </row>
    <row r="118" spans="1:21" s="84" customFormat="1" ht="24.95" customHeight="1">
      <c r="A118" s="3"/>
      <c r="B118" s="3"/>
      <c r="C118" s="3"/>
      <c r="D118" s="3"/>
      <c r="E118" s="3"/>
      <c r="F118" s="3"/>
      <c r="G118" s="3"/>
      <c r="H118" s="3"/>
      <c r="I118" s="3"/>
      <c r="J118" s="3"/>
      <c r="K118" s="3"/>
      <c r="L118" s="3"/>
      <c r="T118" s="157"/>
      <c r="U118" s="40"/>
    </row>
    <row r="119" spans="1:21" s="84" customFormat="1" ht="24.95" customHeight="1">
      <c r="A119" s="3"/>
      <c r="B119" s="3"/>
      <c r="C119" s="3"/>
      <c r="D119" s="19" t="s">
        <v>440</v>
      </c>
      <c r="E119" s="3"/>
      <c r="F119" s="3"/>
      <c r="G119" s="3"/>
      <c r="H119" s="3"/>
      <c r="I119" s="3"/>
      <c r="J119" s="3"/>
      <c r="K119" s="3"/>
      <c r="L119" s="3"/>
      <c r="T119" s="157"/>
      <c r="U119" s="40"/>
    </row>
    <row r="120" spans="1:21" s="84" customFormat="1" ht="24.95" customHeight="1">
      <c r="A120" s="3"/>
      <c r="B120" s="3"/>
      <c r="C120" s="3"/>
      <c r="D120" s="26" t="s">
        <v>453</v>
      </c>
      <c r="E120" s="61">
        <f t="shared" ref="E120:Q120" si="24">IF(E112=0,0,ROUND(E12/E112,2))</f>
        <v>0</v>
      </c>
      <c r="F120" s="61">
        <f t="shared" si="24"/>
        <v>0</v>
      </c>
      <c r="G120" s="61">
        <f t="shared" si="24"/>
        <v>0</v>
      </c>
      <c r="H120" s="61">
        <f t="shared" ref="H120:L123" si="25">IF(H112=0,0,ROUND(H12/H112,2))</f>
        <v>0</v>
      </c>
      <c r="I120" s="61">
        <f t="shared" si="25"/>
        <v>0</v>
      </c>
      <c r="J120" s="61">
        <f t="shared" si="25"/>
        <v>0</v>
      </c>
      <c r="K120" s="61">
        <f t="shared" si="25"/>
        <v>0</v>
      </c>
      <c r="L120" s="61">
        <f t="shared" si="25"/>
        <v>0</v>
      </c>
      <c r="M120" s="61">
        <f t="shared" si="24"/>
        <v>0</v>
      </c>
      <c r="N120" s="61">
        <f t="shared" si="24"/>
        <v>0</v>
      </c>
      <c r="O120" s="61">
        <f t="shared" si="24"/>
        <v>0</v>
      </c>
      <c r="P120" s="61">
        <f t="shared" si="24"/>
        <v>0</v>
      </c>
      <c r="Q120" s="61">
        <f t="shared" si="24"/>
        <v>0</v>
      </c>
      <c r="R120" s="172"/>
      <c r="T120" s="157"/>
      <c r="U120" s="40">
        <f t="shared" ref="U120:U125" si="26">IF(Q120-T120=0,0,(Q120-T120)/T120)</f>
        <v>0</v>
      </c>
    </row>
    <row r="121" spans="1:21" s="84" customFormat="1" ht="24.95" customHeight="1">
      <c r="A121" s="3"/>
      <c r="B121" s="3"/>
      <c r="C121" s="3"/>
      <c r="D121" s="26" t="s">
        <v>455</v>
      </c>
      <c r="E121" s="61">
        <f t="shared" ref="E121:Q121" si="27">IF(E113=0,0,ROUND(E13/E113,2))</f>
        <v>0</v>
      </c>
      <c r="F121" s="61">
        <f t="shared" si="27"/>
        <v>0</v>
      </c>
      <c r="G121" s="61">
        <f t="shared" si="27"/>
        <v>0</v>
      </c>
      <c r="H121" s="61">
        <f t="shared" si="25"/>
        <v>0</v>
      </c>
      <c r="I121" s="61">
        <f t="shared" si="25"/>
        <v>0</v>
      </c>
      <c r="J121" s="61">
        <f t="shared" si="25"/>
        <v>0</v>
      </c>
      <c r="K121" s="61">
        <f t="shared" si="25"/>
        <v>0</v>
      </c>
      <c r="L121" s="61">
        <f t="shared" si="25"/>
        <v>0</v>
      </c>
      <c r="M121" s="61">
        <f t="shared" si="27"/>
        <v>0</v>
      </c>
      <c r="N121" s="61">
        <f t="shared" si="27"/>
        <v>0</v>
      </c>
      <c r="O121" s="61">
        <f t="shared" si="27"/>
        <v>0</v>
      </c>
      <c r="P121" s="61">
        <f t="shared" si="27"/>
        <v>0</v>
      </c>
      <c r="Q121" s="61">
        <f t="shared" si="27"/>
        <v>0</v>
      </c>
      <c r="R121" s="172"/>
      <c r="T121" s="157"/>
      <c r="U121" s="40">
        <f t="shared" si="26"/>
        <v>0</v>
      </c>
    </row>
    <row r="122" spans="1:21" s="84" customFormat="1" ht="24.95" customHeight="1">
      <c r="A122" s="3"/>
      <c r="B122" s="3"/>
      <c r="C122" s="3"/>
      <c r="D122" s="26" t="s">
        <v>457</v>
      </c>
      <c r="E122" s="61">
        <f t="shared" ref="E122:Q122" si="28">IF(E114=0,0,ROUND(E14/E114,2))</f>
        <v>0</v>
      </c>
      <c r="F122" s="61">
        <f t="shared" si="28"/>
        <v>0</v>
      </c>
      <c r="G122" s="61">
        <f t="shared" si="28"/>
        <v>0</v>
      </c>
      <c r="H122" s="61">
        <f t="shared" si="25"/>
        <v>0</v>
      </c>
      <c r="I122" s="61">
        <f t="shared" si="25"/>
        <v>0</v>
      </c>
      <c r="J122" s="61">
        <f t="shared" si="25"/>
        <v>0</v>
      </c>
      <c r="K122" s="61">
        <f t="shared" si="25"/>
        <v>0</v>
      </c>
      <c r="L122" s="61">
        <f t="shared" si="25"/>
        <v>0</v>
      </c>
      <c r="M122" s="61">
        <f t="shared" si="28"/>
        <v>0</v>
      </c>
      <c r="N122" s="61">
        <f t="shared" si="28"/>
        <v>0</v>
      </c>
      <c r="O122" s="61">
        <f t="shared" si="28"/>
        <v>0</v>
      </c>
      <c r="P122" s="61">
        <f t="shared" si="28"/>
        <v>0</v>
      </c>
      <c r="Q122" s="61">
        <f t="shared" si="28"/>
        <v>0</v>
      </c>
      <c r="R122" s="172"/>
      <c r="T122" s="157"/>
      <c r="U122" s="40">
        <f t="shared" si="26"/>
        <v>0</v>
      </c>
    </row>
    <row r="123" spans="1:21" s="84" customFormat="1" ht="24.95" customHeight="1">
      <c r="A123" s="3"/>
      <c r="B123" s="3"/>
      <c r="C123" s="3"/>
      <c r="D123" s="26" t="s">
        <v>459</v>
      </c>
      <c r="E123" s="61">
        <f t="shared" ref="E123:Q123" si="29">IF(E115=0,0,ROUND(E15/E115,2))</f>
        <v>0</v>
      </c>
      <c r="F123" s="61">
        <f t="shared" si="29"/>
        <v>0</v>
      </c>
      <c r="G123" s="61">
        <f t="shared" si="29"/>
        <v>0</v>
      </c>
      <c r="H123" s="61">
        <f t="shared" si="25"/>
        <v>0</v>
      </c>
      <c r="I123" s="61">
        <f t="shared" si="25"/>
        <v>0</v>
      </c>
      <c r="J123" s="61">
        <f t="shared" si="25"/>
        <v>0</v>
      </c>
      <c r="K123" s="61">
        <f t="shared" si="25"/>
        <v>0</v>
      </c>
      <c r="L123" s="61">
        <f t="shared" si="25"/>
        <v>0</v>
      </c>
      <c r="M123" s="61">
        <f t="shared" si="29"/>
        <v>0</v>
      </c>
      <c r="N123" s="61">
        <f t="shared" si="29"/>
        <v>0</v>
      </c>
      <c r="O123" s="61">
        <f t="shared" si="29"/>
        <v>0</v>
      </c>
      <c r="P123" s="61">
        <f t="shared" si="29"/>
        <v>0</v>
      </c>
      <c r="Q123" s="61">
        <f t="shared" si="29"/>
        <v>0</v>
      </c>
      <c r="R123" s="172"/>
      <c r="T123" s="157"/>
      <c r="U123" s="40">
        <f t="shared" si="26"/>
        <v>0</v>
      </c>
    </row>
    <row r="124" spans="1:21" s="84" customFormat="1" ht="24.95" customHeight="1">
      <c r="A124" s="3"/>
      <c r="B124" s="3"/>
      <c r="C124" s="3"/>
      <c r="D124" s="26" t="s">
        <v>461</v>
      </c>
      <c r="E124" s="61">
        <f t="shared" ref="E124:Q124" si="30">IF(E116=0,0,ROUND(E16/E116,2))</f>
        <v>0</v>
      </c>
      <c r="F124" s="61">
        <f t="shared" si="30"/>
        <v>0</v>
      </c>
      <c r="G124" s="61">
        <f t="shared" si="30"/>
        <v>0</v>
      </c>
      <c r="H124" s="61">
        <f t="shared" si="30"/>
        <v>0</v>
      </c>
      <c r="I124" s="61">
        <f t="shared" si="30"/>
        <v>0</v>
      </c>
      <c r="J124" s="61">
        <f t="shared" si="30"/>
        <v>0</v>
      </c>
      <c r="K124" s="61">
        <f t="shared" si="30"/>
        <v>0</v>
      </c>
      <c r="L124" s="61">
        <f t="shared" ref="L124:Q125" si="31">IF(L116=0,0,ROUND(L16/L116,2))</f>
        <v>0</v>
      </c>
      <c r="M124" s="61">
        <f t="shared" si="30"/>
        <v>0</v>
      </c>
      <c r="N124" s="61">
        <f t="shared" si="30"/>
        <v>0</v>
      </c>
      <c r="O124" s="61">
        <f t="shared" si="30"/>
        <v>0</v>
      </c>
      <c r="P124" s="61">
        <f t="shared" si="30"/>
        <v>0</v>
      </c>
      <c r="Q124" s="61">
        <f t="shared" si="30"/>
        <v>0</v>
      </c>
      <c r="R124" s="172"/>
      <c r="T124" s="157"/>
      <c r="U124" s="40"/>
    </row>
    <row r="125" spans="1:21" s="84" customFormat="1" ht="24.95" customHeight="1">
      <c r="A125" s="3"/>
      <c r="B125" s="3"/>
      <c r="C125" s="3"/>
      <c r="D125" s="19" t="s">
        <v>442</v>
      </c>
      <c r="E125" s="170">
        <f>IF(E117=0,0,ROUND(E17/E117,2))</f>
        <v>0</v>
      </c>
      <c r="F125" s="170">
        <f t="shared" ref="F125:K125" si="32">IF(F117=0,0,ROUND(F17/F117,2))</f>
        <v>0</v>
      </c>
      <c r="G125" s="170">
        <f t="shared" si="32"/>
        <v>0</v>
      </c>
      <c r="H125" s="170">
        <f t="shared" si="32"/>
        <v>0</v>
      </c>
      <c r="I125" s="170">
        <f t="shared" si="32"/>
        <v>0</v>
      </c>
      <c r="J125" s="170">
        <f t="shared" si="32"/>
        <v>0</v>
      </c>
      <c r="K125" s="170">
        <f t="shared" si="32"/>
        <v>0</v>
      </c>
      <c r="L125" s="170">
        <f t="shared" si="31"/>
        <v>0</v>
      </c>
      <c r="M125" s="170">
        <f t="shared" si="31"/>
        <v>0</v>
      </c>
      <c r="N125" s="170">
        <f t="shared" si="31"/>
        <v>0</v>
      </c>
      <c r="O125" s="170">
        <f t="shared" si="31"/>
        <v>0</v>
      </c>
      <c r="P125" s="170">
        <f t="shared" si="31"/>
        <v>0</v>
      </c>
      <c r="Q125" s="170">
        <f t="shared" si="31"/>
        <v>0</v>
      </c>
      <c r="R125" s="173"/>
      <c r="T125" s="157"/>
      <c r="U125" s="40">
        <f t="shared" si="26"/>
        <v>0</v>
      </c>
    </row>
    <row r="126" spans="1:21" s="84" customFormat="1" ht="24.95" customHeight="1">
      <c r="A126" s="3"/>
      <c r="B126" s="3"/>
      <c r="C126" s="3"/>
      <c r="D126" s="3"/>
      <c r="E126" s="3"/>
      <c r="F126" s="3"/>
      <c r="G126" s="3"/>
      <c r="H126" s="3"/>
      <c r="I126" s="3"/>
      <c r="J126" s="3"/>
      <c r="K126" s="3"/>
      <c r="L126" s="3"/>
      <c r="T126" s="157"/>
      <c r="U126" s="40"/>
    </row>
    <row r="127" spans="1:21" s="84" customFormat="1" ht="24.95" customHeight="1">
      <c r="A127" s="3"/>
      <c r="B127" s="3"/>
      <c r="C127" s="3"/>
      <c r="D127" s="19" t="s">
        <v>443</v>
      </c>
      <c r="E127" s="160">
        <f t="shared" ref="E127:Q127" si="33">IF(E117=0,0,ROUND((E34+E36+E108)/E117,2))</f>
        <v>0</v>
      </c>
      <c r="F127" s="160">
        <f t="shared" si="33"/>
        <v>0</v>
      </c>
      <c r="G127" s="160">
        <f t="shared" si="33"/>
        <v>0</v>
      </c>
      <c r="H127" s="160">
        <f t="shared" si="33"/>
        <v>0</v>
      </c>
      <c r="I127" s="160">
        <f t="shared" si="33"/>
        <v>0</v>
      </c>
      <c r="J127" s="160">
        <f t="shared" si="33"/>
        <v>0</v>
      </c>
      <c r="K127" s="160">
        <f t="shared" si="33"/>
        <v>0</v>
      </c>
      <c r="L127" s="160">
        <f t="shared" si="33"/>
        <v>0</v>
      </c>
      <c r="M127" s="160">
        <f t="shared" si="33"/>
        <v>0</v>
      </c>
      <c r="N127" s="160">
        <f t="shared" si="33"/>
        <v>0</v>
      </c>
      <c r="O127" s="160">
        <f t="shared" si="33"/>
        <v>0</v>
      </c>
      <c r="P127" s="160">
        <f t="shared" si="33"/>
        <v>0</v>
      </c>
      <c r="Q127" s="160">
        <f t="shared" si="33"/>
        <v>0</v>
      </c>
      <c r="R127" s="160"/>
      <c r="T127" s="157"/>
      <c r="U127" s="40">
        <f>-IF(Q127-T127=0,0,(Q127-T127)/T127)</f>
        <v>0</v>
      </c>
    </row>
    <row r="128" spans="1:21" s="84" customFormat="1" ht="24.95" customHeight="1">
      <c r="A128" s="3"/>
      <c r="B128" s="3"/>
      <c r="C128" s="3"/>
      <c r="D128" s="3"/>
      <c r="E128" s="3"/>
      <c r="F128" s="3"/>
      <c r="G128" s="3"/>
      <c r="H128" s="3"/>
      <c r="I128" s="3"/>
      <c r="J128" s="3"/>
      <c r="K128" s="3"/>
      <c r="L128" s="3"/>
      <c r="T128" s="157"/>
      <c r="U128" s="40"/>
    </row>
    <row r="129" spans="1:21" s="84" customFormat="1" ht="24.95" customHeight="1">
      <c r="A129" s="3"/>
      <c r="B129" s="3"/>
      <c r="C129" s="3"/>
      <c r="D129" s="19" t="s">
        <v>293</v>
      </c>
      <c r="E129" s="3"/>
      <c r="F129" s="3"/>
      <c r="G129" s="3"/>
      <c r="H129" s="3"/>
      <c r="I129" s="3"/>
      <c r="J129" s="3"/>
      <c r="K129" s="3"/>
      <c r="L129" s="3"/>
      <c r="T129" s="157"/>
      <c r="U129" s="40"/>
    </row>
    <row r="130" spans="1:21" s="84" customFormat="1" ht="24.95" customHeight="1">
      <c r="A130" s="3"/>
      <c r="B130" s="3"/>
      <c r="C130" s="3"/>
      <c r="D130" s="19" t="s">
        <v>444</v>
      </c>
      <c r="E130" s="3"/>
      <c r="F130" s="3"/>
      <c r="G130" s="3"/>
      <c r="H130" s="3"/>
      <c r="I130" s="3"/>
      <c r="J130" s="3"/>
      <c r="K130" s="3"/>
      <c r="L130" s="3"/>
      <c r="T130" s="157"/>
      <c r="U130" s="40"/>
    </row>
    <row r="131" spans="1:21" s="84" customFormat="1" ht="24.95" customHeight="1">
      <c r="A131" s="3" t="s">
        <v>295</v>
      </c>
      <c r="B131" s="3" t="s">
        <v>380</v>
      </c>
      <c r="C131" s="3"/>
      <c r="D131" s="3" t="s">
        <v>297</v>
      </c>
      <c r="E131" s="142">
        <f>Summary!E$177+Summary!E$512</f>
        <v>0</v>
      </c>
      <c r="F131" s="142">
        <f>Summary!F$177+Summary!F$512</f>
        <v>0</v>
      </c>
      <c r="G131" s="142">
        <f>Summary!G$177+Summary!G$512</f>
        <v>0</v>
      </c>
      <c r="H131" s="142">
        <f>Summary!H$177+Summary!H$512</f>
        <v>0</v>
      </c>
      <c r="I131" s="142">
        <f>Summary!I$177+Summary!I$512</f>
        <v>0</v>
      </c>
      <c r="J131" s="142">
        <f>Summary!J$177+Summary!J$512</f>
        <v>0</v>
      </c>
      <c r="K131" s="142">
        <f>Summary!K$177+Summary!K$512</f>
        <v>0</v>
      </c>
      <c r="L131" s="142">
        <f>Summary!L$177+Summary!L$512</f>
        <v>0</v>
      </c>
      <c r="M131" s="142">
        <f>Summary!M$177+Summary!M$512</f>
        <v>0</v>
      </c>
      <c r="N131" s="142">
        <f>Summary!N$177+Summary!N$512</f>
        <v>0</v>
      </c>
      <c r="O131" s="142">
        <f>Summary!O$177+Summary!O$512</f>
        <v>0</v>
      </c>
      <c r="P131" s="142">
        <f>Summary!P$177+Summary!P$512</f>
        <v>0</v>
      </c>
      <c r="Q131" s="142">
        <f>SUM(E131:P131)</f>
        <v>0</v>
      </c>
      <c r="R131" s="142" t="e">
        <f>Q131/$Q$117</f>
        <v>#DIV/0!</v>
      </c>
      <c r="T131" s="157"/>
      <c r="U131" s="40">
        <f>-IF(Q131-T131=0,0,(Q131-T131)/T131)</f>
        <v>0</v>
      </c>
    </row>
    <row r="132" spans="1:21" s="84" customFormat="1" ht="24.95" customHeight="1">
      <c r="A132" s="50" t="s">
        <v>298</v>
      </c>
      <c r="B132" s="3" t="s">
        <v>380</v>
      </c>
      <c r="C132" s="3"/>
      <c r="D132" s="3" t="s">
        <v>447</v>
      </c>
      <c r="E132" s="61"/>
      <c r="F132" s="61"/>
      <c r="G132" s="61"/>
      <c r="H132" s="61"/>
      <c r="I132" s="61"/>
      <c r="J132" s="61"/>
      <c r="K132" s="61"/>
      <c r="L132" s="61"/>
      <c r="M132" s="61"/>
      <c r="N132" s="61"/>
      <c r="O132" s="61"/>
      <c r="P132" s="61"/>
      <c r="Q132" s="142">
        <f>SUM(E132:P132)</f>
        <v>0</v>
      </c>
      <c r="R132" s="142" t="e">
        <f>Q132/$Q$117</f>
        <v>#DIV/0!</v>
      </c>
      <c r="T132" s="157"/>
      <c r="U132" s="40">
        <f t="shared" ref="U132:U151" si="34">-IF(Q132-T132=0,0,(Q132-T132)/T132)</f>
        <v>0</v>
      </c>
    </row>
    <row r="133" spans="1:21" s="84" customFormat="1" ht="24.95" customHeight="1">
      <c r="A133" s="50" t="s">
        <v>298</v>
      </c>
      <c r="B133" s="3" t="s">
        <v>380</v>
      </c>
      <c r="C133" s="3"/>
      <c r="D133" s="3" t="s">
        <v>449</v>
      </c>
      <c r="E133" s="61">
        <f>Summary!E$513</f>
        <v>0</v>
      </c>
      <c r="F133" s="61">
        <f>Summary!F$513</f>
        <v>0</v>
      </c>
      <c r="G133" s="61">
        <f>Summary!G$513</f>
        <v>0</v>
      </c>
      <c r="H133" s="61">
        <f>Summary!H$513</f>
        <v>0</v>
      </c>
      <c r="I133" s="61">
        <f>Summary!I$513</f>
        <v>0</v>
      </c>
      <c r="J133" s="61">
        <f>Summary!J$513</f>
        <v>0</v>
      </c>
      <c r="K133" s="61">
        <f>Summary!K$513</f>
        <v>0</v>
      </c>
      <c r="L133" s="61">
        <f>Summary!L$513</f>
        <v>0</v>
      </c>
      <c r="M133" s="61">
        <f>Summary!M$513</f>
        <v>0</v>
      </c>
      <c r="N133" s="61">
        <f>Summary!N$513</f>
        <v>0</v>
      </c>
      <c r="O133" s="61">
        <f>Summary!O$513</f>
        <v>0</v>
      </c>
      <c r="P133" s="61">
        <f>Summary!P$513</f>
        <v>0</v>
      </c>
      <c r="Q133" s="142">
        <f>SUM(E133:P133)</f>
        <v>0</v>
      </c>
      <c r="R133" s="142" t="e">
        <f>Q133/$Q$117</f>
        <v>#DIV/0!</v>
      </c>
      <c r="T133" s="157"/>
      <c r="U133" s="40">
        <f t="shared" si="34"/>
        <v>0</v>
      </c>
    </row>
    <row r="134" spans="1:21" s="84" customFormat="1" ht="24.95" customHeight="1">
      <c r="A134" s="3"/>
      <c r="B134" s="3"/>
      <c r="C134" s="3"/>
      <c r="D134" s="19" t="s">
        <v>450</v>
      </c>
      <c r="E134" s="160">
        <f>SUM(E131:E133)</f>
        <v>0</v>
      </c>
      <c r="F134" s="160">
        <f t="shared" ref="F134:Q134" si="35">SUM(F131:F133)</f>
        <v>0</v>
      </c>
      <c r="G134" s="160">
        <f t="shared" si="35"/>
        <v>0</v>
      </c>
      <c r="H134" s="160">
        <f t="shared" si="35"/>
        <v>0</v>
      </c>
      <c r="I134" s="160">
        <f t="shared" si="35"/>
        <v>0</v>
      </c>
      <c r="J134" s="160">
        <f t="shared" si="35"/>
        <v>0</v>
      </c>
      <c r="K134" s="160">
        <f t="shared" si="35"/>
        <v>0</v>
      </c>
      <c r="L134" s="160">
        <f t="shared" si="35"/>
        <v>0</v>
      </c>
      <c r="M134" s="160">
        <f t="shared" si="35"/>
        <v>0</v>
      </c>
      <c r="N134" s="160">
        <f t="shared" si="35"/>
        <v>0</v>
      </c>
      <c r="O134" s="160">
        <f t="shared" si="35"/>
        <v>0</v>
      </c>
      <c r="P134" s="160">
        <f t="shared" si="35"/>
        <v>0</v>
      </c>
      <c r="Q134" s="160">
        <f t="shared" si="35"/>
        <v>0</v>
      </c>
      <c r="R134" s="142" t="e">
        <f>Q134/$Q$117</f>
        <v>#DIV/0!</v>
      </c>
      <c r="T134" s="157"/>
      <c r="U134" s="40">
        <f t="shared" si="34"/>
        <v>0</v>
      </c>
    </row>
    <row r="135" spans="1:21" s="84" customFormat="1" ht="24.95" customHeight="1">
      <c r="A135" s="3"/>
      <c r="B135" s="3"/>
      <c r="C135" s="3"/>
      <c r="D135" s="3"/>
      <c r="E135" s="3"/>
      <c r="F135" s="3"/>
      <c r="G135" s="3"/>
      <c r="H135" s="3"/>
      <c r="I135" s="3"/>
      <c r="J135" s="3"/>
      <c r="K135" s="3"/>
      <c r="L135" s="3"/>
      <c r="M135" s="161"/>
      <c r="T135" s="157"/>
      <c r="U135" s="40"/>
    </row>
    <row r="136" spans="1:21" s="84" customFormat="1" ht="24.95" customHeight="1">
      <c r="A136" s="3" t="s">
        <v>306</v>
      </c>
      <c r="B136" s="3" t="s">
        <v>380</v>
      </c>
      <c r="C136" s="3"/>
      <c r="D136" s="26" t="s">
        <v>307</v>
      </c>
      <c r="E136" s="61">
        <f>Summary!E$179+Summary!E$514</f>
        <v>0</v>
      </c>
      <c r="F136" s="61">
        <f>Summary!F$179+Summary!F$514</f>
        <v>0</v>
      </c>
      <c r="G136" s="61">
        <f>Summary!G$179+Summary!G$514</f>
        <v>0</v>
      </c>
      <c r="H136" s="61">
        <f>Summary!H$179+Summary!H$514</f>
        <v>0</v>
      </c>
      <c r="I136" s="61">
        <f>Summary!I$179+Summary!I$514</f>
        <v>0</v>
      </c>
      <c r="J136" s="61">
        <f>Summary!J$179+Summary!J$514</f>
        <v>0</v>
      </c>
      <c r="K136" s="61">
        <f>Summary!K$179+Summary!K$514</f>
        <v>0</v>
      </c>
      <c r="L136" s="61">
        <f>Summary!L$179+Summary!L$514</f>
        <v>0</v>
      </c>
      <c r="M136" s="61">
        <f>Summary!M$179+Summary!M$514</f>
        <v>0</v>
      </c>
      <c r="N136" s="61">
        <f>Summary!N$179+Summary!N$514</f>
        <v>0</v>
      </c>
      <c r="O136" s="61">
        <f>Summary!O$179+Summary!O$514</f>
        <v>0</v>
      </c>
      <c r="P136" s="61">
        <f>Summary!P$179+Summary!P$514</f>
        <v>0</v>
      </c>
      <c r="Q136" s="142">
        <f>SUM(E136:P136)</f>
        <v>0</v>
      </c>
      <c r="R136" s="142" t="e">
        <f t="shared" ref="R136:R141" si="36">Q136/$Q$117</f>
        <v>#DIV/0!</v>
      </c>
      <c r="T136" s="157"/>
      <c r="U136" s="40">
        <f t="shared" si="34"/>
        <v>0</v>
      </c>
    </row>
    <row r="137" spans="1:21" s="84" customFormat="1" ht="24.95" customHeight="1">
      <c r="A137" s="3" t="s">
        <v>308</v>
      </c>
      <c r="B137" s="3" t="s">
        <v>380</v>
      </c>
      <c r="C137" s="3"/>
      <c r="D137" s="26" t="s">
        <v>309</v>
      </c>
      <c r="E137" s="61">
        <f>Summary!E$180+Summary!E$515</f>
        <v>0</v>
      </c>
      <c r="F137" s="61">
        <f>Summary!F$180+Summary!F$515</f>
        <v>0</v>
      </c>
      <c r="G137" s="61">
        <f>Summary!G$180+Summary!G$515</f>
        <v>0</v>
      </c>
      <c r="H137" s="61">
        <f>Summary!H$180+Summary!H$515</f>
        <v>0</v>
      </c>
      <c r="I137" s="61">
        <f>Summary!I$180+Summary!I$515</f>
        <v>0</v>
      </c>
      <c r="J137" s="61">
        <f>Summary!J$180+Summary!J$515</f>
        <v>0</v>
      </c>
      <c r="K137" s="61">
        <f>Summary!K$180+Summary!K$515</f>
        <v>0</v>
      </c>
      <c r="L137" s="61">
        <f>Summary!L$180+Summary!L$515</f>
        <v>0</v>
      </c>
      <c r="M137" s="61">
        <f>Summary!M$180+Summary!M$515</f>
        <v>0</v>
      </c>
      <c r="N137" s="61">
        <f>Summary!N$180+Summary!N$515</f>
        <v>0</v>
      </c>
      <c r="O137" s="61">
        <f>Summary!O$180+Summary!O$515</f>
        <v>0</v>
      </c>
      <c r="P137" s="61">
        <f>Summary!P$180+Summary!P$515</f>
        <v>0</v>
      </c>
      <c r="Q137" s="142">
        <f>SUM(E137:P137)</f>
        <v>0</v>
      </c>
      <c r="R137" s="142" t="e">
        <f t="shared" si="36"/>
        <v>#DIV/0!</v>
      </c>
      <c r="T137" s="157"/>
      <c r="U137" s="40">
        <f t="shared" si="34"/>
        <v>0</v>
      </c>
    </row>
    <row r="138" spans="1:21" s="84" customFormat="1" ht="24.95" customHeight="1">
      <c r="A138" s="3" t="s">
        <v>310</v>
      </c>
      <c r="B138" s="3" t="s">
        <v>380</v>
      </c>
      <c r="C138" s="3"/>
      <c r="D138" s="26" t="s">
        <v>311</v>
      </c>
      <c r="E138" s="61">
        <f>Summary!E$181+Summary!E$516</f>
        <v>0</v>
      </c>
      <c r="F138" s="61">
        <f>Summary!F$181+Summary!F$516</f>
        <v>0</v>
      </c>
      <c r="G138" s="61">
        <f>Summary!G$181+Summary!G$516</f>
        <v>0</v>
      </c>
      <c r="H138" s="61">
        <f>Summary!H$181+Summary!H$516</f>
        <v>0</v>
      </c>
      <c r="I138" s="61">
        <f>Summary!I$181+Summary!I$516</f>
        <v>0</v>
      </c>
      <c r="J138" s="61">
        <f>Summary!J$181+Summary!J$516</f>
        <v>0</v>
      </c>
      <c r="K138" s="61">
        <f>Summary!K$181+Summary!K$516</f>
        <v>0</v>
      </c>
      <c r="L138" s="61">
        <f>Summary!L$181+Summary!L$516</f>
        <v>0</v>
      </c>
      <c r="M138" s="61">
        <f>Summary!M$181+Summary!M$516</f>
        <v>0</v>
      </c>
      <c r="N138" s="61">
        <f>Summary!N$181+Summary!N$516</f>
        <v>0</v>
      </c>
      <c r="O138" s="61">
        <f>Summary!O$181+Summary!O$516</f>
        <v>0</v>
      </c>
      <c r="P138" s="61">
        <f>Summary!P$181+Summary!P$516</f>
        <v>0</v>
      </c>
      <c r="Q138" s="142">
        <f>SUM(E138:P138)</f>
        <v>0</v>
      </c>
      <c r="R138" s="142" t="e">
        <f t="shared" si="36"/>
        <v>#DIV/0!</v>
      </c>
      <c r="T138" s="157"/>
      <c r="U138" s="40">
        <f t="shared" si="34"/>
        <v>0</v>
      </c>
    </row>
    <row r="139" spans="1:21" s="84" customFormat="1" ht="24.95" customHeight="1">
      <c r="A139" s="3" t="s">
        <v>312</v>
      </c>
      <c r="B139" s="3" t="s">
        <v>380</v>
      </c>
      <c r="C139" s="3"/>
      <c r="D139" s="26" t="s">
        <v>313</v>
      </c>
      <c r="E139" s="61">
        <f>Summary!E$182+Summary!E$517</f>
        <v>0</v>
      </c>
      <c r="F139" s="61">
        <f>Summary!F$182+Summary!F$517</f>
        <v>0</v>
      </c>
      <c r="G139" s="61">
        <f>Summary!G$182+Summary!G$517</f>
        <v>0</v>
      </c>
      <c r="H139" s="61">
        <f>Summary!H$182+Summary!H$517</f>
        <v>0</v>
      </c>
      <c r="I139" s="61">
        <f>Summary!I$182+Summary!I$517</f>
        <v>0</v>
      </c>
      <c r="J139" s="61">
        <f>Summary!J$182+Summary!J$517</f>
        <v>0</v>
      </c>
      <c r="K139" s="61">
        <f>Summary!K$182+Summary!K$517</f>
        <v>0</v>
      </c>
      <c r="L139" s="61">
        <f>Summary!L$182+Summary!L$517</f>
        <v>0</v>
      </c>
      <c r="M139" s="61">
        <f>Summary!M$182+Summary!M$517</f>
        <v>0</v>
      </c>
      <c r="N139" s="61">
        <f>Summary!N$182+Summary!N$517</f>
        <v>0</v>
      </c>
      <c r="O139" s="61">
        <f>Summary!O$182+Summary!O$517</f>
        <v>0</v>
      </c>
      <c r="P139" s="61">
        <f>Summary!P$182+Summary!P$517</f>
        <v>0</v>
      </c>
      <c r="Q139" s="142">
        <f>SUM(E139:P139)</f>
        <v>0</v>
      </c>
      <c r="R139" s="142" t="e">
        <f t="shared" si="36"/>
        <v>#DIV/0!</v>
      </c>
      <c r="T139" s="157"/>
      <c r="U139" s="40">
        <f t="shared" si="34"/>
        <v>0</v>
      </c>
    </row>
    <row r="140" spans="1:21" s="84" customFormat="1" ht="24.95" customHeight="1">
      <c r="A140" s="3" t="s">
        <v>314</v>
      </c>
      <c r="B140" s="3" t="s">
        <v>380</v>
      </c>
      <c r="C140" s="3"/>
      <c r="D140" s="26" t="s">
        <v>315</v>
      </c>
      <c r="E140" s="61">
        <f>Summary!E$183+Summary!E$518</f>
        <v>0</v>
      </c>
      <c r="F140" s="61">
        <f>Summary!F$183+Summary!F$518</f>
        <v>0</v>
      </c>
      <c r="G140" s="61">
        <f>Summary!G$183+Summary!G$518</f>
        <v>0</v>
      </c>
      <c r="H140" s="61">
        <f>Summary!H$183+Summary!H$518</f>
        <v>0</v>
      </c>
      <c r="I140" s="61">
        <f>Summary!I$183+Summary!I$518</f>
        <v>0</v>
      </c>
      <c r="J140" s="61">
        <f>Summary!J$183+Summary!J$518</f>
        <v>0</v>
      </c>
      <c r="K140" s="61">
        <f>Summary!K$183+Summary!K$518</f>
        <v>0</v>
      </c>
      <c r="L140" s="61">
        <f>Summary!L$183+Summary!L$518</f>
        <v>0</v>
      </c>
      <c r="M140" s="61">
        <f>Summary!M$183+Summary!M$518</f>
        <v>0</v>
      </c>
      <c r="N140" s="61">
        <f>Summary!N$183+Summary!N$518</f>
        <v>0</v>
      </c>
      <c r="O140" s="61">
        <f>Summary!O$183+Summary!O$518</f>
        <v>0</v>
      </c>
      <c r="P140" s="61">
        <f>Summary!P$183+Summary!P$518</f>
        <v>0</v>
      </c>
      <c r="Q140" s="142">
        <f>SUM(E140:P140)</f>
        <v>0</v>
      </c>
      <c r="R140" s="142" t="e">
        <f t="shared" si="36"/>
        <v>#DIV/0!</v>
      </c>
      <c r="T140" s="157"/>
      <c r="U140" s="40">
        <f t="shared" si="34"/>
        <v>0</v>
      </c>
    </row>
    <row r="141" spans="1:21" s="84" customFormat="1" ht="24.95" customHeight="1">
      <c r="A141" s="3"/>
      <c r="B141" s="3"/>
      <c r="C141" s="3"/>
      <c r="D141" s="19" t="s">
        <v>316</v>
      </c>
      <c r="E141" s="160">
        <f>SUM(E136:E140)</f>
        <v>0</v>
      </c>
      <c r="F141" s="160">
        <f t="shared" ref="F141:Q141" si="37">SUM(F136:F140)</f>
        <v>0</v>
      </c>
      <c r="G141" s="160">
        <f t="shared" si="37"/>
        <v>0</v>
      </c>
      <c r="H141" s="160">
        <f t="shared" si="37"/>
        <v>0</v>
      </c>
      <c r="I141" s="160">
        <f t="shared" si="37"/>
        <v>0</v>
      </c>
      <c r="J141" s="160">
        <f t="shared" si="37"/>
        <v>0</v>
      </c>
      <c r="K141" s="160">
        <f t="shared" si="37"/>
        <v>0</v>
      </c>
      <c r="L141" s="160">
        <f t="shared" si="37"/>
        <v>0</v>
      </c>
      <c r="M141" s="160">
        <f t="shared" si="37"/>
        <v>0</v>
      </c>
      <c r="N141" s="160">
        <f t="shared" si="37"/>
        <v>0</v>
      </c>
      <c r="O141" s="160">
        <f t="shared" si="37"/>
        <v>0</v>
      </c>
      <c r="P141" s="160">
        <f t="shared" si="37"/>
        <v>0</v>
      </c>
      <c r="Q141" s="160">
        <f t="shared" si="37"/>
        <v>0</v>
      </c>
      <c r="R141" s="142" t="e">
        <f t="shared" si="36"/>
        <v>#DIV/0!</v>
      </c>
      <c r="T141" s="157"/>
      <c r="U141" s="40">
        <f t="shared" si="34"/>
        <v>0</v>
      </c>
    </row>
    <row r="142" spans="1:21" s="84" customFormat="1" ht="24.95" customHeight="1">
      <c r="A142" s="3"/>
      <c r="B142" s="3"/>
      <c r="C142" s="3"/>
      <c r="D142" s="3"/>
      <c r="E142" s="3"/>
      <c r="F142" s="3"/>
      <c r="G142" s="3"/>
      <c r="H142" s="3"/>
      <c r="I142" s="3"/>
      <c r="J142" s="3"/>
      <c r="K142" s="3"/>
      <c r="L142" s="3"/>
      <c r="M142" s="161"/>
      <c r="T142" s="157"/>
      <c r="U142" s="40"/>
    </row>
    <row r="143" spans="1:21" s="84" customFormat="1" ht="24.95" customHeight="1">
      <c r="A143" s="3" t="s">
        <v>317</v>
      </c>
      <c r="B143" s="3" t="s">
        <v>380</v>
      </c>
      <c r="C143" s="3"/>
      <c r="D143" s="26" t="s">
        <v>318</v>
      </c>
      <c r="E143" s="61">
        <f>Summary!E$185+Summary!E$520</f>
        <v>0</v>
      </c>
      <c r="F143" s="61">
        <f>Summary!F$185+Summary!F$520</f>
        <v>0</v>
      </c>
      <c r="G143" s="61">
        <f>Summary!G$185+Summary!G$520</f>
        <v>0</v>
      </c>
      <c r="H143" s="61">
        <f>Summary!H$185+Summary!H$520</f>
        <v>0</v>
      </c>
      <c r="I143" s="61">
        <f>Summary!I$185+Summary!I$520</f>
        <v>0</v>
      </c>
      <c r="J143" s="61">
        <f>Summary!J$185+Summary!J$520</f>
        <v>0</v>
      </c>
      <c r="K143" s="61">
        <f>Summary!K$185+Summary!K$520</f>
        <v>0</v>
      </c>
      <c r="L143" s="61">
        <f>Summary!L$185+Summary!L$520</f>
        <v>0</v>
      </c>
      <c r="M143" s="61">
        <f>Summary!M$185+Summary!M$520</f>
        <v>0</v>
      </c>
      <c r="N143" s="61">
        <f>Summary!N$185+Summary!N$520</f>
        <v>0</v>
      </c>
      <c r="O143" s="61">
        <f>Summary!O$185+Summary!O$520</f>
        <v>0</v>
      </c>
      <c r="P143" s="61">
        <f>Summary!P$185+Summary!P$520</f>
        <v>0</v>
      </c>
      <c r="Q143" s="142">
        <f>SUM(E143:P143)</f>
        <v>0</v>
      </c>
      <c r="R143" s="142" t="e">
        <f t="shared" ref="R143:R151" si="38">Q143/$Q$117</f>
        <v>#DIV/0!</v>
      </c>
      <c r="T143" s="157"/>
      <c r="U143" s="40">
        <f t="shared" si="34"/>
        <v>0</v>
      </c>
    </row>
    <row r="144" spans="1:21" s="84" customFormat="1" ht="24.95" customHeight="1">
      <c r="A144" s="3" t="s">
        <v>319</v>
      </c>
      <c r="B144" s="3" t="s">
        <v>380</v>
      </c>
      <c r="C144" s="3"/>
      <c r="D144" s="26" t="s">
        <v>320</v>
      </c>
      <c r="E144" s="61">
        <f>Summary!E$186+Summary!E$521</f>
        <v>0</v>
      </c>
      <c r="F144" s="61">
        <f>Summary!F$186+Summary!F$521</f>
        <v>0</v>
      </c>
      <c r="G144" s="61">
        <f>Summary!G$186+Summary!G$521</f>
        <v>0</v>
      </c>
      <c r="H144" s="61">
        <f>Summary!H$186+Summary!H$521</f>
        <v>0</v>
      </c>
      <c r="I144" s="61">
        <f>Summary!I$186+Summary!I$521</f>
        <v>0</v>
      </c>
      <c r="J144" s="61">
        <f>Summary!J$186+Summary!J$521</f>
        <v>0</v>
      </c>
      <c r="K144" s="61">
        <f>Summary!K$186+Summary!K$521</f>
        <v>0</v>
      </c>
      <c r="L144" s="61">
        <f>Summary!L$186+Summary!L$521</f>
        <v>0</v>
      </c>
      <c r="M144" s="61">
        <f>Summary!M$186+Summary!M$521</f>
        <v>0</v>
      </c>
      <c r="N144" s="61">
        <f>Summary!N$186+Summary!N$521</f>
        <v>0</v>
      </c>
      <c r="O144" s="61">
        <f>Summary!O$186+Summary!O$521</f>
        <v>0</v>
      </c>
      <c r="P144" s="61">
        <f>Summary!P$186+Summary!P$521</f>
        <v>0</v>
      </c>
      <c r="Q144" s="142">
        <f t="shared" ref="Q144:Q150" si="39">SUM(E144:P144)</f>
        <v>0</v>
      </c>
      <c r="R144" s="142" t="e">
        <f t="shared" si="38"/>
        <v>#DIV/0!</v>
      </c>
      <c r="T144" s="157"/>
      <c r="U144" s="40">
        <f t="shared" si="34"/>
        <v>0</v>
      </c>
    </row>
    <row r="145" spans="1:21" s="84" customFormat="1" ht="24.95" customHeight="1">
      <c r="A145" s="3" t="s">
        <v>321</v>
      </c>
      <c r="B145" s="3" t="s">
        <v>380</v>
      </c>
      <c r="C145" s="3"/>
      <c r="D145" s="26" t="s">
        <v>322</v>
      </c>
      <c r="E145" s="61">
        <f>Summary!E$187+Summary!E$522</f>
        <v>0</v>
      </c>
      <c r="F145" s="61">
        <f>Summary!F$187+Summary!F$522</f>
        <v>0</v>
      </c>
      <c r="G145" s="61">
        <f>Summary!G$187+Summary!G$522</f>
        <v>0</v>
      </c>
      <c r="H145" s="61">
        <f>Summary!H$187+Summary!H$522</f>
        <v>0</v>
      </c>
      <c r="I145" s="61">
        <f>Summary!I$187+Summary!I$522</f>
        <v>0</v>
      </c>
      <c r="J145" s="61">
        <f>Summary!J$187+Summary!J$522</f>
        <v>0</v>
      </c>
      <c r="K145" s="61">
        <f>Summary!K$187+Summary!K$522</f>
        <v>0</v>
      </c>
      <c r="L145" s="61">
        <f>Summary!L$187+Summary!L$522</f>
        <v>0</v>
      </c>
      <c r="M145" s="61">
        <f>Summary!M$187+Summary!M$522</f>
        <v>0</v>
      </c>
      <c r="N145" s="61">
        <f>Summary!N$187+Summary!N$522</f>
        <v>0</v>
      </c>
      <c r="O145" s="61">
        <f>Summary!O$187+Summary!O$522</f>
        <v>0</v>
      </c>
      <c r="P145" s="61">
        <f>Summary!P$187+Summary!P$522</f>
        <v>0</v>
      </c>
      <c r="Q145" s="142">
        <f t="shared" si="39"/>
        <v>0</v>
      </c>
      <c r="R145" s="142" t="e">
        <f t="shared" si="38"/>
        <v>#DIV/0!</v>
      </c>
      <c r="T145" s="157"/>
      <c r="U145" s="40">
        <f t="shared" si="34"/>
        <v>0</v>
      </c>
    </row>
    <row r="146" spans="1:21" s="84" customFormat="1" ht="24.95" customHeight="1">
      <c r="A146" s="3" t="s">
        <v>323</v>
      </c>
      <c r="B146" s="3" t="s">
        <v>380</v>
      </c>
      <c r="C146" s="3"/>
      <c r="D146" s="26" t="s">
        <v>324</v>
      </c>
      <c r="E146" s="61">
        <f>Summary!E$188+Summary!E$523</f>
        <v>0</v>
      </c>
      <c r="F146" s="61">
        <f>Summary!F$188+Summary!F$523</f>
        <v>0</v>
      </c>
      <c r="G146" s="61">
        <f>Summary!G$188+Summary!G$523</f>
        <v>0</v>
      </c>
      <c r="H146" s="61">
        <f>Summary!H$188+Summary!H$523</f>
        <v>0</v>
      </c>
      <c r="I146" s="61">
        <f>Summary!I$188+Summary!I$523</f>
        <v>0</v>
      </c>
      <c r="J146" s="61">
        <f>Summary!J$188+Summary!J$523</f>
        <v>0</v>
      </c>
      <c r="K146" s="61">
        <f>Summary!K$188+Summary!K$523</f>
        <v>0</v>
      </c>
      <c r="L146" s="61">
        <f>Summary!L$188+Summary!L$523</f>
        <v>0</v>
      </c>
      <c r="M146" s="61">
        <f>Summary!M$188+Summary!M$523</f>
        <v>0</v>
      </c>
      <c r="N146" s="61">
        <f>Summary!N$188+Summary!N$523</f>
        <v>0</v>
      </c>
      <c r="O146" s="61">
        <f>Summary!O$188+Summary!O$523</f>
        <v>0</v>
      </c>
      <c r="P146" s="61">
        <f>Summary!P$188+Summary!P$523</f>
        <v>0</v>
      </c>
      <c r="Q146" s="142">
        <f t="shared" si="39"/>
        <v>0</v>
      </c>
      <c r="R146" s="142" t="e">
        <f t="shared" si="38"/>
        <v>#DIV/0!</v>
      </c>
      <c r="T146" s="157"/>
      <c r="U146" s="40">
        <f t="shared" si="34"/>
        <v>0</v>
      </c>
    </row>
    <row r="147" spans="1:21" s="84" customFormat="1" ht="24.95" customHeight="1">
      <c r="A147" s="3" t="s">
        <v>325</v>
      </c>
      <c r="B147" s="3" t="s">
        <v>380</v>
      </c>
      <c r="C147" s="3"/>
      <c r="D147" s="26" t="s">
        <v>326</v>
      </c>
      <c r="E147" s="61">
        <f>Summary!E$189+Summary!E$524</f>
        <v>0</v>
      </c>
      <c r="F147" s="61">
        <f>Summary!F$189+Summary!F$524</f>
        <v>0</v>
      </c>
      <c r="G147" s="61">
        <f>Summary!G$189+Summary!G$524</f>
        <v>0</v>
      </c>
      <c r="H147" s="61">
        <f>Summary!H$189+Summary!H$524</f>
        <v>0</v>
      </c>
      <c r="I147" s="61">
        <f>Summary!I$189+Summary!I$524</f>
        <v>0</v>
      </c>
      <c r="J147" s="61">
        <f>Summary!J$189+Summary!J$524</f>
        <v>0</v>
      </c>
      <c r="K147" s="61">
        <f>Summary!K$189+Summary!K$524</f>
        <v>0</v>
      </c>
      <c r="L147" s="61">
        <f>Summary!L$189+Summary!L$524</f>
        <v>0</v>
      </c>
      <c r="M147" s="61">
        <f>Summary!M$189+Summary!M$524</f>
        <v>0</v>
      </c>
      <c r="N147" s="61">
        <f>Summary!N$189+Summary!N$524</f>
        <v>0</v>
      </c>
      <c r="O147" s="61">
        <f>Summary!O$189+Summary!O$524</f>
        <v>0</v>
      </c>
      <c r="P147" s="61">
        <f>Summary!P$189+Summary!P$524</f>
        <v>0</v>
      </c>
      <c r="Q147" s="142">
        <f t="shared" si="39"/>
        <v>0</v>
      </c>
      <c r="R147" s="142" t="e">
        <f t="shared" si="38"/>
        <v>#DIV/0!</v>
      </c>
      <c r="T147" s="157"/>
      <c r="U147" s="40">
        <f t="shared" si="34"/>
        <v>0</v>
      </c>
    </row>
    <row r="148" spans="1:21" s="84" customFormat="1" ht="24.95" customHeight="1">
      <c r="A148" s="3" t="s">
        <v>327</v>
      </c>
      <c r="B148" s="3" t="s">
        <v>380</v>
      </c>
      <c r="C148" s="3"/>
      <c r="D148" s="26" t="s">
        <v>328</v>
      </c>
      <c r="E148" s="61">
        <f>Summary!E$190+Summary!E$525</f>
        <v>0</v>
      </c>
      <c r="F148" s="61">
        <f>Summary!F$190+Summary!F$525</f>
        <v>0</v>
      </c>
      <c r="G148" s="61">
        <f>Summary!G$190+Summary!G$525</f>
        <v>0</v>
      </c>
      <c r="H148" s="61">
        <f>Summary!H$190+Summary!H$525</f>
        <v>0</v>
      </c>
      <c r="I148" s="61">
        <f>Summary!I$190+Summary!I$525</f>
        <v>0</v>
      </c>
      <c r="J148" s="61">
        <f>Summary!J$190+Summary!J$525</f>
        <v>0</v>
      </c>
      <c r="K148" s="61">
        <f>Summary!K$190+Summary!K$525</f>
        <v>0</v>
      </c>
      <c r="L148" s="61">
        <f>Summary!L$190+Summary!L$525</f>
        <v>0</v>
      </c>
      <c r="M148" s="61">
        <f>Summary!M$190+Summary!M$525</f>
        <v>0</v>
      </c>
      <c r="N148" s="61">
        <f>Summary!N$190+Summary!N$525</f>
        <v>0</v>
      </c>
      <c r="O148" s="61">
        <f>Summary!O$190+Summary!O$525</f>
        <v>0</v>
      </c>
      <c r="P148" s="61">
        <f>Summary!P$190+Summary!P$525</f>
        <v>0</v>
      </c>
      <c r="Q148" s="142">
        <f t="shared" si="39"/>
        <v>0</v>
      </c>
      <c r="R148" s="142" t="e">
        <f t="shared" si="38"/>
        <v>#DIV/0!</v>
      </c>
      <c r="T148" s="157"/>
      <c r="U148" s="40">
        <f t="shared" si="34"/>
        <v>0</v>
      </c>
    </row>
    <row r="149" spans="1:21" s="84" customFormat="1" ht="24.95" customHeight="1">
      <c r="A149" s="3" t="s">
        <v>329</v>
      </c>
      <c r="B149" s="3" t="s">
        <v>415</v>
      </c>
      <c r="C149" s="3"/>
      <c r="D149" s="26" t="s">
        <v>330</v>
      </c>
      <c r="E149" s="61">
        <v>0</v>
      </c>
      <c r="F149" s="63">
        <v>0</v>
      </c>
      <c r="G149" s="63">
        <v>0</v>
      </c>
      <c r="H149" s="63">
        <v>0</v>
      </c>
      <c r="I149" s="63">
        <v>0</v>
      </c>
      <c r="J149" s="63">
        <v>0</v>
      </c>
      <c r="K149" s="63">
        <v>0</v>
      </c>
      <c r="L149" s="63">
        <v>0</v>
      </c>
      <c r="M149" s="61">
        <v>0</v>
      </c>
      <c r="N149" s="142">
        <v>0</v>
      </c>
      <c r="O149" s="142">
        <v>0</v>
      </c>
      <c r="P149" s="142">
        <v>0</v>
      </c>
      <c r="Q149" s="142">
        <f t="shared" si="39"/>
        <v>0</v>
      </c>
      <c r="R149" s="142" t="e">
        <f t="shared" si="38"/>
        <v>#DIV/0!</v>
      </c>
      <c r="T149" s="157"/>
      <c r="U149" s="40"/>
    </row>
    <row r="150" spans="1:21" s="84" customFormat="1" ht="24.95" customHeight="1">
      <c r="A150" s="3" t="s">
        <v>331</v>
      </c>
      <c r="B150" s="3" t="s">
        <v>415</v>
      </c>
      <c r="C150" s="3"/>
      <c r="D150" s="26" t="s">
        <v>332</v>
      </c>
      <c r="E150" s="61">
        <v>0</v>
      </c>
      <c r="F150" s="63">
        <v>0</v>
      </c>
      <c r="G150" s="63">
        <v>0</v>
      </c>
      <c r="H150" s="63">
        <v>0</v>
      </c>
      <c r="I150" s="63">
        <v>0</v>
      </c>
      <c r="J150" s="63">
        <v>0</v>
      </c>
      <c r="K150" s="63">
        <v>0</v>
      </c>
      <c r="L150" s="63">
        <v>0</v>
      </c>
      <c r="M150" s="61">
        <v>0</v>
      </c>
      <c r="N150" s="142">
        <v>0</v>
      </c>
      <c r="O150" s="142">
        <v>0</v>
      </c>
      <c r="P150" s="142">
        <v>0</v>
      </c>
      <c r="Q150" s="142">
        <f t="shared" si="39"/>
        <v>0</v>
      </c>
      <c r="R150" s="142" t="e">
        <f t="shared" si="38"/>
        <v>#DIV/0!</v>
      </c>
      <c r="T150" s="157"/>
      <c r="U150" s="40"/>
    </row>
    <row r="151" spans="1:21" s="84" customFormat="1" ht="24.95" customHeight="1">
      <c r="A151" s="3"/>
      <c r="B151" s="3"/>
      <c r="C151" s="3"/>
      <c r="D151" s="19" t="s">
        <v>333</v>
      </c>
      <c r="E151" s="160">
        <f>SUM(E143:E150)</f>
        <v>0</v>
      </c>
      <c r="F151" s="160">
        <f t="shared" ref="F151:Q151" si="40">SUM(F143:F150)</f>
        <v>0</v>
      </c>
      <c r="G151" s="160">
        <f t="shared" si="40"/>
        <v>0</v>
      </c>
      <c r="H151" s="160">
        <f t="shared" si="40"/>
        <v>0</v>
      </c>
      <c r="I151" s="160">
        <f t="shared" si="40"/>
        <v>0</v>
      </c>
      <c r="J151" s="160">
        <f t="shared" si="40"/>
        <v>0</v>
      </c>
      <c r="K151" s="160">
        <f t="shared" si="40"/>
        <v>0</v>
      </c>
      <c r="L151" s="160">
        <f t="shared" si="40"/>
        <v>0</v>
      </c>
      <c r="M151" s="160">
        <f t="shared" si="40"/>
        <v>0</v>
      </c>
      <c r="N151" s="160">
        <f t="shared" si="40"/>
        <v>0</v>
      </c>
      <c r="O151" s="160">
        <f t="shared" si="40"/>
        <v>0</v>
      </c>
      <c r="P151" s="160">
        <f t="shared" si="40"/>
        <v>0</v>
      </c>
      <c r="Q151" s="160">
        <f t="shared" si="40"/>
        <v>0</v>
      </c>
      <c r="R151" s="142" t="e">
        <f t="shared" si="38"/>
        <v>#DIV/0!</v>
      </c>
      <c r="T151" s="157"/>
      <c r="U151" s="40">
        <f t="shared" si="34"/>
        <v>0</v>
      </c>
    </row>
    <row r="152" spans="1:21" s="84" customFormat="1" ht="24.95" customHeight="1">
      <c r="A152" s="3"/>
      <c r="B152" s="3"/>
      <c r="C152" s="3"/>
      <c r="D152" s="3"/>
      <c r="E152" s="3"/>
      <c r="F152" s="3"/>
      <c r="G152" s="3"/>
      <c r="H152" s="3"/>
      <c r="I152" s="3"/>
      <c r="J152" s="3"/>
      <c r="K152" s="3"/>
      <c r="L152" s="3"/>
      <c r="M152" s="161"/>
      <c r="T152" s="157"/>
      <c r="U152" s="40"/>
    </row>
    <row r="153" spans="1:21" s="84" customFormat="1" ht="24.95" hidden="1" customHeight="1">
      <c r="A153" s="3" t="s">
        <v>334</v>
      </c>
      <c r="B153" s="3" t="s">
        <v>415</v>
      </c>
      <c r="C153" s="3"/>
      <c r="D153" s="26" t="s">
        <v>335</v>
      </c>
      <c r="E153" s="61">
        <v>0</v>
      </c>
      <c r="F153" s="63">
        <v>0</v>
      </c>
      <c r="G153" s="63">
        <v>0</v>
      </c>
      <c r="H153" s="63">
        <v>0</v>
      </c>
      <c r="I153" s="63">
        <v>0</v>
      </c>
      <c r="J153" s="63">
        <v>0</v>
      </c>
      <c r="K153" s="63">
        <v>0</v>
      </c>
      <c r="L153" s="63">
        <v>0</v>
      </c>
      <c r="M153" s="61">
        <v>0</v>
      </c>
      <c r="N153" s="142">
        <v>0</v>
      </c>
      <c r="O153" s="142">
        <v>0</v>
      </c>
      <c r="P153" s="142">
        <v>0</v>
      </c>
      <c r="Q153" s="142">
        <f t="shared" ref="Q153:Q159" si="41">SUM(E153:P153)</f>
        <v>0</v>
      </c>
      <c r="R153" s="142" t="e">
        <f t="shared" ref="R153:R161" si="42">Q153/$Q$117</f>
        <v>#DIV/0!</v>
      </c>
      <c r="T153" s="157"/>
      <c r="U153" s="40" t="e">
        <f t="shared" ref="U153:U156" si="43">(Q153-T153)/T153</f>
        <v>#DIV/0!</v>
      </c>
    </row>
    <row r="154" spans="1:21" s="84" customFormat="1" ht="24.95" hidden="1" customHeight="1">
      <c r="A154" s="3" t="s">
        <v>336</v>
      </c>
      <c r="B154" s="3" t="s">
        <v>415</v>
      </c>
      <c r="C154" s="3"/>
      <c r="D154" s="3" t="s">
        <v>337</v>
      </c>
      <c r="E154" s="61">
        <v>0</v>
      </c>
      <c r="F154" s="63">
        <v>0</v>
      </c>
      <c r="G154" s="63">
        <v>0</v>
      </c>
      <c r="H154" s="63">
        <v>0</v>
      </c>
      <c r="I154" s="63">
        <v>0</v>
      </c>
      <c r="J154" s="63">
        <v>0</v>
      </c>
      <c r="K154" s="63">
        <v>0</v>
      </c>
      <c r="L154" s="63">
        <v>0</v>
      </c>
      <c r="M154" s="61">
        <v>0</v>
      </c>
      <c r="N154" s="142">
        <v>0</v>
      </c>
      <c r="O154" s="142">
        <v>0</v>
      </c>
      <c r="P154" s="142">
        <v>0</v>
      </c>
      <c r="Q154" s="142">
        <f t="shared" si="41"/>
        <v>0</v>
      </c>
      <c r="R154" s="142" t="e">
        <f t="shared" si="42"/>
        <v>#DIV/0!</v>
      </c>
      <c r="T154" s="157"/>
      <c r="U154" s="40" t="e">
        <f t="shared" si="43"/>
        <v>#DIV/0!</v>
      </c>
    </row>
    <row r="155" spans="1:21" s="84" customFormat="1" ht="24.95" hidden="1" customHeight="1">
      <c r="A155" s="3" t="s">
        <v>338</v>
      </c>
      <c r="B155" s="3" t="s">
        <v>415</v>
      </c>
      <c r="C155" s="3"/>
      <c r="D155" s="26" t="s">
        <v>339</v>
      </c>
      <c r="E155" s="61">
        <v>0</v>
      </c>
      <c r="F155" s="63">
        <v>0</v>
      </c>
      <c r="G155" s="63">
        <v>0</v>
      </c>
      <c r="H155" s="63">
        <v>0</v>
      </c>
      <c r="I155" s="63">
        <v>0</v>
      </c>
      <c r="J155" s="63">
        <v>0</v>
      </c>
      <c r="K155" s="63">
        <v>0</v>
      </c>
      <c r="L155" s="63">
        <v>0</v>
      </c>
      <c r="M155" s="61">
        <v>0</v>
      </c>
      <c r="N155" s="142">
        <v>0</v>
      </c>
      <c r="O155" s="142">
        <v>0</v>
      </c>
      <c r="P155" s="142">
        <v>0</v>
      </c>
      <c r="Q155" s="142">
        <f t="shared" si="41"/>
        <v>0</v>
      </c>
      <c r="R155" s="142" t="e">
        <f t="shared" si="42"/>
        <v>#DIV/0!</v>
      </c>
      <c r="T155" s="157"/>
      <c r="U155" s="40" t="e">
        <f t="shared" si="43"/>
        <v>#DIV/0!</v>
      </c>
    </row>
    <row r="156" spans="1:21" s="84" customFormat="1" ht="24.95" hidden="1" customHeight="1">
      <c r="A156" s="3" t="s">
        <v>340</v>
      </c>
      <c r="B156" s="3" t="s">
        <v>415</v>
      </c>
      <c r="C156" s="3"/>
      <c r="D156" s="26" t="s">
        <v>341</v>
      </c>
      <c r="E156" s="61">
        <v>0</v>
      </c>
      <c r="F156" s="63">
        <v>0</v>
      </c>
      <c r="G156" s="63">
        <v>0</v>
      </c>
      <c r="H156" s="63">
        <v>0</v>
      </c>
      <c r="I156" s="63">
        <v>0</v>
      </c>
      <c r="J156" s="63">
        <v>0</v>
      </c>
      <c r="K156" s="63">
        <v>0</v>
      </c>
      <c r="L156" s="63">
        <v>0</v>
      </c>
      <c r="M156" s="61">
        <v>0</v>
      </c>
      <c r="N156" s="142">
        <v>0</v>
      </c>
      <c r="O156" s="142">
        <v>0</v>
      </c>
      <c r="P156" s="142">
        <v>0</v>
      </c>
      <c r="Q156" s="142">
        <f t="shared" si="41"/>
        <v>0</v>
      </c>
      <c r="R156" s="142" t="e">
        <f t="shared" si="42"/>
        <v>#DIV/0!</v>
      </c>
      <c r="T156" s="157"/>
      <c r="U156" s="40" t="e">
        <f t="shared" si="43"/>
        <v>#DIV/0!</v>
      </c>
    </row>
    <row r="157" spans="1:21" s="84" customFormat="1" ht="24.95" customHeight="1">
      <c r="A157" s="3" t="s">
        <v>342</v>
      </c>
      <c r="B157" s="3" t="s">
        <v>380</v>
      </c>
      <c r="C157" s="3"/>
      <c r="D157" s="26" t="s">
        <v>343</v>
      </c>
      <c r="E157" s="61">
        <f>Summary!E$192+Summary!E$527</f>
        <v>0</v>
      </c>
      <c r="F157" s="61">
        <f>Summary!F$192+Summary!F$527</f>
        <v>0</v>
      </c>
      <c r="G157" s="61">
        <f>Summary!G$192+Summary!G$527</f>
        <v>0</v>
      </c>
      <c r="H157" s="61">
        <f>Summary!H$192+Summary!H$527</f>
        <v>0</v>
      </c>
      <c r="I157" s="61">
        <f>Summary!I$192+Summary!I$527</f>
        <v>0</v>
      </c>
      <c r="J157" s="61">
        <f>Summary!J$192+Summary!J$527</f>
        <v>0</v>
      </c>
      <c r="K157" s="61">
        <f>Summary!K$192+Summary!K$527</f>
        <v>0</v>
      </c>
      <c r="L157" s="61">
        <f>Summary!L$192+Summary!L$527</f>
        <v>0</v>
      </c>
      <c r="M157" s="61">
        <f>Summary!M$192+Summary!M$527</f>
        <v>0</v>
      </c>
      <c r="N157" s="61">
        <f>Summary!N$192+Summary!N$527</f>
        <v>0</v>
      </c>
      <c r="O157" s="61">
        <f>Summary!O$192+Summary!O$527</f>
        <v>0</v>
      </c>
      <c r="P157" s="61">
        <f>Summary!P$192+Summary!P$527</f>
        <v>0</v>
      </c>
      <c r="Q157" s="142">
        <f t="shared" si="41"/>
        <v>0</v>
      </c>
      <c r="R157" s="142" t="e">
        <f t="shared" si="42"/>
        <v>#DIV/0!</v>
      </c>
      <c r="T157" s="157"/>
      <c r="U157" s="40">
        <f>-IF(Q157-T157=0,0,(Q157-T157)/T157)</f>
        <v>0</v>
      </c>
    </row>
    <row r="158" spans="1:21" s="84" customFormat="1" ht="24.95" hidden="1" customHeight="1">
      <c r="A158" s="3" t="s">
        <v>344</v>
      </c>
      <c r="B158" s="3" t="s">
        <v>380</v>
      </c>
      <c r="C158" s="3"/>
      <c r="D158" s="26" t="s">
        <v>345</v>
      </c>
      <c r="E158" s="61">
        <f>Summary!E$193+Summary!E$528</f>
        <v>0</v>
      </c>
      <c r="F158" s="61">
        <f>Summary!F$193+Summary!F$528</f>
        <v>0</v>
      </c>
      <c r="G158" s="61">
        <f>Summary!G$193+Summary!G$528</f>
        <v>0</v>
      </c>
      <c r="H158" s="61">
        <f>Summary!H$193+Summary!H$528</f>
        <v>0</v>
      </c>
      <c r="I158" s="61">
        <f>Summary!I$193+Summary!I$528</f>
        <v>0</v>
      </c>
      <c r="J158" s="61">
        <f>Summary!J$193+Summary!J$528</f>
        <v>0</v>
      </c>
      <c r="K158" s="61">
        <f>Summary!K$193+Summary!K$528</f>
        <v>0</v>
      </c>
      <c r="L158" s="61">
        <f>Summary!L$193+Summary!L$528</f>
        <v>0</v>
      </c>
      <c r="M158" s="61">
        <f>Summary!M$193+Summary!M$528</f>
        <v>0</v>
      </c>
      <c r="N158" s="61">
        <f>Summary!N$193+Summary!N$528</f>
        <v>0</v>
      </c>
      <c r="O158" s="61">
        <f>Summary!O$193+Summary!O$528</f>
        <v>0</v>
      </c>
      <c r="P158" s="61">
        <f>Summary!P$193+Summary!P$528</f>
        <v>0</v>
      </c>
      <c r="Q158" s="142">
        <f t="shared" si="41"/>
        <v>0</v>
      </c>
      <c r="R158" s="142" t="e">
        <f t="shared" si="42"/>
        <v>#DIV/0!</v>
      </c>
      <c r="T158" s="157"/>
      <c r="U158" s="40">
        <f t="shared" ref="U158:U161" si="44">-IF(Q158-T158=0,0,(Q158-T158)/T158)</f>
        <v>0</v>
      </c>
    </row>
    <row r="159" spans="1:21" s="84" customFormat="1" ht="24.95" customHeight="1">
      <c r="A159" s="3" t="s">
        <v>346</v>
      </c>
      <c r="B159" s="3" t="s">
        <v>380</v>
      </c>
      <c r="C159" s="3"/>
      <c r="D159" s="26" t="s">
        <v>347</v>
      </c>
      <c r="E159" s="61">
        <f>Summary!E$194+Summary!E$529</f>
        <v>0</v>
      </c>
      <c r="F159" s="61">
        <f>Summary!F$194+Summary!F$529</f>
        <v>0</v>
      </c>
      <c r="G159" s="61">
        <f>Summary!G$194+Summary!G$529</f>
        <v>0</v>
      </c>
      <c r="H159" s="61">
        <f>Summary!H$194+Summary!H$529</f>
        <v>0</v>
      </c>
      <c r="I159" s="61">
        <f>Summary!I$194+Summary!I$529</f>
        <v>0</v>
      </c>
      <c r="J159" s="61">
        <f>Summary!J$194+Summary!J$529</f>
        <v>0</v>
      </c>
      <c r="K159" s="61">
        <f>Summary!K$194+Summary!K$529</f>
        <v>0</v>
      </c>
      <c r="L159" s="61">
        <f>Summary!L$194+Summary!L$529</f>
        <v>0</v>
      </c>
      <c r="M159" s="61">
        <f>Summary!M$194+Summary!M$529</f>
        <v>0</v>
      </c>
      <c r="N159" s="61">
        <f>Summary!N$194+Summary!N$529</f>
        <v>0</v>
      </c>
      <c r="O159" s="61">
        <f>Summary!O$194+Summary!O$529</f>
        <v>0</v>
      </c>
      <c r="P159" s="61">
        <f>Summary!P$194+Summary!P$529</f>
        <v>0</v>
      </c>
      <c r="Q159" s="142">
        <f t="shared" si="41"/>
        <v>0</v>
      </c>
      <c r="R159" s="142" t="e">
        <f t="shared" si="42"/>
        <v>#DIV/0!</v>
      </c>
      <c r="T159" s="157"/>
      <c r="U159" s="40">
        <f t="shared" si="44"/>
        <v>0</v>
      </c>
    </row>
    <row r="160" spans="1:21" s="84" customFormat="1" ht="24.95" customHeight="1">
      <c r="A160" s="3"/>
      <c r="B160" s="3"/>
      <c r="C160" s="3"/>
      <c r="D160" s="19" t="s">
        <v>348</v>
      </c>
      <c r="E160" s="160">
        <f>SUM(E153:E159)</f>
        <v>0</v>
      </c>
      <c r="F160" s="160">
        <f t="shared" ref="F160:Q160" si="45">SUM(F153:F159)</f>
        <v>0</v>
      </c>
      <c r="G160" s="160">
        <f t="shared" si="45"/>
        <v>0</v>
      </c>
      <c r="H160" s="160">
        <f t="shared" si="45"/>
        <v>0</v>
      </c>
      <c r="I160" s="160">
        <f t="shared" si="45"/>
        <v>0</v>
      </c>
      <c r="J160" s="160">
        <f t="shared" si="45"/>
        <v>0</v>
      </c>
      <c r="K160" s="160">
        <f t="shared" si="45"/>
        <v>0</v>
      </c>
      <c r="L160" s="160">
        <f t="shared" si="45"/>
        <v>0</v>
      </c>
      <c r="M160" s="160">
        <f t="shared" si="45"/>
        <v>0</v>
      </c>
      <c r="N160" s="160">
        <f t="shared" si="45"/>
        <v>0</v>
      </c>
      <c r="O160" s="160">
        <f t="shared" si="45"/>
        <v>0</v>
      </c>
      <c r="P160" s="160">
        <f t="shared" si="45"/>
        <v>0</v>
      </c>
      <c r="Q160" s="160">
        <f t="shared" si="45"/>
        <v>0</v>
      </c>
      <c r="R160" s="142" t="e">
        <f t="shared" si="42"/>
        <v>#DIV/0!</v>
      </c>
      <c r="T160" s="157"/>
      <c r="U160" s="40">
        <f t="shared" si="44"/>
        <v>0</v>
      </c>
    </row>
    <row r="161" spans="1:21" s="84" customFormat="1" ht="24.95" customHeight="1">
      <c r="A161" s="3"/>
      <c r="B161" s="3"/>
      <c r="C161" s="3"/>
      <c r="D161" s="19" t="s">
        <v>349</v>
      </c>
      <c r="E161" s="160">
        <f>E134+E141+E151+E160</f>
        <v>0</v>
      </c>
      <c r="F161" s="160">
        <f t="shared" ref="F161:Q161" si="46">F134+F141+F151+F160</f>
        <v>0</v>
      </c>
      <c r="G161" s="160">
        <f t="shared" si="46"/>
        <v>0</v>
      </c>
      <c r="H161" s="160">
        <f t="shared" si="46"/>
        <v>0</v>
      </c>
      <c r="I161" s="160">
        <f t="shared" si="46"/>
        <v>0</v>
      </c>
      <c r="J161" s="160">
        <f t="shared" si="46"/>
        <v>0</v>
      </c>
      <c r="K161" s="160">
        <f t="shared" si="46"/>
        <v>0</v>
      </c>
      <c r="L161" s="160">
        <f t="shared" si="46"/>
        <v>0</v>
      </c>
      <c r="M161" s="160">
        <f t="shared" si="46"/>
        <v>0</v>
      </c>
      <c r="N161" s="160">
        <f t="shared" si="46"/>
        <v>0</v>
      </c>
      <c r="O161" s="160">
        <f t="shared" si="46"/>
        <v>0</v>
      </c>
      <c r="P161" s="160">
        <f t="shared" si="46"/>
        <v>0</v>
      </c>
      <c r="Q161" s="160">
        <f t="shared" si="46"/>
        <v>0</v>
      </c>
      <c r="R161" s="142" t="e">
        <f t="shared" si="42"/>
        <v>#DIV/0!</v>
      </c>
      <c r="T161" s="157"/>
      <c r="U161" s="40">
        <f t="shared" si="44"/>
        <v>0</v>
      </c>
    </row>
    <row r="162" spans="1:21" s="42" customFormat="1" ht="24.95" customHeight="1">
      <c r="T162" s="157"/>
      <c r="U162" s="40"/>
    </row>
    <row r="163" spans="1:21" s="84" customFormat="1" ht="24.95" customHeight="1">
      <c r="A163" s="3" t="s">
        <v>105</v>
      </c>
      <c r="B163" s="3" t="s">
        <v>380</v>
      </c>
      <c r="C163" s="3"/>
      <c r="D163" s="19" t="s">
        <v>352</v>
      </c>
      <c r="E163" s="68">
        <f>Summary!E$502+Summary!E$167</f>
        <v>0</v>
      </c>
      <c r="F163" s="68">
        <f>Summary!F$502+Summary!F$167</f>
        <v>0</v>
      </c>
      <c r="G163" s="68">
        <f>Summary!G$502+Summary!G$167</f>
        <v>0</v>
      </c>
      <c r="H163" s="68">
        <f>Summary!H$502+Summary!H$167</f>
        <v>0</v>
      </c>
      <c r="I163" s="68">
        <f>Summary!I$502+Summary!I$167</f>
        <v>0</v>
      </c>
      <c r="J163" s="68">
        <f>Summary!J$502+Summary!J$167</f>
        <v>0</v>
      </c>
      <c r="K163" s="68">
        <f>Summary!K$502+Summary!K$167</f>
        <v>0</v>
      </c>
      <c r="L163" s="68">
        <f>Summary!L$502+Summary!L$167</f>
        <v>0</v>
      </c>
      <c r="M163" s="68">
        <f>Summary!M$502+Summary!M$167</f>
        <v>0</v>
      </c>
      <c r="N163" s="68">
        <f>Summary!N$502+Summary!N$167</f>
        <v>0</v>
      </c>
      <c r="O163" s="68">
        <f>Summary!O$502+Summary!O$167</f>
        <v>0</v>
      </c>
      <c r="P163" s="68">
        <f>Summary!P$502+Summary!P$167</f>
        <v>0</v>
      </c>
      <c r="Q163" s="166">
        <f>SUM(E163:P163)/12</f>
        <v>0</v>
      </c>
      <c r="R163" s="167"/>
      <c r="T163" s="157"/>
      <c r="U163" s="40">
        <f>-IF(Q163-T163=0,0,(Q163-T163)/T163)</f>
        <v>0</v>
      </c>
    </row>
  </sheetData>
  <phoneticPr fontId="57" type="noConversion"/>
  <dataValidations count="64">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44987.9_x000d__x000a_" sqref="E21:P21">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8814300_x000d__x000a_" sqref="Q16">
      <formula1>0</formula1>
      <formula2>300</formula2>
    </dataValidation>
    <dataValidation type="textLength" errorStyle="information" allowBlank="1" showInputMessage="1" showErrorMessage="1" error="XLBVal:5=2443234.73_x000d__x000a_" sqref="E29:E30">
      <formula1>0</formula1>
      <formula2>300</formula2>
    </dataValidation>
    <dataValidation type="textLength" errorStyle="information" allowBlank="1" showInputMessage="1" showErrorMessage="1" error="XLBVal:5=1285238.57_x000d__x000a_" sqref="F17:R17 E25:R25 E34:R34 R36 E17:E19">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error="XLBVal:6=7235.47_x000d__x000a_" sqref="E20:P20">
      <formula1>0</formula1>
      <formula2>300</formula2>
    </dataValidation>
    <dataValidation type="textLength" errorStyle="information" allowBlank="1" showInputMessage="1" showErrorMessage="1" error="XLBVal:5=1616616_x000d__x000a_" sqref="G18:L19">
      <formula1>0</formula1>
      <formula2>300</formula2>
    </dataValidation>
    <dataValidation type="textLength" errorStyle="information" allowBlank="1" showInputMessage="1" showErrorMessage="1" error="XLBVal:6=398000_x000d__x000a_" sqref="Q22">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R22 Q23:R23 E24:P24 R24 E33:Q33 E35:L35 E65:P65 E108:R108 E117:R117 E131:R131 Q138:R138 M149:P149 M150:R150 R151 R163 E39:E46 F37:F46 Q12:Q15 R12:R16 R26:R27 R31:R33 R132:R134 R136:R137 R139:R141 R143:R149 R153:R161 Q39:R107 E14:P16 E72:P73 Q20:R21 G39:P46 E149:L150 E67:P70 E136:P140 E76:P93 E55:P63 E96:P105 E153:Q156 E114:P116 Q112:R116 E48:P53">
      <formula1>0</formula1>
      <formula2>300</formula2>
    </dataValidation>
    <dataValidation type="textLength" errorStyle="information" allowBlank="1" showInputMessage="1" showErrorMessage="1" error="XLBVal:6=976708_x000d__x000a_" sqref="Q32">
      <formula1>0</formula1>
      <formula2>300</formula2>
    </dataValidation>
    <dataValidation type="textLength" errorStyle="information" allowBlank="1" showInputMessage="1" showErrorMessage="1" error="XLBVal:6=527000_x000d__x000a_" sqref="Q24">
      <formula1>0</formula1>
      <formula2>300</formula2>
    </dataValidation>
    <dataValidation type="textLength" errorStyle="information" allowBlank="1" showInputMessage="1" showErrorMessage="1" error="XLBVal:6=514.58_x000d__x000a_" sqref="E26:P26 E106:P106">
      <formula1>0</formula1>
      <formula2>300</formula2>
    </dataValidation>
    <dataValidation type="textLength" errorStyle="information" allowBlank="1" showInputMessage="1" showErrorMessage="1" error="XLBVal:6=58036_x000d__x000a_" sqref="Q146">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209604.31_x000d__x000a_" sqref="E27:P27">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1156536_x000d__x000a_" sqref="Q144">
      <formula1>0</formula1>
      <formula2>300</formula2>
    </dataValidation>
    <dataValidation type="textLength" errorStyle="information" allowBlank="1" showInputMessage="1" showErrorMessage="1" error="XLBVal:6=25196619_x000d__x000a_" sqref="Q31">
      <formula1>0</formula1>
      <formula2>300</formula2>
    </dataValidation>
    <dataValidation type="textLength" errorStyle="information" allowBlank="1" showInputMessage="1" showErrorMessage="1" error="XLBVal:6=21065.12_x000d__x000a_" sqref="E32:P32">
      <formula1>0</formula1>
      <formula2>300</formula2>
    </dataValidation>
    <dataValidation type="textLength" errorStyle="information" allowBlank="1" showInputMessage="1" showErrorMessage="1" error="XLBVal:6=82302.23_x000d__x000a_" sqref="E143:P148">
      <formula1>0</formula1>
      <formula2>300</formula2>
    </dataValidation>
    <dataValidation type="textLength" errorStyle="information" allowBlank="1" showInputMessage="1" showErrorMessage="1" error="XLBVal:6=674288_x000d__x000a_" sqref="Q148">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113580_x000d__x000a_" sqref="E47:P47">
      <formula1>0</formula1>
      <formula2>300</formula2>
    </dataValidation>
    <dataValidation type="textLength" errorStyle="information" allowBlank="1" showInputMessage="1" showErrorMessage="1" error="XLBVal:6=7331.48_x000d__x000a_" sqref="E54:P54">
      <formula1>0</formula1>
      <formula2>300</formula2>
    </dataValidation>
    <dataValidation type="textLength" errorStyle="information" allowBlank="1" showInputMessage="1" showErrorMessage="1" error="XLBVal:6=686.44_x000d__x000a_" sqref="E64:P64">
      <formula1>0</formula1>
      <formula2>300</formula2>
    </dataValidation>
    <dataValidation type="textLength" errorStyle="information" allowBlank="1" showInputMessage="1" showErrorMessage="1" error="XLBVal:6=270.6_x000d__x000a_" sqref="E66:P66">
      <formula1>0</formula1>
      <formula2>300</formula2>
    </dataValidation>
    <dataValidation type="textLength" errorStyle="information" allowBlank="1" showInputMessage="1" showErrorMessage="1" error="XLBVal:6=24659.36_x000d__x000a_" sqref="E22:P23">
      <formula1>0</formula1>
      <formula2>300</formula2>
    </dataValidation>
    <dataValidation type="textLength" errorStyle="information" allowBlank="1" showInputMessage="1" showErrorMessage="1" error="XLBVal:6=2660698_x000d__x000a_" sqref="Q143">
      <formula1>0</formula1>
      <formula2>300</formula2>
    </dataValidation>
    <dataValidation type="textLength" errorStyle="information" allowBlank="1" showInputMessage="1" showErrorMessage="1" error="XLBVal:6=2028.3_x000d__x000a_" sqref="E71:P71">
      <formula1>0</formula1>
      <formula2>300</formula2>
    </dataValidation>
    <dataValidation type="textLength" errorStyle="information" allowBlank="1" showInputMessage="1" showErrorMessage="1" error="XLBVal:6=20831.4_x000d__x000a_" sqref="E74:P74">
      <formula1>0</formula1>
      <formula2>300</formula2>
    </dataValidation>
    <dataValidation type="textLength" errorStyle="information" allowBlank="1" showInputMessage="1" showErrorMessage="1" error="XLBVal:6=1415.09_x000d__x000a_" sqref="E75:P75">
      <formula1>0</formula1>
      <formula2>300</formula2>
    </dataValidation>
    <dataValidation type="textLength" errorStyle="information" allowBlank="1" showInputMessage="1" showErrorMessage="1" error="XLBVal:6=1254.81_x000d__x000a_" sqref="E94:P94">
      <formula1>0</formula1>
      <formula2>300</formula2>
    </dataValidation>
    <dataValidation type="textLength" errorStyle="information" allowBlank="1" showInputMessage="1" showErrorMessage="1" error="XLBVal:6=8135.25_x000d__x000a_" sqref="E95:P95">
      <formula1>0</formula1>
      <formula2>300</formula2>
    </dataValidation>
    <dataValidation type="textLength" errorStyle="information" allowBlank="1" showInputMessage="1" showErrorMessage="1" error="XLBVal:6=108592.14_x000d__x000a_" sqref="E107:P107">
      <formula1>0</formula1>
      <formula2>300</formula2>
    </dataValidation>
    <dataValidation type="textLength" errorStyle="information" allowBlank="1" showInputMessage="1" showErrorMessage="1" error="XLBVal:6=0_x000d__x000a_" sqref="E109:R109 Q139">
      <formula1>0</formula1>
      <formula2>300</formula2>
    </dataValidation>
    <dataValidation type="textLength" errorStyle="information" allowBlank="1" showInputMessage="1" showErrorMessage="1" error="XLBVal:6=21902.24_x000d__x000a_" sqref="E157:P159">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sqref="E118:L118 H126:L126 H127:R127 E162:L162 E120:E130 H128:L130 F126:G130 F120:R125">
      <formula1>0</formula1>
      <formula2>300</formula2>
    </dataValidation>
    <dataValidation type="textLength" errorStyle="information" allowBlank="1" showInputMessage="1" showErrorMessage="1" error="XLBVal:6=72410_x000d__x000a_" sqref="Q145 Q147">
      <formula1>0</formula1>
      <formula2>300</formula2>
    </dataValidation>
    <dataValidation type="textLength" errorStyle="information" allowBlank="1" showInputMessage="1" showErrorMessage="1" error="XLBVal:6=10357878_x000d__x000a_" sqref="Q132">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4775842_x000d__x000a_" sqref="Q133">
      <formula1>0</formula1>
      <formula2>300</formula2>
    </dataValidation>
    <dataValidation type="textLength" errorStyle="information" allowBlank="1" showInputMessage="1" showErrorMessage="1" error="XLBVal:6=995082_x000d__x000a_" sqref="Q136">
      <formula1>0</formula1>
      <formula2>300</formula2>
    </dataValidation>
    <dataValidation type="textLength" errorStyle="information" allowBlank="1" showInputMessage="1" showErrorMessage="1" error="XLBVal:6=132_x000d__x000a_" sqref="E163:P163">
      <formula1>0</formula1>
      <formula2>300</formula2>
    </dataValidation>
    <dataValidation type="textLength" errorStyle="information" allowBlank="1" showInputMessage="1" showErrorMessage="1" error="XLBVal:6=2981580_x000d__x000a_" sqref="Q137">
      <formula1>0</formula1>
      <formula2>300</formula2>
    </dataValidation>
    <dataValidation type="textLength" errorStyle="information" allowBlank="1" showInputMessage="1" showErrorMessage="1" error="XLBVal:6=276828_x000d__x000a_" sqref="Q140">
      <formula1>0</formula1>
      <formula2>300</formula2>
    </dataValidation>
    <dataValidation type="textLength" errorStyle="information" allowBlank="1" showInputMessage="1" showErrorMessage="1" error="XLBVal:6=3678_x000d__x000a_" sqref="E152:L152">
      <formula1>0</formula1>
      <formula2>300</formula2>
    </dataValidation>
    <dataValidation type="textLength" errorStyle="information" allowBlank="1" showInputMessage="1" showErrorMessage="1" error="XLBVal:6=466100_x000d__x000a_" sqref="Q149">
      <formula1>0</formula1>
      <formula2>300</formula2>
    </dataValidation>
    <dataValidation type="textLength" errorStyle="information" allowBlank="1" showInputMessage="1" showErrorMessage="1" error="XLBVal:6=489912_x000d__x000a_" sqref="Q157">
      <formula1>0</formula1>
      <formula2>300</formula2>
    </dataValidation>
    <dataValidation type="textLength" errorStyle="information" allowBlank="1" showInputMessage="1" showErrorMessage="1" error="XLBVal:6=1339532_x000d__x000a_" sqref="Q158">
      <formula1>0</formula1>
      <formula2>300</formula2>
    </dataValidation>
    <dataValidation type="textLength" errorStyle="information" allowBlank="1" showInputMessage="1" showErrorMessage="1" error="XLBVal:6=4605894_x000d__x000a_" sqref="Q159">
      <formula1>0</formula1>
      <formula2>300</formula2>
    </dataValidation>
    <dataValidation type="textLength" errorStyle="information" allowBlank="1" showInputMessage="1" showErrorMessage="1" error="XLBVal:6=3780_x000d__x000a_" sqref="Q163">
      <formula1>0</formula1>
      <formula2>300</formula2>
    </dataValidation>
    <dataValidation type="textLength" errorStyle="information" allowBlank="1" showInputMessage="1" showErrorMessage="1" error="XLBVal:6=6688509.16_x000d__x000a_" sqref="E37:E38">
      <formula1>0</formula1>
      <formula2>300</formula2>
    </dataValidation>
    <dataValidation type="textLength" errorStyle="information" allowBlank="1" showInputMessage="1" showErrorMessage="1" error="XLBVal:5=0_x000d__x000a_" sqref="F18:F19 F29:F30">
      <formula1>0</formula1>
      <formula2>300</formula2>
    </dataValidation>
    <dataValidation type="textLength" errorStyle="information" allowBlank="1" showInputMessage="1" showErrorMessage="1" error="XLBVal:5=3384188.86_x000d__x000a_" sqref="G29:L30">
      <formula1>0</formula1>
      <formula2>300</formula2>
    </dataValidation>
    <dataValidation type="textLength" errorStyle="information" allowBlank="1" showInputMessage="1" showErrorMessage="1" error="XLBVal:6=6595485.04_x000d__x000a_" sqref="G37:L38">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T163"/>
  <sheetViews>
    <sheetView topLeftCell="D1" zoomScale="50" zoomScaleNormal="50" zoomScaleSheetLayoutView="40" workbookViewId="0">
      <pane ySplit="9" topLeftCell="A10" activePane="bottomLeft" state="frozen"/>
      <selection pane="bottomLeft" activeCell="D27" sqref="D27"/>
    </sheetView>
  </sheetViews>
  <sheetFormatPr defaultColWidth="8.875" defaultRowHeight="26.25" customHeight="1" outlineLevelRow="1" outlineLevelCol="1"/>
  <cols>
    <col min="1" max="3" width="15.5" style="5" hidden="1" customWidth="1" outlineLevel="1"/>
    <col min="4" max="4" width="95.5" style="6" customWidth="1" collapsed="1"/>
    <col min="5" max="9" width="19.875" style="7" customWidth="1"/>
    <col min="10" max="11" width="19.875" style="148" customWidth="1"/>
    <col min="12" max="12" width="19.875" style="5" customWidth="1"/>
    <col min="13" max="16" width="20.875" style="148" customWidth="1"/>
    <col min="17" max="17" width="36.5" style="148" customWidth="1"/>
    <col min="18" max="18" width="19.125" style="148" customWidth="1"/>
    <col min="19" max="19" width="22.5" style="149" customWidth="1"/>
    <col min="20" max="20" width="22.5" style="148" customWidth="1"/>
    <col min="21" max="16384" width="8.875" style="148"/>
  </cols>
  <sheetData>
    <row r="1" spans="1:20" s="1" customFormat="1" ht="15" customHeight="1" outlineLevel="1">
      <c r="E1" s="9"/>
      <c r="F1" s="9"/>
      <c r="G1" s="9"/>
      <c r="H1" s="9"/>
      <c r="I1" s="9"/>
      <c r="J1" s="9"/>
      <c r="K1" s="9"/>
      <c r="L1" s="9"/>
      <c r="M1" s="9"/>
      <c r="N1" s="9"/>
      <c r="O1" s="9"/>
      <c r="P1" s="9"/>
      <c r="Q1" s="9"/>
      <c r="R1" s="9"/>
      <c r="S1" s="32"/>
    </row>
    <row r="2" spans="1:20" s="1" customFormat="1" ht="15" customHeight="1" outlineLevel="1">
      <c r="E2" s="9"/>
      <c r="F2" s="9"/>
      <c r="G2" s="9"/>
      <c r="H2" s="9"/>
      <c r="I2" s="9"/>
      <c r="J2" s="9"/>
      <c r="K2" s="9"/>
      <c r="L2" s="9"/>
      <c r="M2" s="9"/>
      <c r="N2" s="9"/>
      <c r="O2" s="9"/>
      <c r="P2" s="9"/>
      <c r="Q2" s="9"/>
      <c r="R2" s="9"/>
      <c r="S2" s="32"/>
    </row>
    <row r="3" spans="1:20" s="1" customFormat="1" ht="15" customHeight="1" outlineLevel="1">
      <c r="E3" s="9"/>
      <c r="F3" s="9"/>
      <c r="G3" s="9"/>
      <c r="H3" s="9"/>
      <c r="I3" s="9"/>
      <c r="J3" s="9"/>
      <c r="K3" s="9"/>
      <c r="L3" s="9"/>
      <c r="M3" s="9"/>
      <c r="N3" s="9"/>
      <c r="O3" s="9"/>
      <c r="P3" s="9"/>
      <c r="Q3" s="9"/>
      <c r="R3" s="9"/>
      <c r="S3" s="32"/>
    </row>
    <row r="4" spans="1:20" s="147" customFormat="1" ht="24.95" customHeight="1">
      <c r="D4" s="10" t="str">
        <f>Summary!$D$4</f>
        <v>Hotel Budget Report</v>
      </c>
      <c r="E4" s="150"/>
      <c r="F4" s="150"/>
      <c r="G4" s="151"/>
      <c r="H4" s="152"/>
      <c r="I4" s="152"/>
      <c r="L4" s="2"/>
      <c r="S4" s="156"/>
    </row>
    <row r="5" spans="1:20" s="147" customFormat="1" ht="24.95" customHeight="1">
      <c r="D5" s="10" t="str">
        <f>Summary!$D$5</f>
        <v>酒店预算报表</v>
      </c>
      <c r="E5" s="150"/>
      <c r="F5" s="150"/>
      <c r="G5" s="151"/>
      <c r="H5" s="152"/>
      <c r="I5" s="152"/>
      <c r="L5" s="2"/>
      <c r="S5" s="156"/>
    </row>
    <row r="6" spans="1:20" s="147" customFormat="1" ht="24.95" customHeight="1">
      <c r="D6" s="10" t="s">
        <v>475</v>
      </c>
      <c r="E6" s="152"/>
      <c r="F6" s="152"/>
      <c r="G6" s="152"/>
      <c r="H6" s="152"/>
      <c r="I6" s="152"/>
      <c r="L6" s="2"/>
      <c r="S6" s="156"/>
    </row>
    <row r="7" spans="1:20" s="147" customFormat="1" ht="24.95" customHeight="1">
      <c r="D7" s="15" t="str">
        <f>Summary!D7</f>
        <v>2025</v>
      </c>
      <c r="E7" s="152"/>
      <c r="F7" s="152"/>
      <c r="G7" s="152"/>
      <c r="H7" s="152"/>
      <c r="I7" s="152"/>
      <c r="L7" s="2"/>
      <c r="S7" s="15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S9" s="116"/>
      <c r="T9" s="11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378</v>
      </c>
      <c r="E11" s="76"/>
      <c r="F11" s="76"/>
      <c r="G11" s="76"/>
      <c r="H11" s="77"/>
      <c r="I11" s="77"/>
      <c r="J11" s="3"/>
      <c r="K11" s="155"/>
      <c r="L11" s="155"/>
      <c r="M11" s="155"/>
      <c r="S11" s="157"/>
    </row>
    <row r="12" spans="1:20" s="84" customFormat="1" ht="24.95" customHeight="1">
      <c r="A12" s="50" t="s">
        <v>452</v>
      </c>
      <c r="B12" s="3" t="s">
        <v>384</v>
      </c>
      <c r="C12" s="3"/>
      <c r="D12" s="26" t="s">
        <v>453</v>
      </c>
      <c r="E12" s="155">
        <v>0</v>
      </c>
      <c r="F12" s="155">
        <v>0</v>
      </c>
      <c r="G12" s="155">
        <v>0</v>
      </c>
      <c r="H12" s="155">
        <v>0</v>
      </c>
      <c r="I12" s="155">
        <v>0</v>
      </c>
      <c r="J12" s="155">
        <v>0</v>
      </c>
      <c r="K12" s="155">
        <v>0</v>
      </c>
      <c r="L12" s="155">
        <v>0</v>
      </c>
      <c r="M12" s="155">
        <v>0</v>
      </c>
      <c r="N12" s="155">
        <v>0</v>
      </c>
      <c r="O12" s="155">
        <v>0</v>
      </c>
      <c r="P12" s="155">
        <v>0</v>
      </c>
      <c r="Q12" s="155">
        <f>SUM(E12:P12)</f>
        <v>0</v>
      </c>
      <c r="R12" s="155"/>
      <c r="S12" s="157"/>
      <c r="T12" s="40">
        <f>IF(Q12-S12=0,0,(Q12-S12)/S12)</f>
        <v>0</v>
      </c>
    </row>
    <row r="13" spans="1:20" s="84" customFormat="1" ht="24.95" customHeight="1">
      <c r="A13" s="50" t="s">
        <v>454</v>
      </c>
      <c r="B13" s="3" t="s">
        <v>384</v>
      </c>
      <c r="C13" s="3"/>
      <c r="D13" s="26" t="s">
        <v>455</v>
      </c>
      <c r="E13" s="63"/>
      <c r="F13" s="63"/>
      <c r="G13" s="63"/>
      <c r="H13" s="63"/>
      <c r="I13" s="63"/>
      <c r="J13" s="63"/>
      <c r="K13" s="63"/>
      <c r="L13" s="63"/>
      <c r="M13" s="63"/>
      <c r="N13" s="63"/>
      <c r="O13" s="63"/>
      <c r="P13" s="63"/>
      <c r="Q13" s="142">
        <f>SUM(E13:P13)</f>
        <v>0</v>
      </c>
      <c r="R13" s="142"/>
      <c r="S13" s="157"/>
      <c r="T13" s="40">
        <f>IF(Q13-S13=0,0,(Q13-S13)/S13)</f>
        <v>0</v>
      </c>
    </row>
    <row r="14" spans="1:20" s="84" customFormat="1" ht="24.95" customHeight="1">
      <c r="A14" s="50" t="s">
        <v>456</v>
      </c>
      <c r="B14" s="3" t="s">
        <v>384</v>
      </c>
      <c r="C14" s="3"/>
      <c r="D14" s="26" t="s">
        <v>457</v>
      </c>
      <c r="E14" s="63"/>
      <c r="F14" s="63"/>
      <c r="G14" s="63"/>
      <c r="H14" s="63"/>
      <c r="I14" s="63"/>
      <c r="J14" s="63"/>
      <c r="K14" s="63"/>
      <c r="L14" s="63"/>
      <c r="M14" s="63"/>
      <c r="N14" s="63"/>
      <c r="O14" s="63"/>
      <c r="P14" s="63"/>
      <c r="Q14" s="142">
        <f t="shared" ref="Q14:Q16" si="0">SUM(E14:P14)</f>
        <v>0</v>
      </c>
      <c r="R14" s="142"/>
      <c r="S14" s="157"/>
      <c r="T14" s="40">
        <f t="shared" ref="T14:T28" si="1">IF(Q14-S14=0,0,(Q14-S14)/S14)</f>
        <v>0</v>
      </c>
    </row>
    <row r="15" spans="1:20" s="84" customFormat="1" ht="24.95" customHeight="1">
      <c r="A15" s="50" t="s">
        <v>458</v>
      </c>
      <c r="B15" s="3" t="s">
        <v>384</v>
      </c>
      <c r="C15" s="3"/>
      <c r="D15" s="26" t="s">
        <v>459</v>
      </c>
      <c r="E15" s="63"/>
      <c r="F15" s="63"/>
      <c r="G15" s="63"/>
      <c r="H15" s="63"/>
      <c r="I15" s="63"/>
      <c r="J15" s="63"/>
      <c r="K15" s="63"/>
      <c r="L15" s="63"/>
      <c r="M15" s="63"/>
      <c r="N15" s="63"/>
      <c r="O15" s="63"/>
      <c r="P15" s="63"/>
      <c r="Q15" s="142">
        <f t="shared" si="0"/>
        <v>0</v>
      </c>
      <c r="R15" s="142"/>
      <c r="S15" s="157"/>
      <c r="T15" s="40">
        <f t="shared" si="1"/>
        <v>0</v>
      </c>
    </row>
    <row r="16" spans="1:20" s="84" customFormat="1" ht="24.95" customHeight="1">
      <c r="A16" s="50" t="s">
        <v>460</v>
      </c>
      <c r="B16" s="3" t="s">
        <v>384</v>
      </c>
      <c r="C16" s="3"/>
      <c r="D16" s="26" t="s">
        <v>461</v>
      </c>
      <c r="E16" s="63">
        <v>0</v>
      </c>
      <c r="F16" s="63">
        <v>0</v>
      </c>
      <c r="G16" s="63">
        <v>0</v>
      </c>
      <c r="H16" s="63">
        <v>0</v>
      </c>
      <c r="I16" s="63">
        <v>0</v>
      </c>
      <c r="J16" s="63">
        <v>0</v>
      </c>
      <c r="K16" s="63">
        <v>0</v>
      </c>
      <c r="L16" s="63">
        <v>0</v>
      </c>
      <c r="M16" s="63">
        <v>0</v>
      </c>
      <c r="N16" s="63">
        <v>0</v>
      </c>
      <c r="O16" s="63">
        <v>0</v>
      </c>
      <c r="P16" s="63">
        <v>0</v>
      </c>
      <c r="Q16" s="142">
        <f t="shared" si="0"/>
        <v>0</v>
      </c>
      <c r="R16" s="142"/>
      <c r="S16" s="157"/>
      <c r="T16" s="40">
        <f t="shared" si="1"/>
        <v>0</v>
      </c>
    </row>
    <row r="17" spans="1:20" s="84" customFormat="1" ht="24.95" customHeight="1">
      <c r="A17" s="3"/>
      <c r="B17" s="3"/>
      <c r="C17" s="3"/>
      <c r="D17" s="21" t="s">
        <v>409</v>
      </c>
      <c r="E17" s="45">
        <f>SUM(E12:E16)</f>
        <v>0</v>
      </c>
      <c r="F17" s="45">
        <f t="shared" ref="F17:Q17" si="2">SUM(F12:F16)</f>
        <v>0</v>
      </c>
      <c r="G17" s="45">
        <f t="shared" si="2"/>
        <v>0</v>
      </c>
      <c r="H17" s="45">
        <f t="shared" si="2"/>
        <v>0</v>
      </c>
      <c r="I17" s="45">
        <f t="shared" si="2"/>
        <v>0</v>
      </c>
      <c r="J17" s="45">
        <f t="shared" si="2"/>
        <v>0</v>
      </c>
      <c r="K17" s="45">
        <f t="shared" si="2"/>
        <v>0</v>
      </c>
      <c r="L17" s="45">
        <f t="shared" si="2"/>
        <v>0</v>
      </c>
      <c r="M17" s="45">
        <f t="shared" si="2"/>
        <v>0</v>
      </c>
      <c r="N17" s="45">
        <f t="shared" si="2"/>
        <v>0</v>
      </c>
      <c r="O17" s="45">
        <f t="shared" si="2"/>
        <v>0</v>
      </c>
      <c r="P17" s="45">
        <f t="shared" si="2"/>
        <v>0</v>
      </c>
      <c r="Q17" s="45">
        <f t="shared" si="2"/>
        <v>0</v>
      </c>
      <c r="R17" s="45"/>
      <c r="S17" s="157"/>
      <c r="T17" s="40">
        <f t="shared" si="1"/>
        <v>0</v>
      </c>
    </row>
    <row r="18" spans="1:20" s="84" customFormat="1" ht="24.95" customHeight="1">
      <c r="A18" s="3"/>
      <c r="B18" s="3"/>
      <c r="C18" s="3"/>
      <c r="D18" s="26"/>
      <c r="E18" s="113"/>
      <c r="F18" s="24"/>
      <c r="G18" s="113"/>
      <c r="H18" s="113"/>
      <c r="I18" s="113"/>
      <c r="J18" s="113"/>
      <c r="K18" s="113"/>
      <c r="L18" s="113"/>
      <c r="S18" s="157"/>
      <c r="T18" s="40"/>
    </row>
    <row r="19" spans="1:20" s="84" customFormat="1" ht="24.95" customHeight="1">
      <c r="A19" s="3"/>
      <c r="B19" s="3"/>
      <c r="C19" s="3"/>
      <c r="D19" s="21" t="s">
        <v>410</v>
      </c>
      <c r="E19" s="113"/>
      <c r="F19" s="63"/>
      <c r="G19" s="63"/>
      <c r="H19" s="63"/>
      <c r="I19" s="63"/>
      <c r="J19" s="63"/>
      <c r="K19" s="63"/>
      <c r="L19" s="63"/>
      <c r="S19" s="157"/>
      <c r="T19" s="40"/>
    </row>
    <row r="20" spans="1:20" s="84" customFormat="1" ht="24.95" customHeight="1">
      <c r="A20" s="50" t="s">
        <v>462</v>
      </c>
      <c r="B20" s="3" t="s">
        <v>384</v>
      </c>
      <c r="C20" s="3"/>
      <c r="D20" s="26" t="s">
        <v>453</v>
      </c>
      <c r="E20" s="63">
        <v>0</v>
      </c>
      <c r="F20" s="63">
        <v>0</v>
      </c>
      <c r="G20" s="63">
        <v>0</v>
      </c>
      <c r="H20" s="63">
        <v>0</v>
      </c>
      <c r="I20" s="63">
        <v>0</v>
      </c>
      <c r="J20" s="63">
        <v>0</v>
      </c>
      <c r="K20" s="63">
        <v>0</v>
      </c>
      <c r="L20" s="63">
        <v>0</v>
      </c>
      <c r="M20" s="63">
        <v>0</v>
      </c>
      <c r="N20" s="63">
        <v>0</v>
      </c>
      <c r="O20" s="63">
        <v>0</v>
      </c>
      <c r="P20" s="63">
        <v>0</v>
      </c>
      <c r="Q20" s="142">
        <f>SUM(E20:P20)</f>
        <v>0</v>
      </c>
      <c r="R20" s="142"/>
      <c r="S20" s="157"/>
      <c r="T20" s="40">
        <f t="shared" si="1"/>
        <v>0</v>
      </c>
    </row>
    <row r="21" spans="1:20" s="84" customFormat="1" ht="24.95" customHeight="1">
      <c r="A21" s="50" t="s">
        <v>463</v>
      </c>
      <c r="B21" s="3" t="s">
        <v>384</v>
      </c>
      <c r="C21" s="3"/>
      <c r="D21" s="26" t="s">
        <v>455</v>
      </c>
      <c r="E21" s="63"/>
      <c r="F21" s="63"/>
      <c r="G21" s="63"/>
      <c r="H21" s="63"/>
      <c r="I21" s="63"/>
      <c r="J21" s="63"/>
      <c r="K21" s="63"/>
      <c r="L21" s="63"/>
      <c r="M21" s="63"/>
      <c r="N21" s="63"/>
      <c r="O21" s="63"/>
      <c r="P21" s="63"/>
      <c r="Q21" s="142">
        <f t="shared" ref="Q21:Q24" si="3">SUM(E21:P21)</f>
        <v>0</v>
      </c>
      <c r="R21" s="142"/>
      <c r="S21" s="157"/>
      <c r="T21" s="40">
        <f t="shared" si="1"/>
        <v>0</v>
      </c>
    </row>
    <row r="22" spans="1:20" s="84" customFormat="1" ht="24.95" customHeight="1">
      <c r="A22" s="50" t="s">
        <v>464</v>
      </c>
      <c r="B22" s="3" t="s">
        <v>384</v>
      </c>
      <c r="C22" s="3"/>
      <c r="D22" s="26" t="s">
        <v>457</v>
      </c>
      <c r="E22" s="63"/>
      <c r="F22" s="63"/>
      <c r="G22" s="63"/>
      <c r="H22" s="63"/>
      <c r="I22" s="63"/>
      <c r="J22" s="63"/>
      <c r="K22" s="63"/>
      <c r="L22" s="63"/>
      <c r="M22" s="63"/>
      <c r="N22" s="63"/>
      <c r="O22" s="63"/>
      <c r="P22" s="63"/>
      <c r="Q22" s="142">
        <f t="shared" si="3"/>
        <v>0</v>
      </c>
      <c r="R22" s="142"/>
      <c r="S22" s="157"/>
      <c r="T22" s="40">
        <f t="shared" si="1"/>
        <v>0</v>
      </c>
    </row>
    <row r="23" spans="1:20" s="84" customFormat="1" ht="24.95" customHeight="1">
      <c r="A23" s="50" t="s">
        <v>465</v>
      </c>
      <c r="B23" s="3" t="s">
        <v>384</v>
      </c>
      <c r="C23" s="3"/>
      <c r="D23" s="26" t="s">
        <v>459</v>
      </c>
      <c r="E23" s="63"/>
      <c r="F23" s="63"/>
      <c r="G23" s="63"/>
      <c r="H23" s="63"/>
      <c r="I23" s="63"/>
      <c r="J23" s="63"/>
      <c r="K23" s="63"/>
      <c r="L23" s="63"/>
      <c r="M23" s="63"/>
      <c r="N23" s="63"/>
      <c r="O23" s="63"/>
      <c r="P23" s="63"/>
      <c r="Q23" s="142">
        <f t="shared" si="3"/>
        <v>0</v>
      </c>
      <c r="R23" s="142"/>
      <c r="S23" s="157"/>
      <c r="T23" s="40">
        <f t="shared" si="1"/>
        <v>0</v>
      </c>
    </row>
    <row r="24" spans="1:20" s="84" customFormat="1" ht="24.95" customHeight="1">
      <c r="A24" s="50" t="s">
        <v>466</v>
      </c>
      <c r="B24" s="3" t="s">
        <v>384</v>
      </c>
      <c r="C24" s="3"/>
      <c r="D24" s="26" t="s">
        <v>461</v>
      </c>
      <c r="E24" s="63">
        <v>0</v>
      </c>
      <c r="F24" s="63">
        <v>0</v>
      </c>
      <c r="G24" s="63">
        <v>0</v>
      </c>
      <c r="H24" s="63">
        <v>0</v>
      </c>
      <c r="I24" s="63">
        <v>0</v>
      </c>
      <c r="J24" s="63">
        <v>0</v>
      </c>
      <c r="K24" s="63">
        <v>0</v>
      </c>
      <c r="L24" s="63">
        <v>0</v>
      </c>
      <c r="M24" s="63">
        <v>0</v>
      </c>
      <c r="N24" s="63">
        <v>0</v>
      </c>
      <c r="O24" s="63">
        <v>0</v>
      </c>
      <c r="P24" s="63">
        <v>0</v>
      </c>
      <c r="Q24" s="142">
        <f t="shared" si="3"/>
        <v>0</v>
      </c>
      <c r="R24" s="142"/>
      <c r="S24" s="157"/>
      <c r="T24" s="40">
        <f t="shared" si="1"/>
        <v>0</v>
      </c>
    </row>
    <row r="25" spans="1:20" s="84" customFormat="1" ht="24.95" customHeight="1">
      <c r="A25" s="3"/>
      <c r="B25" s="3"/>
      <c r="C25" s="3"/>
      <c r="D25" s="21" t="s">
        <v>413</v>
      </c>
      <c r="E25" s="45">
        <f>SUM(E20:E24)</f>
        <v>0</v>
      </c>
      <c r="F25" s="45">
        <f t="shared" ref="F25:Q25" si="4">SUM(F20:F24)</f>
        <v>0</v>
      </c>
      <c r="G25" s="45">
        <f t="shared" si="4"/>
        <v>0</v>
      </c>
      <c r="H25" s="45">
        <f t="shared" si="4"/>
        <v>0</v>
      </c>
      <c r="I25" s="45">
        <f t="shared" si="4"/>
        <v>0</v>
      </c>
      <c r="J25" s="45">
        <f t="shared" si="4"/>
        <v>0</v>
      </c>
      <c r="K25" s="45">
        <f t="shared" si="4"/>
        <v>0</v>
      </c>
      <c r="L25" s="45">
        <f t="shared" si="4"/>
        <v>0</v>
      </c>
      <c r="M25" s="45">
        <f t="shared" si="4"/>
        <v>0</v>
      </c>
      <c r="N25" s="45">
        <f t="shared" si="4"/>
        <v>0</v>
      </c>
      <c r="O25" s="45">
        <f t="shared" si="4"/>
        <v>0</v>
      </c>
      <c r="P25" s="45">
        <f t="shared" si="4"/>
        <v>0</v>
      </c>
      <c r="Q25" s="45">
        <f t="shared" si="4"/>
        <v>0</v>
      </c>
      <c r="R25" s="45"/>
      <c r="S25" s="157"/>
      <c r="T25" s="40">
        <f t="shared" si="1"/>
        <v>0</v>
      </c>
    </row>
    <row r="26" spans="1:20" s="84" customFormat="1" ht="24.95" customHeight="1">
      <c r="A26" s="50" t="s">
        <v>419</v>
      </c>
      <c r="B26" s="3" t="s">
        <v>384</v>
      </c>
      <c r="C26" s="3"/>
      <c r="D26" s="26" t="s">
        <v>420</v>
      </c>
      <c r="E26" s="63"/>
      <c r="F26" s="63"/>
      <c r="G26" s="63"/>
      <c r="H26" s="63"/>
      <c r="I26" s="63"/>
      <c r="J26" s="63"/>
      <c r="K26" s="63"/>
      <c r="L26" s="63"/>
      <c r="M26" s="63"/>
      <c r="N26" s="63"/>
      <c r="O26" s="63"/>
      <c r="P26" s="63"/>
      <c r="Q26" s="142">
        <f>SUM(E26:P26)</f>
        <v>0</v>
      </c>
      <c r="R26" s="142"/>
      <c r="S26" s="157"/>
      <c r="T26" s="40">
        <f t="shared" si="1"/>
        <v>0</v>
      </c>
    </row>
    <row r="27" spans="1:20" s="84" customFormat="1" ht="24.95" customHeight="1">
      <c r="A27" s="50" t="s">
        <v>126</v>
      </c>
      <c r="B27" s="3" t="s">
        <v>384</v>
      </c>
      <c r="C27" s="3"/>
      <c r="D27" s="26" t="s">
        <v>421</v>
      </c>
      <c r="E27" s="63">
        <f>(E17+E25)*0.1</f>
        <v>0</v>
      </c>
      <c r="F27" s="63">
        <f t="shared" ref="F27:P27" si="5">(F17+F25)*0.1</f>
        <v>0</v>
      </c>
      <c r="G27" s="63">
        <f t="shared" si="5"/>
        <v>0</v>
      </c>
      <c r="H27" s="63">
        <f t="shared" si="5"/>
        <v>0</v>
      </c>
      <c r="I27" s="63">
        <f t="shared" si="5"/>
        <v>0</v>
      </c>
      <c r="J27" s="63">
        <f t="shared" si="5"/>
        <v>0</v>
      </c>
      <c r="K27" s="63">
        <f t="shared" si="5"/>
        <v>0</v>
      </c>
      <c r="L27" s="63">
        <f t="shared" si="5"/>
        <v>0</v>
      </c>
      <c r="M27" s="63">
        <f t="shared" si="5"/>
        <v>0</v>
      </c>
      <c r="N27" s="63">
        <f t="shared" si="5"/>
        <v>0</v>
      </c>
      <c r="O27" s="63">
        <f t="shared" si="5"/>
        <v>0</v>
      </c>
      <c r="P27" s="63">
        <f t="shared" si="5"/>
        <v>0</v>
      </c>
      <c r="Q27" s="142">
        <f>SUM(E27:P27)</f>
        <v>0</v>
      </c>
      <c r="R27" s="142"/>
      <c r="S27" s="157"/>
      <c r="T27" s="40">
        <f t="shared" si="1"/>
        <v>0</v>
      </c>
    </row>
    <row r="28" spans="1:20" s="84" customFormat="1" ht="24.95" customHeight="1">
      <c r="A28" s="50"/>
      <c r="B28" s="3"/>
      <c r="C28" s="3"/>
      <c r="D28" s="21" t="s">
        <v>422</v>
      </c>
      <c r="E28" s="45">
        <f>E17+E25+E26+E27</f>
        <v>0</v>
      </c>
      <c r="F28" s="45">
        <f t="shared" ref="F28:P28" si="6">F17+F25+F26+F27</f>
        <v>0</v>
      </c>
      <c r="G28" s="45">
        <f t="shared" si="6"/>
        <v>0</v>
      </c>
      <c r="H28" s="45">
        <f t="shared" si="6"/>
        <v>0</v>
      </c>
      <c r="I28" s="45">
        <f t="shared" si="6"/>
        <v>0</v>
      </c>
      <c r="J28" s="45">
        <f t="shared" si="6"/>
        <v>0</v>
      </c>
      <c r="K28" s="45">
        <f t="shared" si="6"/>
        <v>0</v>
      </c>
      <c r="L28" s="45">
        <f t="shared" si="6"/>
        <v>0</v>
      </c>
      <c r="M28" s="45">
        <f t="shared" si="6"/>
        <v>0</v>
      </c>
      <c r="N28" s="45">
        <f t="shared" si="6"/>
        <v>0</v>
      </c>
      <c r="O28" s="45">
        <f t="shared" si="6"/>
        <v>0</v>
      </c>
      <c r="P28" s="45">
        <f t="shared" si="6"/>
        <v>0</v>
      </c>
      <c r="Q28" s="45">
        <f t="shared" ref="Q28" si="7">Q17+Q25+Q26+Q27</f>
        <v>0</v>
      </c>
      <c r="R28" s="45"/>
      <c r="S28" s="157"/>
      <c r="T28" s="40">
        <f t="shared" si="1"/>
        <v>0</v>
      </c>
    </row>
    <row r="29" spans="1:20" s="84" customFormat="1" ht="24.95" customHeight="1">
      <c r="A29" s="50"/>
      <c r="B29" s="3"/>
      <c r="C29" s="3"/>
      <c r="D29" s="26"/>
      <c r="E29" s="63"/>
      <c r="F29" s="63"/>
      <c r="G29" s="63"/>
      <c r="H29" s="63"/>
      <c r="I29" s="63"/>
      <c r="J29" s="63"/>
      <c r="K29" s="63"/>
      <c r="L29" s="63"/>
      <c r="S29" s="157"/>
      <c r="T29" s="40"/>
    </row>
    <row r="30" spans="1:20" s="84" customFormat="1" ht="24.95" customHeight="1">
      <c r="A30" s="50"/>
      <c r="B30" s="3"/>
      <c r="C30" s="3"/>
      <c r="D30" s="21" t="s">
        <v>423</v>
      </c>
      <c r="E30" s="63"/>
      <c r="F30" s="63"/>
      <c r="G30" s="63"/>
      <c r="H30" s="63"/>
      <c r="I30" s="63"/>
      <c r="J30" s="63"/>
      <c r="K30" s="63"/>
      <c r="L30" s="63"/>
      <c r="S30" s="157"/>
      <c r="T30" s="40"/>
    </row>
    <row r="31" spans="1:20" s="84" customFormat="1" ht="24.95" customHeight="1">
      <c r="A31" s="50" t="s">
        <v>424</v>
      </c>
      <c r="B31" s="3" t="s">
        <v>384</v>
      </c>
      <c r="C31" s="3"/>
      <c r="D31" s="26" t="s">
        <v>425</v>
      </c>
      <c r="E31" s="63">
        <f>E17*35.5%</f>
        <v>0</v>
      </c>
      <c r="F31" s="63">
        <f>F17*36.5%</f>
        <v>0</v>
      </c>
      <c r="G31" s="63">
        <f>G17*35.5%</f>
        <v>0</v>
      </c>
      <c r="H31" s="63">
        <f>H17*35.4%</f>
        <v>0</v>
      </c>
      <c r="I31" s="63">
        <f>I17*34%</f>
        <v>0</v>
      </c>
      <c r="J31" s="63">
        <f>J17*35.5%</f>
        <v>0</v>
      </c>
      <c r="K31" s="63">
        <f>K17*36.5%</f>
        <v>0</v>
      </c>
      <c r="L31" s="63">
        <f>L17*36%</f>
        <v>0</v>
      </c>
      <c r="M31" s="63">
        <f>M17*37.32%</f>
        <v>0</v>
      </c>
      <c r="N31" s="63">
        <f>N17*36.2%</f>
        <v>0</v>
      </c>
      <c r="O31" s="63">
        <f>O17*36.24%</f>
        <v>0</v>
      </c>
      <c r="P31" s="63">
        <f>P17*35%</f>
        <v>0</v>
      </c>
      <c r="Q31" s="142">
        <f>SUM(E31:P31)</f>
        <v>0</v>
      </c>
      <c r="R31" s="168" t="e">
        <f>Q31/Q17</f>
        <v>#DIV/0!</v>
      </c>
      <c r="S31" s="157"/>
      <c r="T31" s="40">
        <f>-IF(Q31-S31=0,0,(Q31-S31)/S31)</f>
        <v>0</v>
      </c>
    </row>
    <row r="32" spans="1:20" s="84" customFormat="1" ht="24.95" customHeight="1">
      <c r="A32" s="3" t="s">
        <v>426</v>
      </c>
      <c r="B32" s="3" t="s">
        <v>384</v>
      </c>
      <c r="C32" s="3"/>
      <c r="D32" s="26" t="s">
        <v>427</v>
      </c>
      <c r="E32" s="63">
        <f>E25*33%</f>
        <v>0</v>
      </c>
      <c r="F32" s="63">
        <f>F25*30%</f>
        <v>0</v>
      </c>
      <c r="G32" s="63">
        <f>G25*29.8%</f>
        <v>0</v>
      </c>
      <c r="H32" s="63">
        <f>H25*33%</f>
        <v>0</v>
      </c>
      <c r="I32" s="63">
        <f>I25*31.4%</f>
        <v>0</v>
      </c>
      <c r="J32" s="63">
        <f>J25*27.5%</f>
        <v>0</v>
      </c>
      <c r="K32" s="63">
        <f>K25*33%</f>
        <v>0</v>
      </c>
      <c r="L32" s="63">
        <f>L25*31.5%</f>
        <v>0</v>
      </c>
      <c r="M32" s="63">
        <f>M25*32%</f>
        <v>0</v>
      </c>
      <c r="N32" s="63">
        <f>N25*32.5%</f>
        <v>0</v>
      </c>
      <c r="O32" s="63">
        <f>O25*32%</f>
        <v>0</v>
      </c>
      <c r="P32" s="63">
        <f>P25*33%</f>
        <v>0</v>
      </c>
      <c r="Q32" s="142">
        <f>SUM(E32:P32)</f>
        <v>0</v>
      </c>
      <c r="R32" s="168" t="e">
        <f>Q32/Q25</f>
        <v>#DIV/0!</v>
      </c>
      <c r="S32" s="157"/>
      <c r="T32" s="40">
        <f t="shared" ref="T32:T95" si="8">-IF(Q32-S32=0,0,(Q32-S32)/S32)</f>
        <v>0</v>
      </c>
    </row>
    <row r="33" spans="1:20" s="84" customFormat="1" ht="24.95" customHeight="1">
      <c r="A33" s="3" t="s">
        <v>467</v>
      </c>
      <c r="B33" s="3" t="s">
        <v>384</v>
      </c>
      <c r="C33" s="3"/>
      <c r="D33" s="26" t="s">
        <v>431</v>
      </c>
      <c r="E33" s="63"/>
      <c r="F33" s="63"/>
      <c r="G33" s="63"/>
      <c r="H33" s="63"/>
      <c r="I33" s="63"/>
      <c r="J33" s="63"/>
      <c r="K33" s="63"/>
      <c r="L33" s="63"/>
      <c r="M33" s="27">
        <v>0</v>
      </c>
      <c r="N33" s="27">
        <v>0</v>
      </c>
      <c r="O33" s="27">
        <v>0</v>
      </c>
      <c r="P33" s="27">
        <v>0</v>
      </c>
      <c r="Q33" s="142">
        <f>SUM(E33:P33)</f>
        <v>0</v>
      </c>
      <c r="R33" s="168" t="e">
        <f>Q33/Q26</f>
        <v>#DIV/0!</v>
      </c>
      <c r="S33" s="157"/>
      <c r="T33" s="40">
        <f t="shared" si="8"/>
        <v>0</v>
      </c>
    </row>
    <row r="34" spans="1:20" s="84" customFormat="1" ht="24.95" customHeight="1">
      <c r="A34" s="3"/>
      <c r="B34" s="3"/>
      <c r="C34" s="3"/>
      <c r="D34" s="21" t="s">
        <v>432</v>
      </c>
      <c r="E34" s="45">
        <f>+SUM(E31:E33)</f>
        <v>0</v>
      </c>
      <c r="F34" s="45">
        <f t="shared" ref="F34:P34" si="9">+SUM(F31:F33)</f>
        <v>0</v>
      </c>
      <c r="G34" s="45">
        <f t="shared" si="9"/>
        <v>0</v>
      </c>
      <c r="H34" s="45">
        <f t="shared" si="9"/>
        <v>0</v>
      </c>
      <c r="I34" s="45">
        <f t="shared" si="9"/>
        <v>0</v>
      </c>
      <c r="J34" s="45">
        <f t="shared" si="9"/>
        <v>0</v>
      </c>
      <c r="K34" s="45">
        <f t="shared" si="9"/>
        <v>0</v>
      </c>
      <c r="L34" s="45">
        <f t="shared" si="9"/>
        <v>0</v>
      </c>
      <c r="M34" s="45">
        <f t="shared" si="9"/>
        <v>0</v>
      </c>
      <c r="N34" s="45">
        <f t="shared" si="9"/>
        <v>0</v>
      </c>
      <c r="O34" s="45">
        <f t="shared" si="9"/>
        <v>0</v>
      </c>
      <c r="P34" s="45">
        <f t="shared" si="9"/>
        <v>0</v>
      </c>
      <c r="Q34" s="45">
        <f>SUM(Q31:Q33)</f>
        <v>0</v>
      </c>
      <c r="R34" s="158" t="e">
        <f>Q34/$Q$28</f>
        <v>#DIV/0!</v>
      </c>
      <c r="S34" s="157"/>
      <c r="T34" s="40">
        <f t="shared" si="8"/>
        <v>0</v>
      </c>
    </row>
    <row r="35" spans="1:20" s="84" customFormat="1" ht="24.95" customHeight="1">
      <c r="A35" s="3"/>
      <c r="B35" s="3"/>
      <c r="C35" s="3"/>
      <c r="D35" s="26"/>
      <c r="E35" s="63"/>
      <c r="F35" s="63"/>
      <c r="G35" s="63"/>
      <c r="H35" s="63"/>
      <c r="I35" s="63"/>
      <c r="J35" s="63"/>
      <c r="K35" s="63"/>
      <c r="L35" s="63"/>
      <c r="Q35" s="159"/>
      <c r="S35" s="157"/>
      <c r="T35" s="40"/>
    </row>
    <row r="36" spans="1:20" s="84" customFormat="1" ht="24.95" customHeight="1">
      <c r="A36" s="3" t="s">
        <v>103</v>
      </c>
      <c r="B36" s="3" t="s">
        <v>384</v>
      </c>
      <c r="C36" s="3"/>
      <c r="D36" s="21" t="s">
        <v>137</v>
      </c>
      <c r="E36" s="45">
        <f>+E161</f>
        <v>0</v>
      </c>
      <c r="F36" s="45">
        <f t="shared" ref="F36:P36" si="10">+F161</f>
        <v>0</v>
      </c>
      <c r="G36" s="45">
        <f t="shared" si="10"/>
        <v>0</v>
      </c>
      <c r="H36" s="45">
        <f t="shared" si="10"/>
        <v>0</v>
      </c>
      <c r="I36" s="45">
        <f t="shared" si="10"/>
        <v>0</v>
      </c>
      <c r="J36" s="45">
        <f t="shared" si="10"/>
        <v>0</v>
      </c>
      <c r="K36" s="45">
        <f t="shared" si="10"/>
        <v>0</v>
      </c>
      <c r="L36" s="45">
        <f t="shared" si="10"/>
        <v>0</v>
      </c>
      <c r="M36" s="45">
        <f t="shared" si="10"/>
        <v>0</v>
      </c>
      <c r="N36" s="45">
        <f t="shared" si="10"/>
        <v>0</v>
      </c>
      <c r="O36" s="45">
        <f t="shared" si="10"/>
        <v>0</v>
      </c>
      <c r="P36" s="45">
        <f t="shared" si="10"/>
        <v>0</v>
      </c>
      <c r="Q36" s="45">
        <f>SUM(E36:P36)</f>
        <v>0</v>
      </c>
      <c r="R36" s="158" t="e">
        <f>Q36/$Q$28</f>
        <v>#DIV/0!</v>
      </c>
      <c r="S36" s="157"/>
      <c r="T36" s="40">
        <f t="shared" si="8"/>
        <v>0</v>
      </c>
    </row>
    <row r="37" spans="1:20" s="84" customFormat="1" ht="24.95" customHeight="1">
      <c r="A37" s="3"/>
      <c r="B37" s="3"/>
      <c r="C37" s="3"/>
      <c r="D37" s="26"/>
      <c r="E37" s="63"/>
      <c r="F37" s="63"/>
      <c r="G37" s="63"/>
      <c r="H37" s="63"/>
      <c r="I37" s="63"/>
      <c r="J37" s="63"/>
      <c r="K37" s="63"/>
      <c r="L37" s="63"/>
      <c r="S37" s="157"/>
      <c r="T37" s="40"/>
    </row>
    <row r="38" spans="1:20" s="84" customFormat="1" ht="24.95" customHeight="1">
      <c r="A38" s="3"/>
      <c r="B38" s="3"/>
      <c r="C38" s="3"/>
      <c r="D38" s="21" t="s">
        <v>138</v>
      </c>
      <c r="E38" s="63"/>
      <c r="F38" s="63"/>
      <c r="G38" s="63"/>
      <c r="H38" s="63"/>
      <c r="I38" s="63"/>
      <c r="J38" s="63"/>
      <c r="K38" s="63"/>
      <c r="L38" s="63"/>
      <c r="R38" s="34" t="s">
        <v>433</v>
      </c>
      <c r="S38" s="157"/>
      <c r="T38" s="40">
        <f t="shared" si="8"/>
        <v>0</v>
      </c>
    </row>
    <row r="39" spans="1:20" s="84" customFormat="1" ht="24.95" hidden="1" customHeight="1">
      <c r="A39" s="3" t="s">
        <v>140</v>
      </c>
      <c r="B39" s="3" t="s">
        <v>384</v>
      </c>
      <c r="C39" s="3"/>
      <c r="D39" s="26" t="s">
        <v>141</v>
      </c>
      <c r="E39" s="63">
        <v>0</v>
      </c>
      <c r="F39" s="63">
        <v>0</v>
      </c>
      <c r="G39" s="63">
        <v>0</v>
      </c>
      <c r="H39" s="63">
        <v>0</v>
      </c>
      <c r="I39" s="63">
        <v>0</v>
      </c>
      <c r="J39" s="63">
        <v>0</v>
      </c>
      <c r="K39" s="63">
        <v>0</v>
      </c>
      <c r="L39" s="63">
        <v>0</v>
      </c>
      <c r="M39" s="63">
        <v>0</v>
      </c>
      <c r="N39" s="63">
        <v>0</v>
      </c>
      <c r="O39" s="63">
        <v>0</v>
      </c>
      <c r="P39" s="63">
        <v>0</v>
      </c>
      <c r="Q39" s="142">
        <f>SUM(E39:P39)</f>
        <v>0</v>
      </c>
      <c r="R39" s="142" t="e">
        <f>Q39/$Q$117</f>
        <v>#DIV/0!</v>
      </c>
      <c r="S39" s="157"/>
      <c r="T39" s="40">
        <f t="shared" si="8"/>
        <v>0</v>
      </c>
    </row>
    <row r="40" spans="1:20" s="84" customFormat="1" ht="24.95" hidden="1" customHeight="1">
      <c r="A40" s="3" t="s">
        <v>142</v>
      </c>
      <c r="B40" s="3" t="s">
        <v>384</v>
      </c>
      <c r="C40" s="3"/>
      <c r="D40" s="26" t="s">
        <v>143</v>
      </c>
      <c r="E40" s="63">
        <v>0</v>
      </c>
      <c r="F40" s="63">
        <v>0</v>
      </c>
      <c r="G40" s="63">
        <v>0</v>
      </c>
      <c r="H40" s="63">
        <v>0</v>
      </c>
      <c r="I40" s="63">
        <v>0</v>
      </c>
      <c r="J40" s="63">
        <v>0</v>
      </c>
      <c r="K40" s="63">
        <v>0</v>
      </c>
      <c r="L40" s="63">
        <v>0</v>
      </c>
      <c r="M40" s="63">
        <v>0</v>
      </c>
      <c r="N40" s="63">
        <v>0</v>
      </c>
      <c r="O40" s="63">
        <v>0</v>
      </c>
      <c r="P40" s="63">
        <v>0</v>
      </c>
      <c r="Q40" s="142">
        <f t="shared" ref="Q40:Q103" si="11">SUM(E40:P40)</f>
        <v>0</v>
      </c>
      <c r="R40" s="142" t="e">
        <f t="shared" ref="R40:R103" si="12">Q40/$Q$117</f>
        <v>#DIV/0!</v>
      </c>
      <c r="S40" s="157"/>
      <c r="T40" s="40">
        <f t="shared" si="8"/>
        <v>0</v>
      </c>
    </row>
    <row r="41" spans="1:20" s="84" customFormat="1" ht="24.95" hidden="1" customHeight="1">
      <c r="A41" s="3" t="s">
        <v>144</v>
      </c>
      <c r="B41" s="3" t="s">
        <v>384</v>
      </c>
      <c r="C41" s="3"/>
      <c r="D41" s="26" t="s">
        <v>145</v>
      </c>
      <c r="E41" s="63">
        <v>0</v>
      </c>
      <c r="F41" s="63">
        <v>0</v>
      </c>
      <c r="G41" s="63">
        <v>0</v>
      </c>
      <c r="H41" s="63">
        <v>0</v>
      </c>
      <c r="I41" s="63">
        <v>0</v>
      </c>
      <c r="J41" s="63">
        <v>0</v>
      </c>
      <c r="K41" s="63">
        <v>0</v>
      </c>
      <c r="L41" s="63">
        <v>0</v>
      </c>
      <c r="M41" s="63">
        <v>0</v>
      </c>
      <c r="N41" s="63">
        <v>0</v>
      </c>
      <c r="O41" s="63">
        <v>0</v>
      </c>
      <c r="P41" s="63">
        <v>0</v>
      </c>
      <c r="Q41" s="142">
        <f t="shared" si="11"/>
        <v>0</v>
      </c>
      <c r="R41" s="142" t="e">
        <f t="shared" si="12"/>
        <v>#DIV/0!</v>
      </c>
      <c r="S41" s="157"/>
      <c r="T41" s="40">
        <f t="shared" si="8"/>
        <v>0</v>
      </c>
    </row>
    <row r="42" spans="1:20" s="84" customFormat="1" ht="24.95" hidden="1" customHeight="1">
      <c r="A42" s="3" t="s">
        <v>146</v>
      </c>
      <c r="B42" s="3" t="s">
        <v>384</v>
      </c>
      <c r="C42" s="3"/>
      <c r="D42" s="26" t="s">
        <v>147</v>
      </c>
      <c r="E42" s="63">
        <v>0</v>
      </c>
      <c r="F42" s="63">
        <v>0</v>
      </c>
      <c r="G42" s="63">
        <v>0</v>
      </c>
      <c r="H42" s="63">
        <v>0</v>
      </c>
      <c r="I42" s="63">
        <v>0</v>
      </c>
      <c r="J42" s="63">
        <v>0</v>
      </c>
      <c r="K42" s="63">
        <v>0</v>
      </c>
      <c r="L42" s="63">
        <v>0</v>
      </c>
      <c r="M42" s="63">
        <v>0</v>
      </c>
      <c r="N42" s="63">
        <v>0</v>
      </c>
      <c r="O42" s="63">
        <v>0</v>
      </c>
      <c r="P42" s="63">
        <v>0</v>
      </c>
      <c r="Q42" s="142">
        <f t="shared" si="11"/>
        <v>0</v>
      </c>
      <c r="R42" s="142" t="e">
        <f t="shared" si="12"/>
        <v>#DIV/0!</v>
      </c>
      <c r="S42" s="157"/>
      <c r="T42" s="40">
        <f t="shared" si="8"/>
        <v>0</v>
      </c>
    </row>
    <row r="43" spans="1:20" s="84" customFormat="1" ht="24.95" hidden="1" customHeight="1">
      <c r="A43" s="3" t="s">
        <v>148</v>
      </c>
      <c r="B43" s="3" t="s">
        <v>384</v>
      </c>
      <c r="C43" s="3"/>
      <c r="D43" s="26" t="s">
        <v>149</v>
      </c>
      <c r="E43" s="63">
        <v>0</v>
      </c>
      <c r="F43" s="63">
        <v>0</v>
      </c>
      <c r="G43" s="63">
        <v>0</v>
      </c>
      <c r="H43" s="63">
        <v>0</v>
      </c>
      <c r="I43" s="63">
        <v>0</v>
      </c>
      <c r="J43" s="63">
        <v>0</v>
      </c>
      <c r="K43" s="63">
        <v>0</v>
      </c>
      <c r="L43" s="63">
        <v>0</v>
      </c>
      <c r="M43" s="63">
        <v>0</v>
      </c>
      <c r="N43" s="63">
        <v>0</v>
      </c>
      <c r="O43" s="63">
        <v>0</v>
      </c>
      <c r="P43" s="63">
        <v>0</v>
      </c>
      <c r="Q43" s="142">
        <f t="shared" si="11"/>
        <v>0</v>
      </c>
      <c r="R43" s="142" t="e">
        <f t="shared" si="12"/>
        <v>#DIV/0!</v>
      </c>
      <c r="S43" s="157"/>
      <c r="T43" s="40">
        <f t="shared" si="8"/>
        <v>0</v>
      </c>
    </row>
    <row r="44" spans="1:20" s="84" customFormat="1" ht="24.95" hidden="1" customHeight="1">
      <c r="A44" s="3" t="s">
        <v>150</v>
      </c>
      <c r="B44" s="3" t="s">
        <v>384</v>
      </c>
      <c r="C44" s="3"/>
      <c r="D44" s="26" t="s">
        <v>151</v>
      </c>
      <c r="E44" s="63">
        <v>0</v>
      </c>
      <c r="F44" s="63">
        <v>0</v>
      </c>
      <c r="G44" s="63">
        <v>0</v>
      </c>
      <c r="H44" s="63">
        <v>0</v>
      </c>
      <c r="I44" s="63">
        <v>0</v>
      </c>
      <c r="J44" s="63">
        <v>0</v>
      </c>
      <c r="K44" s="63">
        <v>0</v>
      </c>
      <c r="L44" s="63">
        <v>0</v>
      </c>
      <c r="M44" s="63">
        <v>0</v>
      </c>
      <c r="N44" s="63">
        <v>0</v>
      </c>
      <c r="O44" s="63">
        <v>0</v>
      </c>
      <c r="P44" s="63">
        <v>0</v>
      </c>
      <c r="Q44" s="142">
        <f t="shared" si="11"/>
        <v>0</v>
      </c>
      <c r="R44" s="142" t="e">
        <f t="shared" si="12"/>
        <v>#DIV/0!</v>
      </c>
      <c r="S44" s="157"/>
      <c r="T44" s="40">
        <f t="shared" si="8"/>
        <v>0</v>
      </c>
    </row>
    <row r="45" spans="1:20" s="84" customFormat="1" ht="24.95" hidden="1" customHeight="1">
      <c r="A45" s="3" t="s">
        <v>152</v>
      </c>
      <c r="B45" s="3" t="s">
        <v>384</v>
      </c>
      <c r="C45" s="3"/>
      <c r="D45" s="26" t="s">
        <v>153</v>
      </c>
      <c r="E45" s="63">
        <v>0</v>
      </c>
      <c r="F45" s="63">
        <v>0</v>
      </c>
      <c r="G45" s="63">
        <v>0</v>
      </c>
      <c r="H45" s="63">
        <v>0</v>
      </c>
      <c r="I45" s="63">
        <v>0</v>
      </c>
      <c r="J45" s="63">
        <v>0</v>
      </c>
      <c r="K45" s="63">
        <v>0</v>
      </c>
      <c r="L45" s="63">
        <v>0</v>
      </c>
      <c r="M45" s="63">
        <v>0</v>
      </c>
      <c r="N45" s="63">
        <v>0</v>
      </c>
      <c r="O45" s="63">
        <v>0</v>
      </c>
      <c r="P45" s="63">
        <v>0</v>
      </c>
      <c r="Q45" s="142">
        <f t="shared" si="11"/>
        <v>0</v>
      </c>
      <c r="R45" s="142" t="e">
        <f t="shared" si="12"/>
        <v>#DIV/0!</v>
      </c>
      <c r="S45" s="157"/>
      <c r="T45" s="40">
        <f t="shared" si="8"/>
        <v>0</v>
      </c>
    </row>
    <row r="46" spans="1:20" s="84" customFormat="1" ht="24.95" hidden="1" customHeight="1">
      <c r="A46" s="3" t="s">
        <v>154</v>
      </c>
      <c r="B46" s="3" t="s">
        <v>384</v>
      </c>
      <c r="C46" s="3"/>
      <c r="D46" s="26" t="s">
        <v>155</v>
      </c>
      <c r="E46" s="63">
        <v>0</v>
      </c>
      <c r="F46" s="63">
        <v>0</v>
      </c>
      <c r="G46" s="63">
        <v>0</v>
      </c>
      <c r="H46" s="63">
        <v>0</v>
      </c>
      <c r="I46" s="63">
        <v>0</v>
      </c>
      <c r="J46" s="63">
        <v>0</v>
      </c>
      <c r="K46" s="63">
        <v>0</v>
      </c>
      <c r="L46" s="63">
        <v>0</v>
      </c>
      <c r="M46" s="63">
        <v>0</v>
      </c>
      <c r="N46" s="63">
        <v>0</v>
      </c>
      <c r="O46" s="63">
        <v>0</v>
      </c>
      <c r="P46" s="63">
        <v>0</v>
      </c>
      <c r="Q46" s="142">
        <f t="shared" si="11"/>
        <v>0</v>
      </c>
      <c r="R46" s="142" t="e">
        <f t="shared" si="12"/>
        <v>#DIV/0!</v>
      </c>
      <c r="S46" s="157"/>
      <c r="T46" s="40">
        <f t="shared" si="8"/>
        <v>0</v>
      </c>
    </row>
    <row r="47" spans="1:20" s="84" customFormat="1" ht="24.95" customHeight="1">
      <c r="A47" s="3" t="s">
        <v>156</v>
      </c>
      <c r="B47" s="3" t="s">
        <v>384</v>
      </c>
      <c r="C47" s="3"/>
      <c r="D47" s="26" t="s">
        <v>157</v>
      </c>
      <c r="E47" s="63"/>
      <c r="F47" s="63"/>
      <c r="G47" s="63"/>
      <c r="H47" s="63"/>
      <c r="I47" s="63"/>
      <c r="J47" s="63"/>
      <c r="K47" s="63"/>
      <c r="L47" s="63"/>
      <c r="M47" s="63"/>
      <c r="N47" s="63"/>
      <c r="O47" s="63"/>
      <c r="P47" s="63"/>
      <c r="Q47" s="142">
        <f t="shared" si="11"/>
        <v>0</v>
      </c>
      <c r="R47" s="142" t="e">
        <f t="shared" si="12"/>
        <v>#DIV/0!</v>
      </c>
      <c r="S47" s="157"/>
      <c r="T47" s="40">
        <f t="shared" si="8"/>
        <v>0</v>
      </c>
    </row>
    <row r="48" spans="1:20" s="84" customFormat="1" ht="24.75" customHeight="1">
      <c r="A48" s="3" t="s">
        <v>158</v>
      </c>
      <c r="B48" s="3" t="s">
        <v>384</v>
      </c>
      <c r="C48" s="3"/>
      <c r="D48" s="26" t="s">
        <v>159</v>
      </c>
      <c r="E48" s="63"/>
      <c r="F48" s="63"/>
      <c r="G48" s="63"/>
      <c r="H48" s="63"/>
      <c r="I48" s="63"/>
      <c r="J48" s="63"/>
      <c r="K48" s="63"/>
      <c r="L48" s="63"/>
      <c r="M48" s="63"/>
      <c r="N48" s="63"/>
      <c r="O48" s="63"/>
      <c r="P48" s="63"/>
      <c r="Q48" s="142">
        <f t="shared" si="11"/>
        <v>0</v>
      </c>
      <c r="R48" s="142" t="e">
        <f t="shared" si="12"/>
        <v>#DIV/0!</v>
      </c>
      <c r="S48" s="157"/>
      <c r="T48" s="40">
        <f t="shared" si="8"/>
        <v>0</v>
      </c>
    </row>
    <row r="49" spans="1:20" s="84" customFormat="1" ht="24.95" hidden="1" customHeight="1">
      <c r="A49" s="3" t="s">
        <v>160</v>
      </c>
      <c r="B49" s="3" t="s">
        <v>384</v>
      </c>
      <c r="C49" s="3"/>
      <c r="D49" s="26" t="s">
        <v>161</v>
      </c>
      <c r="E49" s="63"/>
      <c r="F49" s="63"/>
      <c r="G49" s="63"/>
      <c r="H49" s="63"/>
      <c r="I49" s="63"/>
      <c r="J49" s="63"/>
      <c r="K49" s="63"/>
      <c r="L49" s="63"/>
      <c r="M49" s="63"/>
      <c r="N49" s="63"/>
      <c r="O49" s="63"/>
      <c r="P49" s="63"/>
      <c r="Q49" s="142">
        <f t="shared" si="11"/>
        <v>0</v>
      </c>
      <c r="R49" s="142" t="e">
        <f t="shared" si="12"/>
        <v>#DIV/0!</v>
      </c>
      <c r="S49" s="157"/>
      <c r="T49" s="40">
        <f t="shared" si="8"/>
        <v>0</v>
      </c>
    </row>
    <row r="50" spans="1:20" s="84" customFormat="1" ht="24.95" hidden="1" customHeight="1">
      <c r="A50" s="3" t="s">
        <v>162</v>
      </c>
      <c r="B50" s="3" t="s">
        <v>384</v>
      </c>
      <c r="C50" s="3"/>
      <c r="D50" s="26" t="s">
        <v>163</v>
      </c>
      <c r="E50" s="63"/>
      <c r="F50" s="63"/>
      <c r="G50" s="63"/>
      <c r="H50" s="63"/>
      <c r="I50" s="63"/>
      <c r="J50" s="63"/>
      <c r="K50" s="63"/>
      <c r="L50" s="63"/>
      <c r="M50" s="63"/>
      <c r="N50" s="63"/>
      <c r="O50" s="63"/>
      <c r="P50" s="63"/>
      <c r="Q50" s="142">
        <f t="shared" si="11"/>
        <v>0</v>
      </c>
      <c r="R50" s="142" t="e">
        <f t="shared" si="12"/>
        <v>#DIV/0!</v>
      </c>
      <c r="S50" s="157"/>
      <c r="T50" s="40">
        <f t="shared" si="8"/>
        <v>0</v>
      </c>
    </row>
    <row r="51" spans="1:20" s="84" customFormat="1" ht="24.95" hidden="1" customHeight="1">
      <c r="A51" s="3" t="s">
        <v>164</v>
      </c>
      <c r="B51" s="3" t="s">
        <v>384</v>
      </c>
      <c r="C51" s="3"/>
      <c r="D51" s="26" t="s">
        <v>165</v>
      </c>
      <c r="E51" s="63"/>
      <c r="F51" s="63"/>
      <c r="G51" s="63"/>
      <c r="H51" s="63"/>
      <c r="I51" s="63"/>
      <c r="J51" s="63"/>
      <c r="K51" s="63"/>
      <c r="L51" s="63"/>
      <c r="M51" s="63"/>
      <c r="N51" s="63"/>
      <c r="O51" s="63"/>
      <c r="P51" s="63"/>
      <c r="Q51" s="142">
        <f t="shared" si="11"/>
        <v>0</v>
      </c>
      <c r="R51" s="142" t="e">
        <f t="shared" si="12"/>
        <v>#DIV/0!</v>
      </c>
      <c r="S51" s="157"/>
      <c r="T51" s="40">
        <f t="shared" si="8"/>
        <v>0</v>
      </c>
    </row>
    <row r="52" spans="1:20" s="84" customFormat="1" ht="24.95" hidden="1" customHeight="1">
      <c r="A52" s="3" t="s">
        <v>166</v>
      </c>
      <c r="B52" s="3" t="s">
        <v>384</v>
      </c>
      <c r="C52" s="3"/>
      <c r="D52" s="26" t="s">
        <v>167</v>
      </c>
      <c r="E52" s="63"/>
      <c r="F52" s="63"/>
      <c r="G52" s="63"/>
      <c r="H52" s="63"/>
      <c r="I52" s="63"/>
      <c r="J52" s="63"/>
      <c r="K52" s="63"/>
      <c r="L52" s="63"/>
      <c r="M52" s="63"/>
      <c r="N52" s="63"/>
      <c r="O52" s="63"/>
      <c r="P52" s="63"/>
      <c r="Q52" s="142">
        <f t="shared" si="11"/>
        <v>0</v>
      </c>
      <c r="R52" s="142" t="e">
        <f t="shared" si="12"/>
        <v>#DIV/0!</v>
      </c>
      <c r="S52" s="157"/>
      <c r="T52" s="40">
        <f t="shared" si="8"/>
        <v>0</v>
      </c>
    </row>
    <row r="53" spans="1:20" s="84" customFormat="1" ht="24.95" hidden="1" customHeight="1">
      <c r="A53" s="3" t="s">
        <v>168</v>
      </c>
      <c r="B53" s="3" t="s">
        <v>384</v>
      </c>
      <c r="C53" s="3"/>
      <c r="D53" s="26" t="s">
        <v>169</v>
      </c>
      <c r="E53" s="63"/>
      <c r="F53" s="63"/>
      <c r="G53" s="63"/>
      <c r="H53" s="63"/>
      <c r="I53" s="63"/>
      <c r="J53" s="63"/>
      <c r="K53" s="63"/>
      <c r="L53" s="63"/>
      <c r="M53" s="63"/>
      <c r="N53" s="63"/>
      <c r="O53" s="63"/>
      <c r="P53" s="63"/>
      <c r="Q53" s="142">
        <f t="shared" si="11"/>
        <v>0</v>
      </c>
      <c r="R53" s="142" t="e">
        <f t="shared" si="12"/>
        <v>#DIV/0!</v>
      </c>
      <c r="S53" s="157"/>
      <c r="T53" s="40">
        <f t="shared" si="8"/>
        <v>0</v>
      </c>
    </row>
    <row r="54" spans="1:20" s="84" customFormat="1" ht="24.95" customHeight="1">
      <c r="A54" s="3" t="s">
        <v>170</v>
      </c>
      <c r="B54" s="3" t="s">
        <v>384</v>
      </c>
      <c r="C54" s="3"/>
      <c r="D54" s="26" t="s">
        <v>171</v>
      </c>
      <c r="E54" s="63"/>
      <c r="F54" s="63"/>
      <c r="G54" s="63"/>
      <c r="H54" s="63"/>
      <c r="I54" s="63"/>
      <c r="J54" s="63"/>
      <c r="K54" s="63"/>
      <c r="L54" s="63"/>
      <c r="M54" s="63"/>
      <c r="N54" s="63"/>
      <c r="O54" s="63"/>
      <c r="P54" s="63"/>
      <c r="Q54" s="142">
        <f t="shared" si="11"/>
        <v>0</v>
      </c>
      <c r="R54" s="142" t="e">
        <f t="shared" si="12"/>
        <v>#DIV/0!</v>
      </c>
      <c r="S54" s="157"/>
      <c r="T54" s="40">
        <f t="shared" si="8"/>
        <v>0</v>
      </c>
    </row>
    <row r="55" spans="1:20" s="84" customFormat="1" ht="24.95" hidden="1" customHeight="1">
      <c r="A55" s="3" t="s">
        <v>172</v>
      </c>
      <c r="B55" s="3" t="s">
        <v>384</v>
      </c>
      <c r="C55" s="3"/>
      <c r="D55" s="26" t="s">
        <v>173</v>
      </c>
      <c r="E55" s="63"/>
      <c r="F55" s="63"/>
      <c r="G55" s="63"/>
      <c r="H55" s="63"/>
      <c r="I55" s="63"/>
      <c r="J55" s="63"/>
      <c r="K55" s="63"/>
      <c r="L55" s="63"/>
      <c r="M55" s="63"/>
      <c r="N55" s="63"/>
      <c r="O55" s="63"/>
      <c r="P55" s="63"/>
      <c r="Q55" s="142">
        <f t="shared" si="11"/>
        <v>0</v>
      </c>
      <c r="R55" s="142" t="e">
        <f t="shared" si="12"/>
        <v>#DIV/0!</v>
      </c>
      <c r="S55" s="157"/>
      <c r="T55" s="40">
        <f t="shared" si="8"/>
        <v>0</v>
      </c>
    </row>
    <row r="56" spans="1:20" s="84" customFormat="1" ht="24.95" hidden="1" customHeight="1">
      <c r="A56" s="3" t="s">
        <v>174</v>
      </c>
      <c r="B56" s="3" t="s">
        <v>384</v>
      </c>
      <c r="C56" s="3"/>
      <c r="D56" s="26" t="s">
        <v>175</v>
      </c>
      <c r="E56" s="63"/>
      <c r="F56" s="63"/>
      <c r="G56" s="63"/>
      <c r="H56" s="63"/>
      <c r="I56" s="63"/>
      <c r="J56" s="63"/>
      <c r="K56" s="63"/>
      <c r="L56" s="63"/>
      <c r="M56" s="63"/>
      <c r="N56" s="63"/>
      <c r="O56" s="63"/>
      <c r="P56" s="63"/>
      <c r="Q56" s="142">
        <f t="shared" si="11"/>
        <v>0</v>
      </c>
      <c r="R56" s="142" t="e">
        <f t="shared" si="12"/>
        <v>#DIV/0!</v>
      </c>
      <c r="S56" s="157"/>
      <c r="T56" s="40">
        <f t="shared" si="8"/>
        <v>0</v>
      </c>
    </row>
    <row r="57" spans="1:20" s="84" customFormat="1" ht="24.95" hidden="1" customHeight="1">
      <c r="A57" s="3" t="s">
        <v>176</v>
      </c>
      <c r="B57" s="3" t="s">
        <v>384</v>
      </c>
      <c r="C57" s="3"/>
      <c r="D57" s="26" t="s">
        <v>177</v>
      </c>
      <c r="E57" s="63"/>
      <c r="F57" s="63"/>
      <c r="G57" s="63"/>
      <c r="H57" s="63"/>
      <c r="I57" s="63"/>
      <c r="J57" s="63"/>
      <c r="K57" s="63"/>
      <c r="L57" s="63"/>
      <c r="M57" s="63"/>
      <c r="N57" s="63"/>
      <c r="O57" s="63"/>
      <c r="P57" s="63"/>
      <c r="Q57" s="142">
        <f t="shared" si="11"/>
        <v>0</v>
      </c>
      <c r="R57" s="142" t="e">
        <f t="shared" si="12"/>
        <v>#DIV/0!</v>
      </c>
      <c r="S57" s="157"/>
      <c r="T57" s="40">
        <f t="shared" si="8"/>
        <v>0</v>
      </c>
    </row>
    <row r="58" spans="1:20" s="84" customFormat="1" ht="24.95" customHeight="1">
      <c r="A58" s="3" t="s">
        <v>178</v>
      </c>
      <c r="B58" s="3" t="s">
        <v>384</v>
      </c>
      <c r="C58" s="3"/>
      <c r="D58" s="26" t="s">
        <v>179</v>
      </c>
      <c r="E58" s="63"/>
      <c r="F58" s="63"/>
      <c r="G58" s="63"/>
      <c r="H58" s="63"/>
      <c r="I58" s="63"/>
      <c r="J58" s="63"/>
      <c r="K58" s="63"/>
      <c r="L58" s="63"/>
      <c r="M58" s="63"/>
      <c r="N58" s="63"/>
      <c r="O58" s="63"/>
      <c r="P58" s="63"/>
      <c r="Q58" s="142">
        <f t="shared" si="11"/>
        <v>0</v>
      </c>
      <c r="R58" s="142" t="e">
        <f t="shared" si="12"/>
        <v>#DIV/0!</v>
      </c>
      <c r="S58" s="157"/>
      <c r="T58" s="40">
        <f t="shared" si="8"/>
        <v>0</v>
      </c>
    </row>
    <row r="59" spans="1:20" s="84" customFormat="1" ht="24.95" hidden="1" customHeight="1">
      <c r="A59" s="3" t="s">
        <v>180</v>
      </c>
      <c r="B59" s="3" t="s">
        <v>384</v>
      </c>
      <c r="C59" s="3"/>
      <c r="D59" s="26" t="s">
        <v>181</v>
      </c>
      <c r="E59" s="63"/>
      <c r="F59" s="63"/>
      <c r="G59" s="63"/>
      <c r="H59" s="63"/>
      <c r="I59" s="63"/>
      <c r="J59" s="63"/>
      <c r="K59" s="63"/>
      <c r="L59" s="63"/>
      <c r="M59" s="63"/>
      <c r="N59" s="63"/>
      <c r="O59" s="63"/>
      <c r="P59" s="63"/>
      <c r="Q59" s="142">
        <f t="shared" si="11"/>
        <v>0</v>
      </c>
      <c r="R59" s="142" t="e">
        <f t="shared" si="12"/>
        <v>#DIV/0!</v>
      </c>
      <c r="S59" s="157"/>
      <c r="T59" s="40"/>
    </row>
    <row r="60" spans="1:20" s="84" customFormat="1" ht="24.95" hidden="1" customHeight="1">
      <c r="A60" s="3" t="s">
        <v>182</v>
      </c>
      <c r="B60" s="3" t="s">
        <v>384</v>
      </c>
      <c r="C60" s="3"/>
      <c r="D60" s="26" t="s">
        <v>183</v>
      </c>
      <c r="E60" s="63"/>
      <c r="F60" s="63"/>
      <c r="G60" s="63"/>
      <c r="H60" s="63"/>
      <c r="I60" s="63"/>
      <c r="J60" s="63"/>
      <c r="K60" s="63"/>
      <c r="L60" s="63"/>
      <c r="M60" s="63"/>
      <c r="N60" s="63"/>
      <c r="O60" s="63"/>
      <c r="P60" s="63"/>
      <c r="Q60" s="142">
        <f t="shared" si="11"/>
        <v>0</v>
      </c>
      <c r="R60" s="142" t="e">
        <f t="shared" si="12"/>
        <v>#DIV/0!</v>
      </c>
      <c r="S60" s="157"/>
      <c r="T60" s="40"/>
    </row>
    <row r="61" spans="1:20" s="84" customFormat="1" ht="24.95" hidden="1" customHeight="1">
      <c r="A61" s="3" t="s">
        <v>184</v>
      </c>
      <c r="B61" s="3" t="s">
        <v>384</v>
      </c>
      <c r="C61" s="3"/>
      <c r="D61" s="26" t="s">
        <v>185</v>
      </c>
      <c r="E61" s="63"/>
      <c r="F61" s="63"/>
      <c r="G61" s="63"/>
      <c r="H61" s="63"/>
      <c r="I61" s="63"/>
      <c r="J61" s="63"/>
      <c r="K61" s="63"/>
      <c r="L61" s="63"/>
      <c r="M61" s="63"/>
      <c r="N61" s="63"/>
      <c r="O61" s="63"/>
      <c r="P61" s="63"/>
      <c r="Q61" s="142">
        <f t="shared" si="11"/>
        <v>0</v>
      </c>
      <c r="R61" s="142" t="e">
        <f t="shared" si="12"/>
        <v>#DIV/0!</v>
      </c>
      <c r="S61" s="157"/>
      <c r="T61" s="40"/>
    </row>
    <row r="62" spans="1:20" s="84" customFormat="1" ht="24.95" customHeight="1">
      <c r="A62" s="3" t="s">
        <v>186</v>
      </c>
      <c r="B62" s="3" t="s">
        <v>384</v>
      </c>
      <c r="C62" s="3"/>
      <c r="D62" s="26" t="s">
        <v>187</v>
      </c>
      <c r="E62" s="63"/>
      <c r="F62" s="63"/>
      <c r="G62" s="63"/>
      <c r="H62" s="63"/>
      <c r="I62" s="63"/>
      <c r="J62" s="63"/>
      <c r="K62" s="63"/>
      <c r="L62" s="63"/>
      <c r="M62" s="63"/>
      <c r="N62" s="63"/>
      <c r="O62" s="63"/>
      <c r="P62" s="63"/>
      <c r="Q62" s="142">
        <f t="shared" si="11"/>
        <v>0</v>
      </c>
      <c r="R62" s="142" t="e">
        <f t="shared" si="12"/>
        <v>#DIV/0!</v>
      </c>
      <c r="S62" s="157"/>
      <c r="T62" s="40">
        <f t="shared" si="8"/>
        <v>0</v>
      </c>
    </row>
    <row r="63" spans="1:20" s="84" customFormat="1" ht="24.95" customHeight="1">
      <c r="A63" s="3" t="s">
        <v>188</v>
      </c>
      <c r="B63" s="3" t="s">
        <v>384</v>
      </c>
      <c r="C63" s="3"/>
      <c r="D63" s="26" t="s">
        <v>189</v>
      </c>
      <c r="E63" s="63"/>
      <c r="F63" s="63"/>
      <c r="G63" s="63"/>
      <c r="H63" s="63"/>
      <c r="I63" s="63"/>
      <c r="J63" s="63"/>
      <c r="K63" s="63"/>
      <c r="L63" s="63"/>
      <c r="M63" s="63"/>
      <c r="N63" s="63"/>
      <c r="O63" s="63"/>
      <c r="P63" s="63"/>
      <c r="Q63" s="142">
        <f t="shared" si="11"/>
        <v>0</v>
      </c>
      <c r="R63" s="142" t="e">
        <f t="shared" si="12"/>
        <v>#DIV/0!</v>
      </c>
      <c r="S63" s="157"/>
      <c r="T63" s="40">
        <f t="shared" si="8"/>
        <v>0</v>
      </c>
    </row>
    <row r="64" spans="1:20" s="84" customFormat="1" ht="24.95" customHeight="1">
      <c r="A64" s="3" t="s">
        <v>190</v>
      </c>
      <c r="B64" s="3" t="s">
        <v>384</v>
      </c>
      <c r="C64" s="3"/>
      <c r="D64" s="26" t="s">
        <v>191</v>
      </c>
      <c r="E64" s="63"/>
      <c r="F64" s="63"/>
      <c r="G64" s="63"/>
      <c r="H64" s="63"/>
      <c r="I64" s="63"/>
      <c r="J64" s="63"/>
      <c r="K64" s="63"/>
      <c r="L64" s="63"/>
      <c r="M64" s="63"/>
      <c r="N64" s="63"/>
      <c r="O64" s="63"/>
      <c r="P64" s="63"/>
      <c r="Q64" s="142">
        <f t="shared" si="11"/>
        <v>0</v>
      </c>
      <c r="R64" s="142" t="e">
        <f t="shared" si="12"/>
        <v>#DIV/0!</v>
      </c>
      <c r="S64" s="157"/>
      <c r="T64" s="40">
        <f t="shared" si="8"/>
        <v>0</v>
      </c>
    </row>
    <row r="65" spans="1:20" s="84" customFormat="1" ht="24.95" customHeight="1">
      <c r="A65" s="3" t="s">
        <v>192</v>
      </c>
      <c r="B65" s="3" t="s">
        <v>384</v>
      </c>
      <c r="C65" s="3"/>
      <c r="D65" s="26" t="s">
        <v>193</v>
      </c>
      <c r="E65" s="63"/>
      <c r="F65" s="63"/>
      <c r="G65" s="63"/>
      <c r="H65" s="63"/>
      <c r="I65" s="63"/>
      <c r="J65" s="63"/>
      <c r="K65" s="63"/>
      <c r="L65" s="63"/>
      <c r="M65" s="63"/>
      <c r="N65" s="63"/>
      <c r="O65" s="63"/>
      <c r="P65" s="63"/>
      <c r="Q65" s="142">
        <f t="shared" si="11"/>
        <v>0</v>
      </c>
      <c r="R65" s="142" t="e">
        <f t="shared" si="12"/>
        <v>#DIV/0!</v>
      </c>
      <c r="S65" s="157"/>
      <c r="T65" s="40"/>
    </row>
    <row r="66" spans="1:20" s="84" customFormat="1" ht="24.95" customHeight="1">
      <c r="A66" s="3" t="s">
        <v>194</v>
      </c>
      <c r="B66" s="3" t="s">
        <v>384</v>
      </c>
      <c r="C66" s="3"/>
      <c r="D66" s="26" t="s">
        <v>195</v>
      </c>
      <c r="E66" s="63"/>
      <c r="F66" s="63"/>
      <c r="G66" s="63"/>
      <c r="H66" s="63"/>
      <c r="I66" s="63"/>
      <c r="J66" s="63"/>
      <c r="K66" s="63"/>
      <c r="L66" s="63"/>
      <c r="M66" s="63"/>
      <c r="N66" s="63"/>
      <c r="O66" s="63"/>
      <c r="P66" s="63"/>
      <c r="Q66" s="142">
        <f t="shared" si="11"/>
        <v>0</v>
      </c>
      <c r="R66" s="142" t="e">
        <f t="shared" si="12"/>
        <v>#DIV/0!</v>
      </c>
      <c r="S66" s="157"/>
      <c r="T66" s="40">
        <f t="shared" si="8"/>
        <v>0</v>
      </c>
    </row>
    <row r="67" spans="1:20" s="84" customFormat="1" ht="24.95" customHeight="1">
      <c r="A67" s="3" t="s">
        <v>196</v>
      </c>
      <c r="B67" s="3" t="s">
        <v>384</v>
      </c>
      <c r="C67" s="3"/>
      <c r="D67" s="26" t="s">
        <v>197</v>
      </c>
      <c r="E67" s="63"/>
      <c r="F67" s="63"/>
      <c r="G67" s="63"/>
      <c r="H67" s="63"/>
      <c r="I67" s="63"/>
      <c r="J67" s="63"/>
      <c r="K67" s="63"/>
      <c r="L67" s="63"/>
      <c r="M67" s="63"/>
      <c r="N67" s="63"/>
      <c r="O67" s="63"/>
      <c r="P67" s="63"/>
      <c r="Q67" s="142">
        <f t="shared" si="11"/>
        <v>0</v>
      </c>
      <c r="R67" s="142" t="e">
        <f t="shared" si="12"/>
        <v>#DIV/0!</v>
      </c>
      <c r="S67" s="157"/>
      <c r="T67" s="40">
        <f t="shared" si="8"/>
        <v>0</v>
      </c>
    </row>
    <row r="68" spans="1:20" s="84" customFormat="1" ht="24.95" hidden="1" customHeight="1">
      <c r="A68" s="3" t="s">
        <v>198</v>
      </c>
      <c r="B68" s="3" t="s">
        <v>384</v>
      </c>
      <c r="C68" s="3"/>
      <c r="D68" s="26" t="s">
        <v>199</v>
      </c>
      <c r="E68" s="63"/>
      <c r="F68" s="63"/>
      <c r="G68" s="63"/>
      <c r="H68" s="63"/>
      <c r="I68" s="63"/>
      <c r="J68" s="63"/>
      <c r="K68" s="63"/>
      <c r="L68" s="63"/>
      <c r="M68" s="63"/>
      <c r="N68" s="63"/>
      <c r="O68" s="63"/>
      <c r="P68" s="63"/>
      <c r="Q68" s="142">
        <f t="shared" si="11"/>
        <v>0</v>
      </c>
      <c r="R68" s="142" t="e">
        <f t="shared" si="12"/>
        <v>#DIV/0!</v>
      </c>
      <c r="S68" s="157"/>
      <c r="T68" s="40">
        <f t="shared" si="8"/>
        <v>0</v>
      </c>
    </row>
    <row r="69" spans="1:20" s="84" customFormat="1" ht="24.95" hidden="1" customHeight="1">
      <c r="A69" s="3" t="s">
        <v>200</v>
      </c>
      <c r="B69" s="3" t="s">
        <v>384</v>
      </c>
      <c r="C69" s="3"/>
      <c r="D69" s="26" t="s">
        <v>201</v>
      </c>
      <c r="E69" s="63"/>
      <c r="F69" s="63"/>
      <c r="G69" s="63"/>
      <c r="H69" s="63"/>
      <c r="I69" s="63"/>
      <c r="J69" s="63"/>
      <c r="K69" s="63"/>
      <c r="L69" s="63"/>
      <c r="M69" s="63"/>
      <c r="N69" s="63"/>
      <c r="O69" s="63"/>
      <c r="P69" s="63"/>
      <c r="Q69" s="142">
        <f t="shared" si="11"/>
        <v>0</v>
      </c>
      <c r="R69" s="142" t="e">
        <f t="shared" si="12"/>
        <v>#DIV/0!</v>
      </c>
      <c r="S69" s="157"/>
      <c r="T69" s="40">
        <f t="shared" si="8"/>
        <v>0</v>
      </c>
    </row>
    <row r="70" spans="1:20" s="84" customFormat="1" ht="24.95" customHeight="1">
      <c r="A70" s="3" t="s">
        <v>202</v>
      </c>
      <c r="B70" s="3" t="s">
        <v>384</v>
      </c>
      <c r="C70" s="3"/>
      <c r="D70" s="26" t="s">
        <v>203</v>
      </c>
      <c r="E70" s="63"/>
      <c r="F70" s="63"/>
      <c r="G70" s="63"/>
      <c r="H70" s="63"/>
      <c r="I70" s="63"/>
      <c r="J70" s="63"/>
      <c r="K70" s="63"/>
      <c r="L70" s="63"/>
      <c r="M70" s="63"/>
      <c r="N70" s="63"/>
      <c r="O70" s="63"/>
      <c r="P70" s="63"/>
      <c r="Q70" s="142">
        <f t="shared" si="11"/>
        <v>0</v>
      </c>
      <c r="R70" s="142" t="e">
        <f t="shared" si="12"/>
        <v>#DIV/0!</v>
      </c>
      <c r="S70" s="157"/>
      <c r="T70" s="40">
        <f t="shared" si="8"/>
        <v>0</v>
      </c>
    </row>
    <row r="71" spans="1:20" s="84" customFormat="1" ht="24.95" customHeight="1">
      <c r="A71" s="3" t="s">
        <v>204</v>
      </c>
      <c r="B71" s="3" t="s">
        <v>384</v>
      </c>
      <c r="C71" s="3"/>
      <c r="D71" s="26" t="s">
        <v>205</v>
      </c>
      <c r="E71" s="63"/>
      <c r="F71" s="63"/>
      <c r="G71" s="63"/>
      <c r="H71" s="63"/>
      <c r="I71" s="63"/>
      <c r="J71" s="63"/>
      <c r="K71" s="63"/>
      <c r="L71" s="63"/>
      <c r="M71" s="63"/>
      <c r="N71" s="63"/>
      <c r="O71" s="63"/>
      <c r="P71" s="63"/>
      <c r="Q71" s="142">
        <f t="shared" si="11"/>
        <v>0</v>
      </c>
      <c r="R71" s="142" t="e">
        <f t="shared" si="12"/>
        <v>#DIV/0!</v>
      </c>
      <c r="S71" s="157"/>
      <c r="T71" s="40">
        <f t="shared" si="8"/>
        <v>0</v>
      </c>
    </row>
    <row r="72" spans="1:20" s="84" customFormat="1" ht="24.95" hidden="1" customHeight="1">
      <c r="A72" s="3" t="s">
        <v>206</v>
      </c>
      <c r="B72" s="3" t="s">
        <v>384</v>
      </c>
      <c r="C72" s="3"/>
      <c r="D72" s="26" t="s">
        <v>207</v>
      </c>
      <c r="E72" s="63"/>
      <c r="F72" s="63"/>
      <c r="G72" s="63"/>
      <c r="H72" s="63"/>
      <c r="I72" s="63"/>
      <c r="J72" s="63"/>
      <c r="K72" s="63"/>
      <c r="L72" s="63"/>
      <c r="M72" s="63"/>
      <c r="N72" s="63"/>
      <c r="O72" s="63"/>
      <c r="P72" s="63"/>
      <c r="Q72" s="142">
        <f t="shared" si="11"/>
        <v>0</v>
      </c>
      <c r="R72" s="142" t="e">
        <f t="shared" si="12"/>
        <v>#DIV/0!</v>
      </c>
      <c r="S72" s="157"/>
      <c r="T72" s="40">
        <f t="shared" si="8"/>
        <v>0</v>
      </c>
    </row>
    <row r="73" spans="1:20" s="84" customFormat="1" ht="24.95" hidden="1" customHeight="1">
      <c r="A73" s="3" t="s">
        <v>208</v>
      </c>
      <c r="B73" s="3" t="s">
        <v>384</v>
      </c>
      <c r="C73" s="3"/>
      <c r="D73" s="26" t="s">
        <v>209</v>
      </c>
      <c r="E73" s="63"/>
      <c r="F73" s="63"/>
      <c r="G73" s="63"/>
      <c r="H73" s="63"/>
      <c r="I73" s="63"/>
      <c r="J73" s="63"/>
      <c r="K73" s="63"/>
      <c r="L73" s="63"/>
      <c r="M73" s="63"/>
      <c r="N73" s="63"/>
      <c r="O73" s="63"/>
      <c r="P73" s="63"/>
      <c r="Q73" s="142">
        <f t="shared" si="11"/>
        <v>0</v>
      </c>
      <c r="R73" s="142" t="e">
        <f t="shared" si="12"/>
        <v>#DIV/0!</v>
      </c>
      <c r="S73" s="157"/>
      <c r="T73" s="40">
        <f t="shared" si="8"/>
        <v>0</v>
      </c>
    </row>
    <row r="74" spans="1:20" s="84" customFormat="1" ht="24.95" customHeight="1">
      <c r="A74" s="3" t="s">
        <v>210</v>
      </c>
      <c r="B74" s="3" t="s">
        <v>384</v>
      </c>
      <c r="C74" s="3"/>
      <c r="D74" s="26" t="s">
        <v>211</v>
      </c>
      <c r="E74" s="63"/>
      <c r="F74" s="63"/>
      <c r="G74" s="63"/>
      <c r="H74" s="63"/>
      <c r="I74" s="63"/>
      <c r="J74" s="63"/>
      <c r="K74" s="63"/>
      <c r="L74" s="63"/>
      <c r="M74" s="63"/>
      <c r="N74" s="63"/>
      <c r="O74" s="63"/>
      <c r="P74" s="63"/>
      <c r="Q74" s="142">
        <f t="shared" si="11"/>
        <v>0</v>
      </c>
      <c r="R74" s="142" t="e">
        <f t="shared" si="12"/>
        <v>#DIV/0!</v>
      </c>
      <c r="S74" s="157"/>
      <c r="T74" s="40">
        <f t="shared" si="8"/>
        <v>0</v>
      </c>
    </row>
    <row r="75" spans="1:20" s="84" customFormat="1" ht="24.75" hidden="1" customHeight="1">
      <c r="A75" s="3" t="s">
        <v>212</v>
      </c>
      <c r="B75" s="3" t="s">
        <v>384</v>
      </c>
      <c r="C75" s="3"/>
      <c r="D75" s="26" t="s">
        <v>213</v>
      </c>
      <c r="E75" s="63"/>
      <c r="F75" s="63"/>
      <c r="G75" s="63"/>
      <c r="H75" s="63"/>
      <c r="I75" s="63"/>
      <c r="J75" s="63"/>
      <c r="K75" s="63"/>
      <c r="L75" s="63"/>
      <c r="M75" s="63"/>
      <c r="N75" s="63"/>
      <c r="O75" s="63"/>
      <c r="P75" s="63"/>
      <c r="Q75" s="142">
        <f t="shared" si="11"/>
        <v>0</v>
      </c>
      <c r="R75" s="142" t="e">
        <f t="shared" si="12"/>
        <v>#DIV/0!</v>
      </c>
      <c r="S75" s="157"/>
      <c r="T75" s="40">
        <f t="shared" si="8"/>
        <v>0</v>
      </c>
    </row>
    <row r="76" spans="1:20" s="84" customFormat="1" ht="24.95" hidden="1" customHeight="1">
      <c r="A76" s="3" t="s">
        <v>214</v>
      </c>
      <c r="B76" s="3" t="s">
        <v>384</v>
      </c>
      <c r="C76" s="3"/>
      <c r="D76" s="26" t="s">
        <v>215</v>
      </c>
      <c r="E76" s="63"/>
      <c r="F76" s="63"/>
      <c r="G76" s="63"/>
      <c r="H76" s="63"/>
      <c r="I76" s="63"/>
      <c r="J76" s="63"/>
      <c r="K76" s="63"/>
      <c r="L76" s="63"/>
      <c r="M76" s="63"/>
      <c r="N76" s="63"/>
      <c r="O76" s="63"/>
      <c r="P76" s="63"/>
      <c r="Q76" s="142">
        <f t="shared" si="11"/>
        <v>0</v>
      </c>
      <c r="R76" s="142" t="e">
        <f t="shared" si="12"/>
        <v>#DIV/0!</v>
      </c>
      <c r="S76" s="157"/>
      <c r="T76" s="40">
        <f t="shared" si="8"/>
        <v>0</v>
      </c>
    </row>
    <row r="77" spans="1:20" s="84" customFormat="1" ht="24.95" hidden="1" customHeight="1">
      <c r="A77" s="3" t="s">
        <v>216</v>
      </c>
      <c r="B77" s="3" t="s">
        <v>384</v>
      </c>
      <c r="C77" s="3"/>
      <c r="D77" s="26" t="s">
        <v>217</v>
      </c>
      <c r="E77" s="63"/>
      <c r="F77" s="63"/>
      <c r="G77" s="63"/>
      <c r="H77" s="63"/>
      <c r="I77" s="63"/>
      <c r="J77" s="63"/>
      <c r="K77" s="63"/>
      <c r="L77" s="63"/>
      <c r="M77" s="63"/>
      <c r="N77" s="63"/>
      <c r="O77" s="63"/>
      <c r="P77" s="63"/>
      <c r="Q77" s="142">
        <f t="shared" si="11"/>
        <v>0</v>
      </c>
      <c r="R77" s="142" t="e">
        <f t="shared" si="12"/>
        <v>#DIV/0!</v>
      </c>
      <c r="S77" s="157"/>
      <c r="T77" s="40">
        <f t="shared" si="8"/>
        <v>0</v>
      </c>
    </row>
    <row r="78" spans="1:20" s="84" customFormat="1" ht="24.95" hidden="1" customHeight="1">
      <c r="A78" s="3" t="s">
        <v>218</v>
      </c>
      <c r="B78" s="3" t="s">
        <v>384</v>
      </c>
      <c r="C78" s="3"/>
      <c r="D78" s="26" t="s">
        <v>219</v>
      </c>
      <c r="E78" s="63"/>
      <c r="F78" s="63"/>
      <c r="G78" s="63"/>
      <c r="H78" s="63"/>
      <c r="I78" s="63"/>
      <c r="J78" s="63"/>
      <c r="K78" s="63"/>
      <c r="L78" s="63"/>
      <c r="M78" s="63"/>
      <c r="N78" s="63"/>
      <c r="O78" s="63"/>
      <c r="P78" s="63"/>
      <c r="Q78" s="142">
        <f t="shared" si="11"/>
        <v>0</v>
      </c>
      <c r="R78" s="142" t="e">
        <f t="shared" si="12"/>
        <v>#DIV/0!</v>
      </c>
      <c r="S78" s="157"/>
      <c r="T78" s="40">
        <f t="shared" si="8"/>
        <v>0</v>
      </c>
    </row>
    <row r="79" spans="1:20" s="84" customFormat="1" ht="24.95" hidden="1" customHeight="1">
      <c r="A79" s="3" t="s">
        <v>220</v>
      </c>
      <c r="B79" s="3" t="s">
        <v>384</v>
      </c>
      <c r="C79" s="3"/>
      <c r="D79" s="26" t="s">
        <v>221</v>
      </c>
      <c r="E79" s="63"/>
      <c r="F79" s="63"/>
      <c r="G79" s="63"/>
      <c r="H79" s="63"/>
      <c r="I79" s="63"/>
      <c r="J79" s="63"/>
      <c r="K79" s="63"/>
      <c r="L79" s="63"/>
      <c r="M79" s="63"/>
      <c r="N79" s="63"/>
      <c r="O79" s="63"/>
      <c r="P79" s="63"/>
      <c r="Q79" s="142">
        <f t="shared" si="11"/>
        <v>0</v>
      </c>
      <c r="R79" s="142" t="e">
        <f t="shared" si="12"/>
        <v>#DIV/0!</v>
      </c>
      <c r="S79" s="157"/>
      <c r="T79" s="40">
        <f t="shared" si="8"/>
        <v>0</v>
      </c>
    </row>
    <row r="80" spans="1:20" s="84" customFormat="1" ht="24.95" hidden="1" customHeight="1">
      <c r="A80" s="3" t="s">
        <v>222</v>
      </c>
      <c r="B80" s="3" t="s">
        <v>384</v>
      </c>
      <c r="C80" s="3"/>
      <c r="D80" s="26" t="s">
        <v>223</v>
      </c>
      <c r="E80" s="63"/>
      <c r="F80" s="63"/>
      <c r="G80" s="63"/>
      <c r="H80" s="63"/>
      <c r="I80" s="63"/>
      <c r="J80" s="63"/>
      <c r="K80" s="63"/>
      <c r="L80" s="63"/>
      <c r="M80" s="63"/>
      <c r="N80" s="63"/>
      <c r="O80" s="63"/>
      <c r="P80" s="63"/>
      <c r="Q80" s="142">
        <f t="shared" si="11"/>
        <v>0</v>
      </c>
      <c r="R80" s="142" t="e">
        <f t="shared" si="12"/>
        <v>#DIV/0!</v>
      </c>
      <c r="S80" s="157"/>
      <c r="T80" s="40">
        <f t="shared" si="8"/>
        <v>0</v>
      </c>
    </row>
    <row r="81" spans="1:20" s="84" customFormat="1" ht="24.95" customHeight="1">
      <c r="A81" s="3" t="s">
        <v>224</v>
      </c>
      <c r="B81" s="3" t="s">
        <v>384</v>
      </c>
      <c r="C81" s="3"/>
      <c r="D81" s="26" t="s">
        <v>225</v>
      </c>
      <c r="E81" s="63"/>
      <c r="F81" s="63"/>
      <c r="G81" s="63"/>
      <c r="H81" s="63"/>
      <c r="I81" s="63"/>
      <c r="J81" s="63"/>
      <c r="K81" s="63"/>
      <c r="L81" s="63"/>
      <c r="M81" s="63"/>
      <c r="N81" s="63"/>
      <c r="O81" s="63"/>
      <c r="P81" s="63"/>
      <c r="Q81" s="142">
        <f t="shared" si="11"/>
        <v>0</v>
      </c>
      <c r="R81" s="142" t="e">
        <f t="shared" si="12"/>
        <v>#DIV/0!</v>
      </c>
      <c r="S81" s="157"/>
      <c r="T81" s="40">
        <f t="shared" si="8"/>
        <v>0</v>
      </c>
    </row>
    <row r="82" spans="1:20" s="84" customFormat="1" ht="24.95" hidden="1" customHeight="1">
      <c r="A82" s="3" t="s">
        <v>226</v>
      </c>
      <c r="B82" s="3" t="s">
        <v>384</v>
      </c>
      <c r="C82" s="3"/>
      <c r="D82" s="26" t="s">
        <v>227</v>
      </c>
      <c r="E82" s="63"/>
      <c r="F82" s="63"/>
      <c r="G82" s="63"/>
      <c r="H82" s="63"/>
      <c r="I82" s="63"/>
      <c r="J82" s="63"/>
      <c r="K82" s="63"/>
      <c r="L82" s="63"/>
      <c r="M82" s="63"/>
      <c r="N82" s="63"/>
      <c r="O82" s="63"/>
      <c r="P82" s="63"/>
      <c r="Q82" s="142">
        <f t="shared" si="11"/>
        <v>0</v>
      </c>
      <c r="R82" s="142" t="e">
        <f t="shared" si="12"/>
        <v>#DIV/0!</v>
      </c>
      <c r="S82" s="157"/>
      <c r="T82" s="40">
        <f t="shared" si="8"/>
        <v>0</v>
      </c>
    </row>
    <row r="83" spans="1:20" s="84" customFormat="1" ht="24.95" hidden="1" customHeight="1">
      <c r="A83" s="3" t="s">
        <v>228</v>
      </c>
      <c r="B83" s="3" t="s">
        <v>384</v>
      </c>
      <c r="C83" s="3"/>
      <c r="D83" s="26" t="s">
        <v>229</v>
      </c>
      <c r="E83" s="63"/>
      <c r="F83" s="63"/>
      <c r="G83" s="63"/>
      <c r="H83" s="63"/>
      <c r="I83" s="63"/>
      <c r="J83" s="63"/>
      <c r="K83" s="63"/>
      <c r="L83" s="63"/>
      <c r="M83" s="63"/>
      <c r="N83" s="63"/>
      <c r="O83" s="63"/>
      <c r="P83" s="63"/>
      <c r="Q83" s="142">
        <f t="shared" si="11"/>
        <v>0</v>
      </c>
      <c r="R83" s="142" t="e">
        <f t="shared" si="12"/>
        <v>#DIV/0!</v>
      </c>
      <c r="S83" s="157"/>
      <c r="T83" s="40">
        <f t="shared" si="8"/>
        <v>0</v>
      </c>
    </row>
    <row r="84" spans="1:20" s="84" customFormat="1" ht="24.95" hidden="1" customHeight="1">
      <c r="A84" s="3" t="s">
        <v>230</v>
      </c>
      <c r="B84" s="3" t="s">
        <v>384</v>
      </c>
      <c r="C84" s="3"/>
      <c r="D84" s="26" t="s">
        <v>231</v>
      </c>
      <c r="E84" s="63"/>
      <c r="F84" s="63"/>
      <c r="G84" s="63"/>
      <c r="H84" s="63"/>
      <c r="I84" s="63"/>
      <c r="J84" s="63"/>
      <c r="K84" s="63"/>
      <c r="L84" s="63"/>
      <c r="M84" s="63"/>
      <c r="N84" s="63"/>
      <c r="O84" s="63"/>
      <c r="P84" s="63"/>
      <c r="Q84" s="142">
        <f t="shared" si="11"/>
        <v>0</v>
      </c>
      <c r="R84" s="142" t="e">
        <f t="shared" si="12"/>
        <v>#DIV/0!</v>
      </c>
      <c r="S84" s="157"/>
      <c r="T84" s="40">
        <f t="shared" si="8"/>
        <v>0</v>
      </c>
    </row>
    <row r="85" spans="1:20" s="84" customFormat="1" ht="24.95" hidden="1" customHeight="1">
      <c r="A85" s="3" t="s">
        <v>232</v>
      </c>
      <c r="B85" s="3" t="s">
        <v>384</v>
      </c>
      <c r="C85" s="3"/>
      <c r="D85" s="26" t="s">
        <v>233</v>
      </c>
      <c r="E85" s="63"/>
      <c r="F85" s="63"/>
      <c r="G85" s="63"/>
      <c r="H85" s="63"/>
      <c r="I85" s="63"/>
      <c r="J85" s="63"/>
      <c r="K85" s="63"/>
      <c r="L85" s="63"/>
      <c r="M85" s="63"/>
      <c r="N85" s="63"/>
      <c r="O85" s="63"/>
      <c r="P85" s="63"/>
      <c r="Q85" s="142">
        <f t="shared" si="11"/>
        <v>0</v>
      </c>
      <c r="R85" s="142" t="e">
        <f t="shared" si="12"/>
        <v>#DIV/0!</v>
      </c>
      <c r="S85" s="157"/>
      <c r="T85" s="40">
        <f t="shared" si="8"/>
        <v>0</v>
      </c>
    </row>
    <row r="86" spans="1:20" s="84" customFormat="1" ht="24.95" hidden="1" customHeight="1">
      <c r="A86" s="3" t="s">
        <v>434</v>
      </c>
      <c r="B86" s="3" t="s">
        <v>384</v>
      </c>
      <c r="C86" s="3"/>
      <c r="D86" s="26" t="s">
        <v>435</v>
      </c>
      <c r="E86" s="63"/>
      <c r="F86" s="63"/>
      <c r="G86" s="63"/>
      <c r="H86" s="63"/>
      <c r="I86" s="63"/>
      <c r="J86" s="63"/>
      <c r="K86" s="63"/>
      <c r="L86" s="63"/>
      <c r="M86" s="63"/>
      <c r="N86" s="63"/>
      <c r="O86" s="63"/>
      <c r="P86" s="63"/>
      <c r="Q86" s="142">
        <f t="shared" si="11"/>
        <v>0</v>
      </c>
      <c r="R86" s="142" t="e">
        <f t="shared" si="12"/>
        <v>#DIV/0!</v>
      </c>
      <c r="S86" s="157"/>
      <c r="T86" s="40">
        <f t="shared" si="8"/>
        <v>0</v>
      </c>
    </row>
    <row r="87" spans="1:20" s="84" customFormat="1" ht="24.95" hidden="1" customHeight="1">
      <c r="A87" s="3" t="s">
        <v>234</v>
      </c>
      <c r="B87" s="3" t="s">
        <v>384</v>
      </c>
      <c r="C87" s="3"/>
      <c r="D87" s="26" t="s">
        <v>235</v>
      </c>
      <c r="E87" s="63"/>
      <c r="F87" s="63"/>
      <c r="G87" s="63"/>
      <c r="H87" s="63"/>
      <c r="I87" s="63"/>
      <c r="J87" s="63"/>
      <c r="K87" s="63"/>
      <c r="L87" s="63"/>
      <c r="M87" s="63"/>
      <c r="N87" s="63"/>
      <c r="O87" s="63"/>
      <c r="P87" s="63"/>
      <c r="Q87" s="142">
        <f t="shared" si="11"/>
        <v>0</v>
      </c>
      <c r="R87" s="142" t="e">
        <f t="shared" si="12"/>
        <v>#DIV/0!</v>
      </c>
      <c r="S87" s="157"/>
      <c r="T87" s="40">
        <f t="shared" si="8"/>
        <v>0</v>
      </c>
    </row>
    <row r="88" spans="1:20" s="84" customFormat="1" ht="24.95" hidden="1" customHeight="1">
      <c r="A88" s="3" t="s">
        <v>236</v>
      </c>
      <c r="B88" s="3" t="s">
        <v>384</v>
      </c>
      <c r="C88" s="3"/>
      <c r="D88" s="26" t="s">
        <v>237</v>
      </c>
      <c r="E88" s="63"/>
      <c r="F88" s="63"/>
      <c r="G88" s="63"/>
      <c r="H88" s="63"/>
      <c r="I88" s="63"/>
      <c r="J88" s="63"/>
      <c r="K88" s="63"/>
      <c r="L88" s="63"/>
      <c r="M88" s="63"/>
      <c r="N88" s="63"/>
      <c r="O88" s="63"/>
      <c r="P88" s="63"/>
      <c r="Q88" s="142">
        <f t="shared" si="11"/>
        <v>0</v>
      </c>
      <c r="R88" s="142" t="e">
        <f t="shared" si="12"/>
        <v>#DIV/0!</v>
      </c>
      <c r="S88" s="157"/>
      <c r="T88" s="40">
        <f t="shared" si="8"/>
        <v>0</v>
      </c>
    </row>
    <row r="89" spans="1:20" s="84" customFormat="1" ht="24.95" hidden="1" customHeight="1">
      <c r="A89" s="3" t="s">
        <v>238</v>
      </c>
      <c r="B89" s="3" t="s">
        <v>384</v>
      </c>
      <c r="C89" s="3"/>
      <c r="D89" s="26" t="s">
        <v>239</v>
      </c>
      <c r="E89" s="63"/>
      <c r="F89" s="63"/>
      <c r="G89" s="63"/>
      <c r="H89" s="63"/>
      <c r="I89" s="63"/>
      <c r="J89" s="63"/>
      <c r="K89" s="63"/>
      <c r="L89" s="63"/>
      <c r="M89" s="63"/>
      <c r="N89" s="63"/>
      <c r="O89" s="63"/>
      <c r="P89" s="63"/>
      <c r="Q89" s="142">
        <f t="shared" si="11"/>
        <v>0</v>
      </c>
      <c r="R89" s="142" t="e">
        <f t="shared" si="12"/>
        <v>#DIV/0!</v>
      </c>
      <c r="S89" s="157"/>
      <c r="T89" s="40">
        <f t="shared" si="8"/>
        <v>0</v>
      </c>
    </row>
    <row r="90" spans="1:20" s="84" customFormat="1" ht="24.95" hidden="1" customHeight="1">
      <c r="A90" s="3" t="s">
        <v>240</v>
      </c>
      <c r="B90" s="3" t="s">
        <v>384</v>
      </c>
      <c r="C90" s="3"/>
      <c r="D90" s="26" t="s">
        <v>241</v>
      </c>
      <c r="E90" s="63"/>
      <c r="F90" s="63"/>
      <c r="G90" s="63"/>
      <c r="H90" s="63"/>
      <c r="I90" s="63"/>
      <c r="J90" s="63"/>
      <c r="K90" s="63"/>
      <c r="L90" s="63"/>
      <c r="M90" s="63"/>
      <c r="N90" s="63"/>
      <c r="O90" s="63"/>
      <c r="P90" s="63"/>
      <c r="Q90" s="142">
        <f t="shared" si="11"/>
        <v>0</v>
      </c>
      <c r="R90" s="142" t="e">
        <f t="shared" si="12"/>
        <v>#DIV/0!</v>
      </c>
      <c r="S90" s="157"/>
      <c r="T90" s="40">
        <f t="shared" si="8"/>
        <v>0</v>
      </c>
    </row>
    <row r="91" spans="1:20" s="84" customFormat="1" ht="24.95" hidden="1" customHeight="1">
      <c r="A91" s="3" t="s">
        <v>242</v>
      </c>
      <c r="B91" s="3" t="s">
        <v>384</v>
      </c>
      <c r="C91" s="3"/>
      <c r="D91" s="26" t="s">
        <v>243</v>
      </c>
      <c r="E91" s="63"/>
      <c r="F91" s="63"/>
      <c r="G91" s="63"/>
      <c r="H91" s="63"/>
      <c r="I91" s="63"/>
      <c r="J91" s="63"/>
      <c r="K91" s="63"/>
      <c r="L91" s="63"/>
      <c r="M91" s="63"/>
      <c r="N91" s="63"/>
      <c r="O91" s="63"/>
      <c r="P91" s="63"/>
      <c r="Q91" s="142">
        <f t="shared" si="11"/>
        <v>0</v>
      </c>
      <c r="R91" s="142" t="e">
        <f t="shared" si="12"/>
        <v>#DIV/0!</v>
      </c>
      <c r="S91" s="157"/>
      <c r="T91" s="40">
        <f t="shared" si="8"/>
        <v>0</v>
      </c>
    </row>
    <row r="92" spans="1:20" s="84" customFormat="1" ht="24.95" hidden="1" customHeight="1">
      <c r="A92" s="3" t="s">
        <v>244</v>
      </c>
      <c r="B92" s="3" t="s">
        <v>384</v>
      </c>
      <c r="C92" s="3"/>
      <c r="D92" s="26" t="s">
        <v>245</v>
      </c>
      <c r="E92" s="63"/>
      <c r="F92" s="63"/>
      <c r="G92" s="63"/>
      <c r="H92" s="63"/>
      <c r="I92" s="63"/>
      <c r="J92" s="63"/>
      <c r="K92" s="63"/>
      <c r="L92" s="63"/>
      <c r="M92" s="63"/>
      <c r="N92" s="63"/>
      <c r="O92" s="63"/>
      <c r="P92" s="63"/>
      <c r="Q92" s="142">
        <f t="shared" si="11"/>
        <v>0</v>
      </c>
      <c r="R92" s="142" t="e">
        <f t="shared" si="12"/>
        <v>#DIV/0!</v>
      </c>
      <c r="S92" s="157"/>
      <c r="T92" s="40">
        <f t="shared" si="8"/>
        <v>0</v>
      </c>
    </row>
    <row r="93" spans="1:20" s="84" customFormat="1" ht="24.95" hidden="1" customHeight="1">
      <c r="A93" s="3" t="s">
        <v>246</v>
      </c>
      <c r="B93" s="3" t="s">
        <v>384</v>
      </c>
      <c r="C93" s="3"/>
      <c r="D93" s="26" t="s">
        <v>247</v>
      </c>
      <c r="E93" s="63"/>
      <c r="F93" s="63"/>
      <c r="G93" s="63"/>
      <c r="H93" s="63"/>
      <c r="I93" s="63"/>
      <c r="J93" s="63"/>
      <c r="K93" s="63"/>
      <c r="L93" s="63"/>
      <c r="M93" s="63"/>
      <c r="N93" s="63"/>
      <c r="O93" s="63"/>
      <c r="P93" s="63"/>
      <c r="Q93" s="142">
        <f t="shared" si="11"/>
        <v>0</v>
      </c>
      <c r="R93" s="142" t="e">
        <f t="shared" si="12"/>
        <v>#DIV/0!</v>
      </c>
      <c r="S93" s="157"/>
      <c r="T93" s="40">
        <f t="shared" si="8"/>
        <v>0</v>
      </c>
    </row>
    <row r="94" spans="1:20" s="84" customFormat="1" ht="24.95" customHeight="1">
      <c r="A94" s="3" t="s">
        <v>248</v>
      </c>
      <c r="B94" s="3" t="s">
        <v>384</v>
      </c>
      <c r="C94" s="3"/>
      <c r="D94" s="26" t="s">
        <v>249</v>
      </c>
      <c r="E94" s="63"/>
      <c r="F94" s="63"/>
      <c r="G94" s="63"/>
      <c r="H94" s="63"/>
      <c r="I94" s="63"/>
      <c r="J94" s="63"/>
      <c r="K94" s="63"/>
      <c r="L94" s="63"/>
      <c r="M94" s="63"/>
      <c r="N94" s="63"/>
      <c r="O94" s="63"/>
      <c r="P94" s="63"/>
      <c r="Q94" s="142">
        <f t="shared" si="11"/>
        <v>0</v>
      </c>
      <c r="R94" s="142" t="e">
        <f t="shared" si="12"/>
        <v>#DIV/0!</v>
      </c>
      <c r="S94" s="157"/>
      <c r="T94" s="40">
        <f t="shared" si="8"/>
        <v>0</v>
      </c>
    </row>
    <row r="95" spans="1:20" s="84" customFormat="1" ht="24.95" customHeight="1">
      <c r="A95" s="3" t="s">
        <v>250</v>
      </c>
      <c r="B95" s="3" t="s">
        <v>384</v>
      </c>
      <c r="C95" s="3"/>
      <c r="D95" s="26" t="s">
        <v>251</v>
      </c>
      <c r="E95" s="27">
        <f>+Laundry!E249+Laundry!E261</f>
        <v>0</v>
      </c>
      <c r="F95" s="27">
        <f>+Laundry!F249+Laundry!F261</f>
        <v>0</v>
      </c>
      <c r="G95" s="27">
        <f>+Laundry!G249+Laundry!G261</f>
        <v>0</v>
      </c>
      <c r="H95" s="27">
        <f>+Laundry!H249+Laundry!H261</f>
        <v>0</v>
      </c>
      <c r="I95" s="27">
        <f>+Laundry!I249+Laundry!I261</f>
        <v>0</v>
      </c>
      <c r="J95" s="27">
        <f>+Laundry!J249+Laundry!J261</f>
        <v>0</v>
      </c>
      <c r="K95" s="27">
        <f>+Laundry!K249+Laundry!K261</f>
        <v>0</v>
      </c>
      <c r="L95" s="27">
        <f>+Laundry!L249+Laundry!L261</f>
        <v>0</v>
      </c>
      <c r="M95" s="27">
        <f>+Laundry!M249+Laundry!M261</f>
        <v>0</v>
      </c>
      <c r="N95" s="27">
        <f>+Laundry!N249+Laundry!N261</f>
        <v>0</v>
      </c>
      <c r="O95" s="27">
        <f>+Laundry!O249+Laundry!O261</f>
        <v>0</v>
      </c>
      <c r="P95" s="27">
        <f>+Laundry!P249+Laundry!P261</f>
        <v>0</v>
      </c>
      <c r="Q95" s="142">
        <f t="shared" si="11"/>
        <v>0</v>
      </c>
      <c r="R95" s="142" t="e">
        <f t="shared" si="12"/>
        <v>#DIV/0!</v>
      </c>
      <c r="S95" s="157"/>
      <c r="T95" s="40">
        <f t="shared" si="8"/>
        <v>0</v>
      </c>
    </row>
    <row r="96" spans="1:20" s="84" customFormat="1" ht="24.95" customHeight="1">
      <c r="A96" s="3" t="s">
        <v>252</v>
      </c>
      <c r="B96" s="3" t="s">
        <v>384</v>
      </c>
      <c r="C96" s="3"/>
      <c r="D96" s="26" t="s">
        <v>253</v>
      </c>
      <c r="E96" s="63">
        <v>0</v>
      </c>
      <c r="F96" s="63">
        <v>0</v>
      </c>
      <c r="G96" s="63">
        <v>0</v>
      </c>
      <c r="H96" s="63">
        <v>0</v>
      </c>
      <c r="I96" s="63">
        <v>0</v>
      </c>
      <c r="J96" s="63">
        <v>0</v>
      </c>
      <c r="K96" s="63">
        <v>0</v>
      </c>
      <c r="L96" s="63">
        <v>0</v>
      </c>
      <c r="M96" s="63">
        <v>0</v>
      </c>
      <c r="N96" s="63">
        <v>0</v>
      </c>
      <c r="O96" s="63">
        <v>0</v>
      </c>
      <c r="P96" s="63">
        <v>0</v>
      </c>
      <c r="Q96" s="142">
        <f t="shared" si="11"/>
        <v>0</v>
      </c>
      <c r="R96" s="142" t="e">
        <f t="shared" si="12"/>
        <v>#DIV/0!</v>
      </c>
      <c r="S96" s="157"/>
      <c r="T96" s="40">
        <f t="shared" ref="T96:T108" si="13">-IF(Q96-S96=0,0,(Q96-S96)/S96)</f>
        <v>0</v>
      </c>
    </row>
    <row r="97" spans="1:20" s="84" customFormat="1" ht="24.95" hidden="1" customHeight="1">
      <c r="A97" s="3" t="s">
        <v>254</v>
      </c>
      <c r="B97" s="3" t="s">
        <v>384</v>
      </c>
      <c r="C97" s="3"/>
      <c r="D97" s="26" t="s">
        <v>255</v>
      </c>
      <c r="E97" s="63">
        <v>0</v>
      </c>
      <c r="F97" s="63">
        <v>0</v>
      </c>
      <c r="G97" s="63">
        <v>0</v>
      </c>
      <c r="H97" s="63">
        <v>0</v>
      </c>
      <c r="I97" s="63">
        <v>0</v>
      </c>
      <c r="J97" s="63">
        <v>0</v>
      </c>
      <c r="K97" s="63">
        <v>0</v>
      </c>
      <c r="L97" s="63">
        <v>0</v>
      </c>
      <c r="M97" s="63">
        <v>0</v>
      </c>
      <c r="N97" s="63">
        <v>0</v>
      </c>
      <c r="O97" s="63">
        <v>0</v>
      </c>
      <c r="P97" s="63">
        <v>0</v>
      </c>
      <c r="Q97" s="142">
        <f t="shared" si="11"/>
        <v>0</v>
      </c>
      <c r="R97" s="142" t="e">
        <f t="shared" si="12"/>
        <v>#DIV/0!</v>
      </c>
      <c r="S97" s="157"/>
      <c r="T97" s="40"/>
    </row>
    <row r="98" spans="1:20" s="84" customFormat="1" ht="24.95" hidden="1" customHeight="1">
      <c r="A98" s="3" t="s">
        <v>256</v>
      </c>
      <c r="B98" s="3" t="s">
        <v>384</v>
      </c>
      <c r="C98" s="3"/>
      <c r="D98" s="26" t="s">
        <v>257</v>
      </c>
      <c r="E98" s="63">
        <v>0</v>
      </c>
      <c r="F98" s="63">
        <v>0</v>
      </c>
      <c r="G98" s="63">
        <v>0</v>
      </c>
      <c r="H98" s="63">
        <v>0</v>
      </c>
      <c r="I98" s="63">
        <v>0</v>
      </c>
      <c r="J98" s="63">
        <v>0</v>
      </c>
      <c r="K98" s="63">
        <v>0</v>
      </c>
      <c r="L98" s="63">
        <v>0</v>
      </c>
      <c r="M98" s="63">
        <v>0</v>
      </c>
      <c r="N98" s="63">
        <v>0</v>
      </c>
      <c r="O98" s="63">
        <v>0</v>
      </c>
      <c r="P98" s="63">
        <v>0</v>
      </c>
      <c r="Q98" s="142">
        <f t="shared" si="11"/>
        <v>0</v>
      </c>
      <c r="R98" s="142" t="e">
        <f t="shared" si="12"/>
        <v>#DIV/0!</v>
      </c>
      <c r="S98" s="157"/>
      <c r="T98" s="40">
        <f t="shared" si="13"/>
        <v>0</v>
      </c>
    </row>
    <row r="99" spans="1:20" s="84" customFormat="1" ht="24.95" customHeight="1">
      <c r="A99" s="3" t="s">
        <v>258</v>
      </c>
      <c r="B99" s="3" t="s">
        <v>384</v>
      </c>
      <c r="C99" s="3"/>
      <c r="D99" s="26" t="s">
        <v>259</v>
      </c>
      <c r="E99" s="63">
        <v>0</v>
      </c>
      <c r="F99" s="63">
        <v>0</v>
      </c>
      <c r="G99" s="63">
        <v>0</v>
      </c>
      <c r="H99" s="63">
        <v>0</v>
      </c>
      <c r="I99" s="63">
        <v>0</v>
      </c>
      <c r="J99" s="63">
        <v>0</v>
      </c>
      <c r="K99" s="63">
        <v>0</v>
      </c>
      <c r="L99" s="63">
        <v>0</v>
      </c>
      <c r="M99" s="63">
        <v>0</v>
      </c>
      <c r="N99" s="63">
        <v>0</v>
      </c>
      <c r="O99" s="63">
        <v>0</v>
      </c>
      <c r="P99" s="63">
        <v>0</v>
      </c>
      <c r="Q99" s="142">
        <f t="shared" si="11"/>
        <v>0</v>
      </c>
      <c r="R99" s="142" t="e">
        <f t="shared" si="12"/>
        <v>#DIV/0!</v>
      </c>
      <c r="S99" s="157"/>
      <c r="T99" s="40">
        <f t="shared" si="13"/>
        <v>0</v>
      </c>
    </row>
    <row r="100" spans="1:20" s="84" customFormat="1" ht="24.95" hidden="1" customHeight="1">
      <c r="A100" s="3" t="s">
        <v>260</v>
      </c>
      <c r="B100" s="3" t="s">
        <v>384</v>
      </c>
      <c r="C100" s="3"/>
      <c r="D100" s="26" t="s">
        <v>261</v>
      </c>
      <c r="E100" s="63">
        <v>0</v>
      </c>
      <c r="F100" s="63">
        <v>0</v>
      </c>
      <c r="G100" s="63">
        <v>0</v>
      </c>
      <c r="H100" s="63">
        <v>0</v>
      </c>
      <c r="I100" s="63">
        <v>0</v>
      </c>
      <c r="J100" s="63">
        <v>0</v>
      </c>
      <c r="K100" s="63">
        <v>0</v>
      </c>
      <c r="L100" s="63">
        <v>0</v>
      </c>
      <c r="M100" s="63">
        <v>0</v>
      </c>
      <c r="N100" s="63">
        <v>0</v>
      </c>
      <c r="O100" s="63">
        <v>0</v>
      </c>
      <c r="P100" s="63">
        <v>0</v>
      </c>
      <c r="Q100" s="142">
        <f t="shared" si="11"/>
        <v>0</v>
      </c>
      <c r="R100" s="142" t="e">
        <f t="shared" si="12"/>
        <v>#DIV/0!</v>
      </c>
      <c r="S100" s="157"/>
      <c r="T100" s="40">
        <f t="shared" si="13"/>
        <v>0</v>
      </c>
    </row>
    <row r="101" spans="1:20" s="84" customFormat="1" ht="24.95" hidden="1" customHeight="1">
      <c r="A101" s="3" t="s">
        <v>262</v>
      </c>
      <c r="B101" s="3" t="s">
        <v>384</v>
      </c>
      <c r="C101" s="3"/>
      <c r="D101" s="26" t="s">
        <v>263</v>
      </c>
      <c r="E101" s="63">
        <v>0</v>
      </c>
      <c r="F101" s="63">
        <v>0</v>
      </c>
      <c r="G101" s="63">
        <v>0</v>
      </c>
      <c r="H101" s="63">
        <v>0</v>
      </c>
      <c r="I101" s="63">
        <v>0</v>
      </c>
      <c r="J101" s="63">
        <v>0</v>
      </c>
      <c r="K101" s="63">
        <v>0</v>
      </c>
      <c r="L101" s="63">
        <v>0</v>
      </c>
      <c r="M101" s="63">
        <v>0</v>
      </c>
      <c r="N101" s="63">
        <v>0</v>
      </c>
      <c r="O101" s="63">
        <v>0</v>
      </c>
      <c r="P101" s="63">
        <v>0</v>
      </c>
      <c r="Q101" s="142">
        <f t="shared" si="11"/>
        <v>0</v>
      </c>
      <c r="R101" s="142" t="e">
        <f t="shared" si="12"/>
        <v>#DIV/0!</v>
      </c>
      <c r="S101" s="157"/>
      <c r="T101" s="40">
        <f t="shared" si="13"/>
        <v>0</v>
      </c>
    </row>
    <row r="102" spans="1:20" s="84" customFormat="1" ht="24.95" hidden="1" customHeight="1">
      <c r="A102" s="3" t="s">
        <v>264</v>
      </c>
      <c r="B102" s="3" t="s">
        <v>384</v>
      </c>
      <c r="C102" s="3"/>
      <c r="D102" s="26" t="s">
        <v>265</v>
      </c>
      <c r="E102" s="63">
        <v>0</v>
      </c>
      <c r="F102" s="63">
        <v>0</v>
      </c>
      <c r="G102" s="63">
        <v>0</v>
      </c>
      <c r="H102" s="63">
        <v>0</v>
      </c>
      <c r="I102" s="63">
        <v>0</v>
      </c>
      <c r="J102" s="63">
        <v>0</v>
      </c>
      <c r="K102" s="63">
        <v>0</v>
      </c>
      <c r="L102" s="63">
        <v>0</v>
      </c>
      <c r="M102" s="63">
        <v>0</v>
      </c>
      <c r="N102" s="63">
        <v>0</v>
      </c>
      <c r="O102" s="63">
        <v>0</v>
      </c>
      <c r="P102" s="63">
        <v>0</v>
      </c>
      <c r="Q102" s="142">
        <f t="shared" si="11"/>
        <v>0</v>
      </c>
      <c r="R102" s="142" t="e">
        <f t="shared" si="12"/>
        <v>#DIV/0!</v>
      </c>
      <c r="S102" s="157"/>
      <c r="T102" s="40">
        <f t="shared" si="13"/>
        <v>0</v>
      </c>
    </row>
    <row r="103" spans="1:20" s="84" customFormat="1" ht="24.95" hidden="1" customHeight="1">
      <c r="A103" s="3" t="s">
        <v>266</v>
      </c>
      <c r="B103" s="3" t="s">
        <v>384</v>
      </c>
      <c r="C103" s="3"/>
      <c r="D103" s="26" t="s">
        <v>267</v>
      </c>
      <c r="E103" s="63">
        <v>0</v>
      </c>
      <c r="F103" s="63">
        <v>0</v>
      </c>
      <c r="G103" s="63">
        <v>0</v>
      </c>
      <c r="H103" s="63">
        <v>0</v>
      </c>
      <c r="I103" s="63">
        <v>0</v>
      </c>
      <c r="J103" s="63">
        <v>0</v>
      </c>
      <c r="K103" s="63">
        <v>0</v>
      </c>
      <c r="L103" s="63">
        <v>0</v>
      </c>
      <c r="M103" s="63">
        <v>0</v>
      </c>
      <c r="N103" s="63">
        <v>0</v>
      </c>
      <c r="O103" s="63">
        <v>0</v>
      </c>
      <c r="P103" s="63">
        <v>0</v>
      </c>
      <c r="Q103" s="142">
        <f t="shared" si="11"/>
        <v>0</v>
      </c>
      <c r="R103" s="142" t="e">
        <f t="shared" si="12"/>
        <v>#DIV/0!</v>
      </c>
      <c r="S103" s="157"/>
      <c r="T103" s="40">
        <f t="shared" si="13"/>
        <v>0</v>
      </c>
    </row>
    <row r="104" spans="1:20" s="84" customFormat="1" ht="24.95" hidden="1" customHeight="1">
      <c r="A104" s="3" t="s">
        <v>268</v>
      </c>
      <c r="B104" s="3" t="s">
        <v>384</v>
      </c>
      <c r="C104" s="3"/>
      <c r="D104" s="26" t="s">
        <v>269</v>
      </c>
      <c r="E104" s="63">
        <v>0</v>
      </c>
      <c r="F104" s="63">
        <v>0</v>
      </c>
      <c r="G104" s="63">
        <v>0</v>
      </c>
      <c r="H104" s="63">
        <v>0</v>
      </c>
      <c r="I104" s="63">
        <v>0</v>
      </c>
      <c r="J104" s="63">
        <v>0</v>
      </c>
      <c r="K104" s="63">
        <v>0</v>
      </c>
      <c r="L104" s="63">
        <v>0</v>
      </c>
      <c r="M104" s="63">
        <v>0</v>
      </c>
      <c r="N104" s="63">
        <v>0</v>
      </c>
      <c r="O104" s="63">
        <v>0</v>
      </c>
      <c r="P104" s="63">
        <v>0</v>
      </c>
      <c r="Q104" s="142">
        <f t="shared" ref="Q104:Q107" si="14">SUM(E104:P104)</f>
        <v>0</v>
      </c>
      <c r="R104" s="142" t="e">
        <f>Q104/$Q$117</f>
        <v>#DIV/0!</v>
      </c>
      <c r="S104" s="157"/>
      <c r="T104" s="40">
        <f t="shared" si="13"/>
        <v>0</v>
      </c>
    </row>
    <row r="105" spans="1:20" s="84" customFormat="1" ht="24.95" hidden="1" customHeight="1">
      <c r="A105" s="3" t="s">
        <v>270</v>
      </c>
      <c r="B105" s="3" t="s">
        <v>384</v>
      </c>
      <c r="C105" s="3"/>
      <c r="D105" s="26" t="s">
        <v>271</v>
      </c>
      <c r="E105" s="63">
        <v>0</v>
      </c>
      <c r="F105" s="63">
        <v>0</v>
      </c>
      <c r="G105" s="63">
        <v>0</v>
      </c>
      <c r="H105" s="63">
        <v>0</v>
      </c>
      <c r="I105" s="63">
        <v>0</v>
      </c>
      <c r="J105" s="63">
        <v>0</v>
      </c>
      <c r="K105" s="63">
        <v>0</v>
      </c>
      <c r="L105" s="63">
        <v>0</v>
      </c>
      <c r="M105" s="63">
        <v>0</v>
      </c>
      <c r="N105" s="63">
        <v>0</v>
      </c>
      <c r="O105" s="63">
        <v>0</v>
      </c>
      <c r="P105" s="63">
        <v>0</v>
      </c>
      <c r="Q105" s="142">
        <f t="shared" si="14"/>
        <v>0</v>
      </c>
      <c r="R105" s="142" t="e">
        <f>Q105/$Q$117</f>
        <v>#DIV/0!</v>
      </c>
      <c r="S105" s="157"/>
      <c r="T105" s="40">
        <f t="shared" si="13"/>
        <v>0</v>
      </c>
    </row>
    <row r="106" spans="1:20" s="84" customFormat="1" ht="24.95" customHeight="1">
      <c r="A106" s="3" t="s">
        <v>272</v>
      </c>
      <c r="B106" s="3" t="s">
        <v>384</v>
      </c>
      <c r="C106" s="3"/>
      <c r="D106" s="26" t="s">
        <v>273</v>
      </c>
      <c r="E106" s="63">
        <f>E26/2*0.55</f>
        <v>0</v>
      </c>
      <c r="F106" s="63">
        <f t="shared" ref="F106:P106" si="15">F26/2*0.55</f>
        <v>0</v>
      </c>
      <c r="G106" s="63">
        <f t="shared" si="15"/>
        <v>0</v>
      </c>
      <c r="H106" s="63">
        <f t="shared" si="15"/>
        <v>0</v>
      </c>
      <c r="I106" s="63">
        <f t="shared" si="15"/>
        <v>0</v>
      </c>
      <c r="J106" s="63">
        <f t="shared" si="15"/>
        <v>0</v>
      </c>
      <c r="K106" s="63">
        <f t="shared" si="15"/>
        <v>0</v>
      </c>
      <c r="L106" s="63">
        <f t="shared" si="15"/>
        <v>0</v>
      </c>
      <c r="M106" s="63">
        <f t="shared" si="15"/>
        <v>0</v>
      </c>
      <c r="N106" s="63">
        <f t="shared" si="15"/>
        <v>0</v>
      </c>
      <c r="O106" s="63">
        <f t="shared" si="15"/>
        <v>0</v>
      </c>
      <c r="P106" s="63">
        <f t="shared" si="15"/>
        <v>0</v>
      </c>
      <c r="Q106" s="142">
        <f t="shared" si="14"/>
        <v>0</v>
      </c>
      <c r="R106" s="142" t="e">
        <f>Q106/$Q$117</f>
        <v>#DIV/0!</v>
      </c>
      <c r="S106" s="157"/>
      <c r="T106" s="40">
        <f t="shared" si="13"/>
        <v>0</v>
      </c>
    </row>
    <row r="107" spans="1:20" s="84" customFormat="1" ht="24.95" customHeight="1">
      <c r="A107" s="3" t="s">
        <v>468</v>
      </c>
      <c r="B107" s="3" t="s">
        <v>384</v>
      </c>
      <c r="C107" s="3"/>
      <c r="D107" s="26" t="s">
        <v>469</v>
      </c>
      <c r="E107" s="27">
        <f>-'F&amp;B Admin'!E$86/'F&amp;B Summary'!E$50*E$28-'Main Kitchen'!E$86/'F&amp;B Summary'!E$53*E$31-STW!E$86/('F&amp;B Summary'!E$148-'MP Cafe'!E$117)*E$117</f>
        <v>0</v>
      </c>
      <c r="F107" s="27">
        <f>-'F&amp;B Admin'!F$86/'F&amp;B Summary'!F$50*F$28-'Main Kitchen'!F$86/'F&amp;B Summary'!F$53*F$31-STW!F$86/('F&amp;B Summary'!F$148-'MP Cafe'!F$117)*F$117</f>
        <v>0</v>
      </c>
      <c r="G107" s="27">
        <f>-'F&amp;B Admin'!G$86/'F&amp;B Summary'!G$50*G$28-'Main Kitchen'!G$86/'F&amp;B Summary'!G$53*G$31-STW!G$86/('F&amp;B Summary'!G$148-'MP Cafe'!G$117)*G$117</f>
        <v>0</v>
      </c>
      <c r="H107" s="27">
        <f>-'F&amp;B Admin'!H$86/'F&amp;B Summary'!H$50*H$28-'Main Kitchen'!H$86/'F&amp;B Summary'!H$53*H$31-STW!H$86/('F&amp;B Summary'!H$148-'MP Cafe'!H$117)*H$117</f>
        <v>0</v>
      </c>
      <c r="I107" s="27">
        <f>-'F&amp;B Admin'!I$86/'F&amp;B Summary'!I$50*I$28-'Main Kitchen'!I$86/'F&amp;B Summary'!I$53*I$31-STW!I$86/('F&amp;B Summary'!I$148-'MP Cafe'!I$117)*I$117</f>
        <v>0</v>
      </c>
      <c r="J107" s="27">
        <f>-'F&amp;B Admin'!J$86/'F&amp;B Summary'!J$50*J$28-'Main Kitchen'!J$86/'F&amp;B Summary'!J$53*J$31-STW!J$86/('F&amp;B Summary'!J$148-'MP Cafe'!J$117)*J$117</f>
        <v>0</v>
      </c>
      <c r="K107" s="27">
        <f>-'F&amp;B Admin'!K$86/'F&amp;B Summary'!K$50*K$28-'Main Kitchen'!K$86/'F&amp;B Summary'!K$53*K$31-STW!K$86/('F&amp;B Summary'!K$148-'MP Cafe'!K$117)*K$117</f>
        <v>0</v>
      </c>
      <c r="L107" s="27">
        <f>-'F&amp;B Admin'!L$86/'F&amp;B Summary'!L$50*L$28-'Main Kitchen'!L$86/'F&amp;B Summary'!L$53*L$31-STW!L$86/('F&amp;B Summary'!L$148-'MP Cafe'!L$117)*L$117</f>
        <v>0</v>
      </c>
      <c r="M107" s="27">
        <f>-'F&amp;B Admin'!M$86/'F&amp;B Summary'!M$50*M$28-'Main Kitchen'!M$86/'F&amp;B Summary'!M$53*M$31-STW!M$86/('F&amp;B Summary'!M$148-'MP Cafe'!M$117)*M$117</f>
        <v>0</v>
      </c>
      <c r="N107" s="27">
        <f>-'F&amp;B Admin'!N$86/'F&amp;B Summary'!N$50*N$28-'Main Kitchen'!N$86/'F&amp;B Summary'!N$53*N$31-STW!N$86/('F&amp;B Summary'!N$148-'MP Cafe'!N$117)*N$117</f>
        <v>0</v>
      </c>
      <c r="O107" s="27">
        <f>-'F&amp;B Admin'!O$86/'F&amp;B Summary'!O$50*O$28-'Main Kitchen'!O$86/'F&amp;B Summary'!O$53*O$31-STW!O$86/('F&amp;B Summary'!O$148-'MP Cafe'!O$117)*O$117</f>
        <v>0</v>
      </c>
      <c r="P107" s="27">
        <f>-'F&amp;B Admin'!P$86/'F&amp;B Summary'!P$50*P$28-'Main Kitchen'!P$86/'F&amp;B Summary'!P$53*P$31-STW!P$86/('F&amp;B Summary'!P$148-'MP Cafe'!P$117)*P$117</f>
        <v>0</v>
      </c>
      <c r="Q107" s="142">
        <f t="shared" si="14"/>
        <v>0</v>
      </c>
      <c r="R107" s="142" t="e">
        <f>Q107/$Q$117</f>
        <v>#DIV/0!</v>
      </c>
      <c r="S107" s="157"/>
      <c r="T107" s="40">
        <f t="shared" si="13"/>
        <v>0</v>
      </c>
    </row>
    <row r="108" spans="1:20" s="84" customFormat="1" ht="24.95" customHeight="1">
      <c r="A108" s="3"/>
      <c r="B108" s="3"/>
      <c r="C108" s="3"/>
      <c r="D108" s="19" t="s">
        <v>274</v>
      </c>
      <c r="E108" s="160">
        <f>SUM(E39:E107)</f>
        <v>0</v>
      </c>
      <c r="F108" s="160">
        <f t="shared" ref="F108:Q108" si="16">SUM(F39:F107)</f>
        <v>0</v>
      </c>
      <c r="G108" s="160">
        <f t="shared" si="16"/>
        <v>0</v>
      </c>
      <c r="H108" s="160">
        <f t="shared" si="16"/>
        <v>0</v>
      </c>
      <c r="I108" s="160">
        <f t="shared" si="16"/>
        <v>0</v>
      </c>
      <c r="J108" s="160">
        <f t="shared" si="16"/>
        <v>0</v>
      </c>
      <c r="K108" s="160">
        <f t="shared" si="16"/>
        <v>0</v>
      </c>
      <c r="L108" s="160">
        <f t="shared" si="16"/>
        <v>0</v>
      </c>
      <c r="M108" s="160">
        <f t="shared" si="16"/>
        <v>0</v>
      </c>
      <c r="N108" s="160">
        <f t="shared" si="16"/>
        <v>0</v>
      </c>
      <c r="O108" s="160">
        <f t="shared" si="16"/>
        <v>0</v>
      </c>
      <c r="P108" s="160">
        <f t="shared" si="16"/>
        <v>0</v>
      </c>
      <c r="Q108" s="160">
        <f t="shared" si="16"/>
        <v>0</v>
      </c>
      <c r="R108" s="142" t="e">
        <f>Q108/$Q$117</f>
        <v>#DIV/0!</v>
      </c>
      <c r="S108" s="157"/>
      <c r="T108" s="40">
        <f t="shared" si="13"/>
        <v>0</v>
      </c>
    </row>
    <row r="109" spans="1:20" s="84" customFormat="1" ht="24.95" customHeight="1">
      <c r="A109" s="3"/>
      <c r="B109" s="3"/>
      <c r="C109" s="3"/>
      <c r="D109" s="19" t="s">
        <v>275</v>
      </c>
      <c r="E109" s="160">
        <f t="shared" ref="E109:Q109" si="17">E28-E34-E36-E108</f>
        <v>0</v>
      </c>
      <c r="F109" s="160">
        <f t="shared" si="17"/>
        <v>0</v>
      </c>
      <c r="G109" s="160">
        <f t="shared" si="17"/>
        <v>0</v>
      </c>
      <c r="H109" s="160">
        <f t="shared" si="17"/>
        <v>0</v>
      </c>
      <c r="I109" s="160">
        <f t="shared" si="17"/>
        <v>0</v>
      </c>
      <c r="J109" s="160">
        <f t="shared" si="17"/>
        <v>0</v>
      </c>
      <c r="K109" s="160">
        <f t="shared" si="17"/>
        <v>0</v>
      </c>
      <c r="L109" s="160">
        <f t="shared" si="17"/>
        <v>0</v>
      </c>
      <c r="M109" s="160">
        <f t="shared" si="17"/>
        <v>0</v>
      </c>
      <c r="N109" s="160">
        <f t="shared" si="17"/>
        <v>0</v>
      </c>
      <c r="O109" s="160">
        <f t="shared" si="17"/>
        <v>0</v>
      </c>
      <c r="P109" s="160">
        <f t="shared" si="17"/>
        <v>0</v>
      </c>
      <c r="Q109" s="160">
        <f t="shared" si="17"/>
        <v>0</v>
      </c>
      <c r="R109" s="160"/>
      <c r="S109" s="157"/>
      <c r="T109" s="40">
        <f t="shared" ref="T109:T125" si="18">IF(Q109-S109=0,0,(Q109-S109)/S109)</f>
        <v>0</v>
      </c>
    </row>
    <row r="110" spans="1:20" s="84" customFormat="1" ht="24.95" customHeight="1">
      <c r="A110" s="3"/>
      <c r="B110" s="3"/>
      <c r="C110" s="3"/>
      <c r="D110" s="19" t="s">
        <v>276</v>
      </c>
      <c r="E110" s="137">
        <f t="shared" ref="E110:Q110" si="19">IF(E109=0,0,E109/E28)</f>
        <v>0</v>
      </c>
      <c r="F110" s="137">
        <f t="shared" si="19"/>
        <v>0</v>
      </c>
      <c r="G110" s="137">
        <f t="shared" si="19"/>
        <v>0</v>
      </c>
      <c r="H110" s="137">
        <f t="shared" si="19"/>
        <v>0</v>
      </c>
      <c r="I110" s="137">
        <f t="shared" si="19"/>
        <v>0</v>
      </c>
      <c r="J110" s="137">
        <f t="shared" si="19"/>
        <v>0</v>
      </c>
      <c r="K110" s="137">
        <f t="shared" si="19"/>
        <v>0</v>
      </c>
      <c r="L110" s="137">
        <f t="shared" si="19"/>
        <v>0</v>
      </c>
      <c r="M110" s="137">
        <f t="shared" si="19"/>
        <v>0</v>
      </c>
      <c r="N110" s="137">
        <f t="shared" si="19"/>
        <v>0</v>
      </c>
      <c r="O110" s="137">
        <f t="shared" si="19"/>
        <v>0</v>
      </c>
      <c r="P110" s="137">
        <f t="shared" si="19"/>
        <v>0</v>
      </c>
      <c r="Q110" s="137">
        <f t="shared" si="19"/>
        <v>0</v>
      </c>
      <c r="R110" s="137"/>
      <c r="S110" s="40"/>
      <c r="T110" s="40">
        <f t="shared" si="18"/>
        <v>0</v>
      </c>
    </row>
    <row r="111" spans="1:20" s="84" customFormat="1" ht="24.95" customHeight="1">
      <c r="A111" s="3"/>
      <c r="B111" s="3"/>
      <c r="C111" s="3"/>
      <c r="D111" s="19" t="s">
        <v>436</v>
      </c>
      <c r="E111" s="3"/>
      <c r="F111" s="3"/>
      <c r="G111" s="3"/>
      <c r="H111" s="3"/>
      <c r="I111" s="3"/>
      <c r="J111" s="3"/>
      <c r="K111" s="3"/>
      <c r="L111" s="3"/>
      <c r="S111" s="157"/>
      <c r="T111" s="40"/>
    </row>
    <row r="112" spans="1:20" s="84" customFormat="1" ht="24.95" customHeight="1">
      <c r="A112" s="50" t="s">
        <v>470</v>
      </c>
      <c r="B112" s="3" t="s">
        <v>384</v>
      </c>
      <c r="C112" s="3"/>
      <c r="D112" s="26" t="s">
        <v>453</v>
      </c>
      <c r="E112" s="81">
        <v>0</v>
      </c>
      <c r="F112" s="81">
        <v>0</v>
      </c>
      <c r="G112" s="81">
        <v>0</v>
      </c>
      <c r="H112" s="81">
        <v>0</v>
      </c>
      <c r="I112" s="81">
        <v>0</v>
      </c>
      <c r="J112" s="81">
        <v>0</v>
      </c>
      <c r="K112" s="81">
        <v>0</v>
      </c>
      <c r="L112" s="81">
        <v>0</v>
      </c>
      <c r="M112" s="81">
        <v>0</v>
      </c>
      <c r="N112" s="81">
        <v>0</v>
      </c>
      <c r="O112" s="81">
        <v>0</v>
      </c>
      <c r="P112" s="81">
        <v>0</v>
      </c>
      <c r="Q112" s="171">
        <f>SUM(E112:P112)</f>
        <v>0</v>
      </c>
      <c r="R112" s="171"/>
      <c r="S112" s="157"/>
      <c r="T112" s="40">
        <f t="shared" si="18"/>
        <v>0</v>
      </c>
    </row>
    <row r="113" spans="1:20" s="84" customFormat="1" ht="24.95" customHeight="1">
      <c r="A113" s="3" t="s">
        <v>471</v>
      </c>
      <c r="B113" s="3" t="s">
        <v>384</v>
      </c>
      <c r="C113" s="3"/>
      <c r="D113" s="26" t="s">
        <v>455</v>
      </c>
      <c r="E113" s="81"/>
      <c r="F113" s="81"/>
      <c r="G113" s="81"/>
      <c r="H113" s="81"/>
      <c r="I113" s="81"/>
      <c r="J113" s="81"/>
      <c r="K113" s="81"/>
      <c r="L113" s="81"/>
      <c r="M113" s="81"/>
      <c r="N113" s="81"/>
      <c r="O113" s="81"/>
      <c r="P113" s="81"/>
      <c r="Q113" s="171">
        <f t="shared" ref="Q113:Q116" si="20">SUM(E113:P113)</f>
        <v>0</v>
      </c>
      <c r="R113" s="171"/>
      <c r="S113" s="157"/>
      <c r="T113" s="40">
        <f t="shared" si="18"/>
        <v>0</v>
      </c>
    </row>
    <row r="114" spans="1:20" s="84" customFormat="1" ht="24.95" customHeight="1">
      <c r="A114" s="3" t="s">
        <v>472</v>
      </c>
      <c r="B114" s="3" t="s">
        <v>384</v>
      </c>
      <c r="C114" s="3"/>
      <c r="D114" s="26" t="s">
        <v>457</v>
      </c>
      <c r="E114" s="81"/>
      <c r="F114" s="81"/>
      <c r="G114" s="81"/>
      <c r="H114" s="81"/>
      <c r="I114" s="81"/>
      <c r="J114" s="81"/>
      <c r="K114" s="81"/>
      <c r="L114" s="81"/>
      <c r="M114" s="81"/>
      <c r="N114" s="81"/>
      <c r="O114" s="81"/>
      <c r="P114" s="81"/>
      <c r="Q114" s="171">
        <f t="shared" si="20"/>
        <v>0</v>
      </c>
      <c r="R114" s="171"/>
      <c r="S114" s="157"/>
      <c r="T114" s="40">
        <f t="shared" si="18"/>
        <v>0</v>
      </c>
    </row>
    <row r="115" spans="1:20" s="84" customFormat="1" ht="24.95" customHeight="1">
      <c r="A115" s="3" t="s">
        <v>473</v>
      </c>
      <c r="B115" s="3" t="s">
        <v>384</v>
      </c>
      <c r="C115" s="3"/>
      <c r="D115" s="26" t="s">
        <v>459</v>
      </c>
      <c r="E115" s="81">
        <v>0</v>
      </c>
      <c r="F115" s="81">
        <v>0</v>
      </c>
      <c r="G115" s="81">
        <v>0</v>
      </c>
      <c r="H115" s="81">
        <v>0</v>
      </c>
      <c r="I115" s="81">
        <v>0</v>
      </c>
      <c r="J115" s="81">
        <v>0</v>
      </c>
      <c r="K115" s="81">
        <v>0</v>
      </c>
      <c r="L115" s="81">
        <v>0</v>
      </c>
      <c r="M115" s="81">
        <v>0</v>
      </c>
      <c r="N115" s="81">
        <v>0</v>
      </c>
      <c r="O115" s="81">
        <v>0</v>
      </c>
      <c r="P115" s="81">
        <v>0</v>
      </c>
      <c r="Q115" s="171">
        <f t="shared" si="20"/>
        <v>0</v>
      </c>
      <c r="R115" s="171"/>
      <c r="S115" s="157"/>
      <c r="T115" s="40">
        <f t="shared" si="18"/>
        <v>0</v>
      </c>
    </row>
    <row r="116" spans="1:20" s="84" customFormat="1" ht="24.95" customHeight="1">
      <c r="A116" s="3" t="s">
        <v>474</v>
      </c>
      <c r="B116" s="3" t="s">
        <v>384</v>
      </c>
      <c r="C116" s="3"/>
      <c r="D116" s="26" t="s">
        <v>461</v>
      </c>
      <c r="E116" s="81">
        <v>0</v>
      </c>
      <c r="F116" s="81">
        <v>0</v>
      </c>
      <c r="G116" s="81">
        <v>0</v>
      </c>
      <c r="H116" s="81">
        <v>0</v>
      </c>
      <c r="I116" s="81">
        <v>0</v>
      </c>
      <c r="J116" s="81">
        <v>0</v>
      </c>
      <c r="K116" s="81">
        <v>0</v>
      </c>
      <c r="L116" s="81">
        <v>0</v>
      </c>
      <c r="M116" s="81">
        <v>0</v>
      </c>
      <c r="N116" s="81">
        <v>0</v>
      </c>
      <c r="O116" s="81">
        <v>0</v>
      </c>
      <c r="P116" s="81">
        <v>0</v>
      </c>
      <c r="Q116" s="171">
        <f t="shared" si="20"/>
        <v>0</v>
      </c>
      <c r="R116" s="171"/>
      <c r="S116" s="157"/>
      <c r="T116" s="40">
        <f t="shared" si="18"/>
        <v>0</v>
      </c>
    </row>
    <row r="117" spans="1:20" s="84" customFormat="1" ht="24.95" customHeight="1">
      <c r="A117" s="3"/>
      <c r="B117" s="3"/>
      <c r="C117" s="3"/>
      <c r="D117" s="19" t="s">
        <v>439</v>
      </c>
      <c r="E117" s="169">
        <f>SUM(E112:E116)</f>
        <v>0</v>
      </c>
      <c r="F117" s="169">
        <f t="shared" ref="F117:P117" si="21">SUM(F112:F116)</f>
        <v>0</v>
      </c>
      <c r="G117" s="169">
        <f t="shared" si="21"/>
        <v>0</v>
      </c>
      <c r="H117" s="169">
        <f t="shared" si="21"/>
        <v>0</v>
      </c>
      <c r="I117" s="169">
        <f t="shared" si="21"/>
        <v>0</v>
      </c>
      <c r="J117" s="169">
        <f t="shared" si="21"/>
        <v>0</v>
      </c>
      <c r="K117" s="169">
        <f t="shared" si="21"/>
        <v>0</v>
      </c>
      <c r="L117" s="169">
        <f t="shared" si="21"/>
        <v>0</v>
      </c>
      <c r="M117" s="169">
        <f t="shared" si="21"/>
        <v>0</v>
      </c>
      <c r="N117" s="169">
        <f t="shared" si="21"/>
        <v>0</v>
      </c>
      <c r="O117" s="169">
        <f t="shared" si="21"/>
        <v>0</v>
      </c>
      <c r="P117" s="169">
        <f t="shared" si="21"/>
        <v>0</v>
      </c>
      <c r="Q117" s="169">
        <f t="shared" ref="Q117" si="22">SUM(Q112:Q116)</f>
        <v>0</v>
      </c>
      <c r="R117" s="169"/>
      <c r="S117" s="157"/>
      <c r="T117" s="40">
        <f t="shared" si="18"/>
        <v>0</v>
      </c>
    </row>
    <row r="118" spans="1:20" s="84" customFormat="1" ht="24.95" customHeight="1">
      <c r="A118" s="3"/>
      <c r="B118" s="3"/>
      <c r="C118" s="3"/>
      <c r="D118" s="3"/>
      <c r="E118" s="3"/>
      <c r="F118" s="3"/>
      <c r="G118" s="3"/>
      <c r="H118" s="3"/>
      <c r="I118" s="3"/>
      <c r="J118" s="3"/>
      <c r="K118" s="3"/>
      <c r="L118" s="3"/>
      <c r="S118" s="157"/>
      <c r="T118" s="40">
        <f t="shared" si="18"/>
        <v>0</v>
      </c>
    </row>
    <row r="119" spans="1:20" s="84" customFormat="1" ht="24.95" customHeight="1">
      <c r="A119" s="3"/>
      <c r="B119" s="3"/>
      <c r="C119" s="3"/>
      <c r="D119" s="19" t="s">
        <v>440</v>
      </c>
      <c r="E119" s="3"/>
      <c r="F119" s="3"/>
      <c r="G119" s="3"/>
      <c r="H119" s="3"/>
      <c r="I119" s="3"/>
      <c r="J119" s="3"/>
      <c r="K119" s="3"/>
      <c r="L119" s="3"/>
      <c r="S119" s="157"/>
      <c r="T119" s="40">
        <f t="shared" si="18"/>
        <v>0</v>
      </c>
    </row>
    <row r="120" spans="1:20" s="84" customFormat="1" ht="24.95" customHeight="1">
      <c r="A120" s="3"/>
      <c r="B120" s="3"/>
      <c r="C120" s="3"/>
      <c r="D120" s="26" t="s">
        <v>453</v>
      </c>
      <c r="E120" s="172">
        <f t="shared" ref="E120:Q120" si="23">IF(E112=0,0,ROUND(E12/E112,2))</f>
        <v>0</v>
      </c>
      <c r="F120" s="172">
        <f t="shared" si="23"/>
        <v>0</v>
      </c>
      <c r="G120" s="172">
        <f t="shared" si="23"/>
        <v>0</v>
      </c>
      <c r="H120" s="172">
        <f t="shared" ref="H120:L121" si="24">IF(H112=0,0,ROUND(H12/H112,2))</f>
        <v>0</v>
      </c>
      <c r="I120" s="172">
        <f t="shared" si="24"/>
        <v>0</v>
      </c>
      <c r="J120" s="172">
        <f t="shared" si="24"/>
        <v>0</v>
      </c>
      <c r="K120" s="172">
        <f t="shared" si="24"/>
        <v>0</v>
      </c>
      <c r="L120" s="172">
        <f t="shared" si="24"/>
        <v>0</v>
      </c>
      <c r="M120" s="172">
        <f t="shared" si="23"/>
        <v>0</v>
      </c>
      <c r="N120" s="172">
        <f t="shared" si="23"/>
        <v>0</v>
      </c>
      <c r="O120" s="172">
        <f t="shared" si="23"/>
        <v>0</v>
      </c>
      <c r="P120" s="172">
        <f t="shared" si="23"/>
        <v>0</v>
      </c>
      <c r="Q120" s="172">
        <f t="shared" si="23"/>
        <v>0</v>
      </c>
      <c r="R120" s="172"/>
      <c r="S120" s="157"/>
      <c r="T120" s="40">
        <f t="shared" si="18"/>
        <v>0</v>
      </c>
    </row>
    <row r="121" spans="1:20" s="84" customFormat="1" ht="24.95" customHeight="1">
      <c r="A121" s="3"/>
      <c r="B121" s="3"/>
      <c r="C121" s="3"/>
      <c r="D121" s="26" t="s">
        <v>455</v>
      </c>
      <c r="E121" s="61">
        <f t="shared" ref="E121:Q121" si="25">IF(E113=0,0,ROUND(E13/E113,2))</f>
        <v>0</v>
      </c>
      <c r="F121" s="61">
        <f t="shared" si="25"/>
        <v>0</v>
      </c>
      <c r="G121" s="61">
        <f t="shared" si="25"/>
        <v>0</v>
      </c>
      <c r="H121" s="61">
        <f t="shared" si="24"/>
        <v>0</v>
      </c>
      <c r="I121" s="61">
        <f t="shared" si="24"/>
        <v>0</v>
      </c>
      <c r="J121" s="61">
        <f t="shared" si="24"/>
        <v>0</v>
      </c>
      <c r="K121" s="61">
        <f t="shared" si="24"/>
        <v>0</v>
      </c>
      <c r="L121" s="61">
        <f t="shared" si="24"/>
        <v>0</v>
      </c>
      <c r="M121" s="61">
        <f t="shared" si="25"/>
        <v>0</v>
      </c>
      <c r="N121" s="61">
        <f t="shared" si="25"/>
        <v>0</v>
      </c>
      <c r="O121" s="61">
        <f t="shared" si="25"/>
        <v>0</v>
      </c>
      <c r="P121" s="61">
        <f t="shared" si="25"/>
        <v>0</v>
      </c>
      <c r="Q121" s="61">
        <f t="shared" si="25"/>
        <v>0</v>
      </c>
      <c r="R121" s="172"/>
      <c r="S121" s="157"/>
      <c r="T121" s="40">
        <f t="shared" si="18"/>
        <v>0</v>
      </c>
    </row>
    <row r="122" spans="1:20" s="84" customFormat="1" ht="24.95" customHeight="1">
      <c r="A122" s="3"/>
      <c r="B122" s="3"/>
      <c r="C122" s="3"/>
      <c r="D122" s="26" t="s">
        <v>459</v>
      </c>
      <c r="E122" s="61">
        <f t="shared" ref="E122:Q122" si="26">IF(E115=0,0,ROUND(E15/E115,2))</f>
        <v>0</v>
      </c>
      <c r="F122" s="61">
        <f t="shared" si="26"/>
        <v>0</v>
      </c>
      <c r="G122" s="61">
        <f t="shared" si="26"/>
        <v>0</v>
      </c>
      <c r="H122" s="61">
        <f t="shared" si="26"/>
        <v>0</v>
      </c>
      <c r="I122" s="61">
        <f t="shared" si="26"/>
        <v>0</v>
      </c>
      <c r="J122" s="61">
        <f t="shared" si="26"/>
        <v>0</v>
      </c>
      <c r="K122" s="61">
        <f t="shared" si="26"/>
        <v>0</v>
      </c>
      <c r="L122" s="61">
        <f t="shared" si="26"/>
        <v>0</v>
      </c>
      <c r="M122" s="61">
        <f t="shared" si="26"/>
        <v>0</v>
      </c>
      <c r="N122" s="61">
        <f t="shared" si="26"/>
        <v>0</v>
      </c>
      <c r="O122" s="61">
        <f t="shared" si="26"/>
        <v>0</v>
      </c>
      <c r="P122" s="61">
        <f t="shared" si="26"/>
        <v>0</v>
      </c>
      <c r="Q122" s="61">
        <f t="shared" si="26"/>
        <v>0</v>
      </c>
      <c r="R122" s="172"/>
      <c r="S122" s="157"/>
      <c r="T122" s="40">
        <f t="shared" si="18"/>
        <v>0</v>
      </c>
    </row>
    <row r="123" spans="1:20" s="84" customFormat="1" ht="24.95" customHeight="1">
      <c r="A123" s="3"/>
      <c r="B123" s="3"/>
      <c r="C123" s="3"/>
      <c r="D123" s="26" t="s">
        <v>457</v>
      </c>
      <c r="E123" s="61">
        <f t="shared" ref="E123:Q123" si="27">IF(E114=0,0,ROUND(E14/E114,2))</f>
        <v>0</v>
      </c>
      <c r="F123" s="61">
        <f t="shared" si="27"/>
        <v>0</v>
      </c>
      <c r="G123" s="61">
        <f t="shared" si="27"/>
        <v>0</v>
      </c>
      <c r="H123" s="61">
        <f t="shared" si="27"/>
        <v>0</v>
      </c>
      <c r="I123" s="61">
        <f t="shared" si="27"/>
        <v>0</v>
      </c>
      <c r="J123" s="61">
        <f t="shared" si="27"/>
        <v>0</v>
      </c>
      <c r="K123" s="61">
        <f t="shared" si="27"/>
        <v>0</v>
      </c>
      <c r="L123" s="61">
        <f t="shared" si="27"/>
        <v>0</v>
      </c>
      <c r="M123" s="61">
        <f t="shared" si="27"/>
        <v>0</v>
      </c>
      <c r="N123" s="61">
        <f t="shared" si="27"/>
        <v>0</v>
      </c>
      <c r="O123" s="61">
        <f t="shared" si="27"/>
        <v>0</v>
      </c>
      <c r="P123" s="61">
        <f t="shared" si="27"/>
        <v>0</v>
      </c>
      <c r="Q123" s="61">
        <f t="shared" si="27"/>
        <v>0</v>
      </c>
      <c r="R123" s="172"/>
      <c r="S123" s="157"/>
      <c r="T123" s="40">
        <f t="shared" si="18"/>
        <v>0</v>
      </c>
    </row>
    <row r="124" spans="1:20" s="84" customFormat="1" ht="24.95" customHeight="1">
      <c r="A124" s="3"/>
      <c r="B124" s="3"/>
      <c r="C124" s="3"/>
      <c r="D124" s="26" t="s">
        <v>461</v>
      </c>
      <c r="E124" s="61">
        <f t="shared" ref="E124:Q124" si="28">IF(E116=0,0,ROUND(E16/E116,2))</f>
        <v>0</v>
      </c>
      <c r="F124" s="61">
        <f t="shared" si="28"/>
        <v>0</v>
      </c>
      <c r="G124" s="61">
        <f t="shared" si="28"/>
        <v>0</v>
      </c>
      <c r="H124" s="61">
        <f t="shared" si="28"/>
        <v>0</v>
      </c>
      <c r="I124" s="61">
        <f t="shared" si="28"/>
        <v>0</v>
      </c>
      <c r="J124" s="61">
        <f t="shared" si="28"/>
        <v>0</v>
      </c>
      <c r="K124" s="61">
        <f t="shared" si="28"/>
        <v>0</v>
      </c>
      <c r="L124" s="61">
        <f t="shared" ref="L124:Q125" si="29">IF(L116=0,0,ROUND(L16/L116,2))</f>
        <v>0</v>
      </c>
      <c r="M124" s="61">
        <f t="shared" si="28"/>
        <v>0</v>
      </c>
      <c r="N124" s="61">
        <f t="shared" si="28"/>
        <v>0</v>
      </c>
      <c r="O124" s="61">
        <f t="shared" si="28"/>
        <v>0</v>
      </c>
      <c r="P124" s="61">
        <f t="shared" si="28"/>
        <v>0</v>
      </c>
      <c r="Q124" s="61">
        <f t="shared" si="28"/>
        <v>0</v>
      </c>
      <c r="R124" s="172"/>
      <c r="S124" s="157"/>
      <c r="T124" s="40">
        <f t="shared" si="18"/>
        <v>0</v>
      </c>
    </row>
    <row r="125" spans="1:20" s="84" customFormat="1" ht="24.95" customHeight="1">
      <c r="A125" s="3"/>
      <c r="B125" s="3"/>
      <c r="C125" s="3"/>
      <c r="D125" s="19" t="s">
        <v>442</v>
      </c>
      <c r="E125" s="170">
        <f>IF(E117=0,0,ROUND(E17/E117,2))</f>
        <v>0</v>
      </c>
      <c r="F125" s="170">
        <f t="shared" ref="F125:K125" si="30">IF(F117=0,0,ROUND(F17/F117,2))</f>
        <v>0</v>
      </c>
      <c r="G125" s="170">
        <f t="shared" si="30"/>
        <v>0</v>
      </c>
      <c r="H125" s="170">
        <f t="shared" si="30"/>
        <v>0</v>
      </c>
      <c r="I125" s="170">
        <f t="shared" si="30"/>
        <v>0</v>
      </c>
      <c r="J125" s="170">
        <f t="shared" si="30"/>
        <v>0</v>
      </c>
      <c r="K125" s="170">
        <f t="shared" si="30"/>
        <v>0</v>
      </c>
      <c r="L125" s="170">
        <f t="shared" si="29"/>
        <v>0</v>
      </c>
      <c r="M125" s="170">
        <f t="shared" si="29"/>
        <v>0</v>
      </c>
      <c r="N125" s="170">
        <f t="shared" si="29"/>
        <v>0</v>
      </c>
      <c r="O125" s="170">
        <f t="shared" si="29"/>
        <v>0</v>
      </c>
      <c r="P125" s="170">
        <f t="shared" si="29"/>
        <v>0</v>
      </c>
      <c r="Q125" s="170">
        <f t="shared" si="29"/>
        <v>0</v>
      </c>
      <c r="R125" s="173"/>
      <c r="S125" s="157"/>
      <c r="T125" s="40">
        <f t="shared" si="18"/>
        <v>0</v>
      </c>
    </row>
    <row r="126" spans="1:20" s="84" customFormat="1" ht="24.95" customHeight="1">
      <c r="A126" s="3"/>
      <c r="B126" s="3"/>
      <c r="C126" s="3"/>
      <c r="D126" s="3"/>
      <c r="E126" s="3"/>
      <c r="F126" s="3"/>
      <c r="G126" s="3"/>
      <c r="H126" s="3"/>
      <c r="I126" s="3"/>
      <c r="J126" s="3"/>
      <c r="K126" s="3"/>
      <c r="L126" s="3"/>
      <c r="S126" s="157"/>
      <c r="T126" s="40"/>
    </row>
    <row r="127" spans="1:20" s="84" customFormat="1" ht="24.95" customHeight="1">
      <c r="A127" s="3"/>
      <c r="B127" s="3"/>
      <c r="C127" s="3"/>
      <c r="D127" s="19" t="s">
        <v>443</v>
      </c>
      <c r="E127" s="160">
        <f>IF(E117=0,0,ROUND((E34+E36+E108)/E117,2))</f>
        <v>0</v>
      </c>
      <c r="F127" s="160">
        <f t="shared" ref="F127:Q127" si="31">IF(F117=0,0,ROUND((F34+F36+F108)/F117,2))</f>
        <v>0</v>
      </c>
      <c r="G127" s="160">
        <f t="shared" si="31"/>
        <v>0</v>
      </c>
      <c r="H127" s="160">
        <f t="shared" si="31"/>
        <v>0</v>
      </c>
      <c r="I127" s="160">
        <f t="shared" si="31"/>
        <v>0</v>
      </c>
      <c r="J127" s="160">
        <f t="shared" si="31"/>
        <v>0</v>
      </c>
      <c r="K127" s="160">
        <f t="shared" si="31"/>
        <v>0</v>
      </c>
      <c r="L127" s="160">
        <f t="shared" si="31"/>
        <v>0</v>
      </c>
      <c r="M127" s="160">
        <f t="shared" si="31"/>
        <v>0</v>
      </c>
      <c r="N127" s="160">
        <f t="shared" si="31"/>
        <v>0</v>
      </c>
      <c r="O127" s="160">
        <f t="shared" si="31"/>
        <v>0</v>
      </c>
      <c r="P127" s="160">
        <f t="shared" si="31"/>
        <v>0</v>
      </c>
      <c r="Q127" s="160">
        <f t="shared" si="31"/>
        <v>0</v>
      </c>
      <c r="R127" s="160"/>
      <c r="S127" s="157"/>
      <c r="T127" s="40">
        <f>-IF(Q127-S127=0,0,(Q127-S127)/S127)</f>
        <v>0</v>
      </c>
    </row>
    <row r="128" spans="1:20" s="84" customFormat="1" ht="24.95" customHeight="1">
      <c r="A128" s="3"/>
      <c r="B128" s="3"/>
      <c r="C128" s="3"/>
      <c r="D128" s="3"/>
      <c r="E128" s="3"/>
      <c r="F128" s="3"/>
      <c r="G128" s="3"/>
      <c r="H128" s="3"/>
      <c r="I128" s="3"/>
      <c r="J128" s="3"/>
      <c r="K128" s="3"/>
      <c r="L128" s="3"/>
      <c r="S128" s="157"/>
      <c r="T128" s="40"/>
    </row>
    <row r="129" spans="1:20" s="84" customFormat="1" ht="24.95" customHeight="1">
      <c r="A129" s="3"/>
      <c r="B129" s="3"/>
      <c r="C129" s="3"/>
      <c r="D129" s="19" t="s">
        <v>293</v>
      </c>
      <c r="E129" s="3"/>
      <c r="F129" s="3"/>
      <c r="G129" s="3"/>
      <c r="H129" s="3"/>
      <c r="I129" s="3"/>
      <c r="J129" s="3"/>
      <c r="K129" s="3"/>
      <c r="L129" s="3"/>
      <c r="S129" s="157"/>
      <c r="T129" s="40"/>
    </row>
    <row r="130" spans="1:20" s="84" customFormat="1" ht="24.95" customHeight="1">
      <c r="A130" s="3"/>
      <c r="B130" s="3"/>
      <c r="C130" s="3"/>
      <c r="D130" s="19" t="s">
        <v>444</v>
      </c>
      <c r="E130" s="3"/>
      <c r="F130" s="3"/>
      <c r="G130" s="3"/>
      <c r="H130" s="3"/>
      <c r="I130" s="3"/>
      <c r="J130" s="3"/>
      <c r="K130" s="3"/>
      <c r="L130" s="3"/>
      <c r="S130" s="157"/>
      <c r="T130" s="40"/>
    </row>
    <row r="131" spans="1:20" s="84" customFormat="1" ht="24.95" customHeight="1">
      <c r="A131" s="3" t="s">
        <v>295</v>
      </c>
      <c r="B131" s="3" t="s">
        <v>384</v>
      </c>
      <c r="C131" s="3"/>
      <c r="D131" s="3" t="s">
        <v>297</v>
      </c>
      <c r="E131" s="142">
        <f>Summary!E$251+Summary!E$586</f>
        <v>0</v>
      </c>
      <c r="F131" s="142">
        <f>Summary!F$251+Summary!F$586</f>
        <v>0</v>
      </c>
      <c r="G131" s="142">
        <f>Summary!G$251+Summary!G$586</f>
        <v>0</v>
      </c>
      <c r="H131" s="142">
        <f>Summary!H$251+Summary!H$586</f>
        <v>0</v>
      </c>
      <c r="I131" s="142">
        <f>Summary!I$251+Summary!I$586</f>
        <v>0</v>
      </c>
      <c r="J131" s="142">
        <f>Summary!J$251+Summary!J$586</f>
        <v>0</v>
      </c>
      <c r="K131" s="142">
        <f>Summary!K$251+Summary!K$586</f>
        <v>0</v>
      </c>
      <c r="L131" s="142">
        <f>Summary!L$251+Summary!L$586</f>
        <v>0</v>
      </c>
      <c r="M131" s="142">
        <f>Summary!M$251+Summary!M$586</f>
        <v>0</v>
      </c>
      <c r="N131" s="142">
        <f>Summary!N$251+Summary!N$586</f>
        <v>0</v>
      </c>
      <c r="O131" s="142">
        <f>Summary!O$251+Summary!O$586</f>
        <v>0</v>
      </c>
      <c r="P131" s="142">
        <f>Summary!P$251+Summary!P$586</f>
        <v>0</v>
      </c>
      <c r="Q131" s="142">
        <f>SUM(E131:P131)</f>
        <v>0</v>
      </c>
      <c r="R131" s="142" t="e">
        <f>Q131/$Q$117</f>
        <v>#DIV/0!</v>
      </c>
      <c r="S131" s="157"/>
      <c r="T131" s="40">
        <f>-IF(Q131-S131=0,0,(Q131-S131)/S131)</f>
        <v>0</v>
      </c>
    </row>
    <row r="132" spans="1:20" s="84" customFormat="1" ht="24.95" customHeight="1">
      <c r="A132" s="50" t="s">
        <v>298</v>
      </c>
      <c r="B132" s="3" t="s">
        <v>384</v>
      </c>
      <c r="C132" s="3"/>
      <c r="D132" s="3" t="s">
        <v>447</v>
      </c>
      <c r="E132" s="61">
        <f>Summary!E$252</f>
        <v>0</v>
      </c>
      <c r="F132" s="61">
        <f>Summary!F$252</f>
        <v>0</v>
      </c>
      <c r="G132" s="61">
        <f>Summary!G$252</f>
        <v>0</v>
      </c>
      <c r="H132" s="61">
        <f>Summary!H$252</f>
        <v>0</v>
      </c>
      <c r="I132" s="61">
        <f>Summary!I$252</f>
        <v>0</v>
      </c>
      <c r="J132" s="61">
        <f>Summary!J$252</f>
        <v>0</v>
      </c>
      <c r="K132" s="61">
        <f>Summary!K$252</f>
        <v>0</v>
      </c>
      <c r="L132" s="61">
        <f>Summary!L$252</f>
        <v>0</v>
      </c>
      <c r="M132" s="61">
        <f>Summary!M$252</f>
        <v>0</v>
      </c>
      <c r="N132" s="61">
        <f>Summary!N$252</f>
        <v>0</v>
      </c>
      <c r="O132" s="61">
        <f>Summary!O$252</f>
        <v>0</v>
      </c>
      <c r="P132" s="61">
        <f>Summary!P$252</f>
        <v>0</v>
      </c>
      <c r="Q132" s="142">
        <f t="shared" ref="Q132:Q133" si="32">SUM(E132:P132)</f>
        <v>0</v>
      </c>
      <c r="R132" s="142" t="e">
        <f>Q132/$Q$117</f>
        <v>#DIV/0!</v>
      </c>
      <c r="S132" s="157"/>
      <c r="T132" s="40">
        <f t="shared" ref="T132:T163" si="33">-IF(Q132-S132=0,0,(Q132-S132)/S132)</f>
        <v>0</v>
      </c>
    </row>
    <row r="133" spans="1:20" s="84" customFormat="1" ht="24.95" customHeight="1">
      <c r="A133" s="50" t="s">
        <v>298</v>
      </c>
      <c r="B133" s="3" t="s">
        <v>384</v>
      </c>
      <c r="C133" s="3"/>
      <c r="D133" s="3" t="s">
        <v>449</v>
      </c>
      <c r="E133" s="61">
        <f>Summary!E$587</f>
        <v>0</v>
      </c>
      <c r="F133" s="61">
        <f>Summary!F$587</f>
        <v>0</v>
      </c>
      <c r="G133" s="61">
        <f>Summary!G$587</f>
        <v>0</v>
      </c>
      <c r="H133" s="61">
        <f>Summary!H$587</f>
        <v>0</v>
      </c>
      <c r="I133" s="61">
        <f>Summary!I$587</f>
        <v>0</v>
      </c>
      <c r="J133" s="61">
        <f>Summary!J$587</f>
        <v>0</v>
      </c>
      <c r="K133" s="61">
        <f>Summary!K$587</f>
        <v>0</v>
      </c>
      <c r="L133" s="61">
        <f>Summary!L$587</f>
        <v>0</v>
      </c>
      <c r="M133" s="61">
        <f>Summary!M$587</f>
        <v>0</v>
      </c>
      <c r="N133" s="61">
        <f>Summary!N$587</f>
        <v>0</v>
      </c>
      <c r="O133" s="61">
        <f>Summary!O$587</f>
        <v>0</v>
      </c>
      <c r="P133" s="61">
        <f>Summary!P$587</f>
        <v>0</v>
      </c>
      <c r="Q133" s="142">
        <f t="shared" si="32"/>
        <v>0</v>
      </c>
      <c r="R133" s="142" t="e">
        <f>Q133/$Q$117</f>
        <v>#DIV/0!</v>
      </c>
      <c r="S133" s="157"/>
      <c r="T133" s="40">
        <f t="shared" si="33"/>
        <v>0</v>
      </c>
    </row>
    <row r="134" spans="1:20" s="84" customFormat="1" ht="24.95" customHeight="1">
      <c r="A134" s="3"/>
      <c r="B134" s="3"/>
      <c r="C134" s="3"/>
      <c r="D134" s="19" t="s">
        <v>450</v>
      </c>
      <c r="E134" s="160">
        <f>SUM(E131:E133)</f>
        <v>0</v>
      </c>
      <c r="F134" s="160">
        <f t="shared" ref="F134:P134" si="34">SUM(F131:F133)</f>
        <v>0</v>
      </c>
      <c r="G134" s="160">
        <f t="shared" si="34"/>
        <v>0</v>
      </c>
      <c r="H134" s="160">
        <f t="shared" si="34"/>
        <v>0</v>
      </c>
      <c r="I134" s="160">
        <f t="shared" si="34"/>
        <v>0</v>
      </c>
      <c r="J134" s="160">
        <f t="shared" si="34"/>
        <v>0</v>
      </c>
      <c r="K134" s="160">
        <f t="shared" si="34"/>
        <v>0</v>
      </c>
      <c r="L134" s="160">
        <f t="shared" si="34"/>
        <v>0</v>
      </c>
      <c r="M134" s="160">
        <f t="shared" si="34"/>
        <v>0</v>
      </c>
      <c r="N134" s="160">
        <f t="shared" si="34"/>
        <v>0</v>
      </c>
      <c r="O134" s="160">
        <f t="shared" si="34"/>
        <v>0</v>
      </c>
      <c r="P134" s="160">
        <f t="shared" si="34"/>
        <v>0</v>
      </c>
      <c r="Q134" s="160">
        <f t="shared" ref="Q134" si="35">SUM(Q131:Q133)</f>
        <v>0</v>
      </c>
      <c r="R134" s="142" t="e">
        <f>Q134/$Q$117</f>
        <v>#DIV/0!</v>
      </c>
      <c r="S134" s="157"/>
      <c r="T134" s="40">
        <f t="shared" si="33"/>
        <v>0</v>
      </c>
    </row>
    <row r="135" spans="1:20" s="84" customFormat="1" ht="24.95" customHeight="1">
      <c r="A135" s="3"/>
      <c r="B135" s="3"/>
      <c r="C135" s="3"/>
      <c r="D135" s="3"/>
      <c r="E135" s="3"/>
      <c r="F135" s="3"/>
      <c r="G135" s="3"/>
      <c r="H135" s="3"/>
      <c r="I135" s="3"/>
      <c r="J135" s="3"/>
      <c r="K135" s="3"/>
      <c r="L135" s="3"/>
      <c r="M135" s="161"/>
      <c r="S135" s="157"/>
      <c r="T135" s="40"/>
    </row>
    <row r="136" spans="1:20" s="84" customFormat="1" ht="24.95" customHeight="1">
      <c r="A136" s="3" t="s">
        <v>306</v>
      </c>
      <c r="B136" s="3" t="s">
        <v>384</v>
      </c>
      <c r="C136" s="3"/>
      <c r="D136" s="26" t="s">
        <v>307</v>
      </c>
      <c r="E136" s="61">
        <f>Summary!E$253+Summary!E$588</f>
        <v>0</v>
      </c>
      <c r="F136" s="61">
        <f>Summary!F$253+Summary!F$588</f>
        <v>0</v>
      </c>
      <c r="G136" s="61">
        <f>Summary!G$253+Summary!G$588</f>
        <v>0</v>
      </c>
      <c r="H136" s="61">
        <f>Summary!H$253+Summary!H$588</f>
        <v>0</v>
      </c>
      <c r="I136" s="61">
        <f>Summary!I$253+Summary!I$588</f>
        <v>0</v>
      </c>
      <c r="J136" s="61">
        <f>Summary!J$253+Summary!J$588</f>
        <v>0</v>
      </c>
      <c r="K136" s="61">
        <f>Summary!K$253+Summary!K$588</f>
        <v>0</v>
      </c>
      <c r="L136" s="61">
        <f>Summary!L$253+Summary!L$588</f>
        <v>0</v>
      </c>
      <c r="M136" s="61">
        <f>Summary!M$253+Summary!M$588</f>
        <v>0</v>
      </c>
      <c r="N136" s="61">
        <f>Summary!N$253+Summary!N$588</f>
        <v>0</v>
      </c>
      <c r="O136" s="61">
        <f>Summary!O$253+Summary!O$588</f>
        <v>0</v>
      </c>
      <c r="P136" s="61">
        <f>Summary!P$253+Summary!P$588</f>
        <v>0</v>
      </c>
      <c r="Q136" s="142">
        <f>SUM(E136:P136)</f>
        <v>0</v>
      </c>
      <c r="R136" s="142" t="e">
        <f t="shared" ref="R136:R141" si="36">Q136/$Q$117</f>
        <v>#DIV/0!</v>
      </c>
      <c r="S136" s="157"/>
      <c r="T136" s="40">
        <f t="shared" si="33"/>
        <v>0</v>
      </c>
    </row>
    <row r="137" spans="1:20" s="84" customFormat="1" ht="24.95" customHeight="1">
      <c r="A137" s="3" t="s">
        <v>308</v>
      </c>
      <c r="B137" s="3" t="s">
        <v>384</v>
      </c>
      <c r="C137" s="3"/>
      <c r="D137" s="26" t="s">
        <v>309</v>
      </c>
      <c r="E137" s="61">
        <f>Summary!E$254+Summary!E$589</f>
        <v>0</v>
      </c>
      <c r="F137" s="61">
        <f>Summary!F$254+Summary!F$589</f>
        <v>0</v>
      </c>
      <c r="G137" s="61">
        <f>Summary!G$254+Summary!G$589</f>
        <v>0</v>
      </c>
      <c r="H137" s="61">
        <f>Summary!H$254+Summary!H$589</f>
        <v>0</v>
      </c>
      <c r="I137" s="61">
        <f>Summary!I$254+Summary!I$589</f>
        <v>0</v>
      </c>
      <c r="J137" s="61">
        <f>Summary!J$254+Summary!J$589</f>
        <v>0</v>
      </c>
      <c r="K137" s="61">
        <f>Summary!K$254+Summary!K$589</f>
        <v>0</v>
      </c>
      <c r="L137" s="61">
        <f>Summary!L$254+Summary!L$589</f>
        <v>0</v>
      </c>
      <c r="M137" s="61">
        <f>Summary!M$254+Summary!M$589</f>
        <v>0</v>
      </c>
      <c r="N137" s="61">
        <f>Summary!N$254+Summary!N$589</f>
        <v>0</v>
      </c>
      <c r="O137" s="61">
        <f>Summary!O$254+Summary!O$589</f>
        <v>0</v>
      </c>
      <c r="P137" s="61">
        <f>Summary!P$254+Summary!P$589</f>
        <v>0</v>
      </c>
      <c r="Q137" s="142">
        <f t="shared" ref="Q137:Q140" si="37">SUM(E137:P137)</f>
        <v>0</v>
      </c>
      <c r="R137" s="142" t="e">
        <f t="shared" si="36"/>
        <v>#DIV/0!</v>
      </c>
      <c r="S137" s="157"/>
      <c r="T137" s="40">
        <f t="shared" si="33"/>
        <v>0</v>
      </c>
    </row>
    <row r="138" spans="1:20" s="84" customFormat="1" ht="24.95" customHeight="1">
      <c r="A138" s="3" t="s">
        <v>310</v>
      </c>
      <c r="B138" s="3" t="s">
        <v>384</v>
      </c>
      <c r="C138" s="3"/>
      <c r="D138" s="26" t="s">
        <v>311</v>
      </c>
      <c r="E138" s="61">
        <f>Summary!E$255+Summary!E$590</f>
        <v>0</v>
      </c>
      <c r="F138" s="61">
        <f>Summary!F$255+Summary!F$590</f>
        <v>0</v>
      </c>
      <c r="G138" s="61">
        <f>Summary!G$255+Summary!G$590</f>
        <v>0</v>
      </c>
      <c r="H138" s="61">
        <f>Summary!H$255+Summary!H$590</f>
        <v>0</v>
      </c>
      <c r="I138" s="61">
        <f>Summary!I$255+Summary!I$590</f>
        <v>0</v>
      </c>
      <c r="J138" s="61">
        <f>Summary!J$255+Summary!J$590</f>
        <v>0</v>
      </c>
      <c r="K138" s="61">
        <f>Summary!K$255+Summary!K$590</f>
        <v>0</v>
      </c>
      <c r="L138" s="61">
        <f>Summary!L$255+Summary!L$590</f>
        <v>0</v>
      </c>
      <c r="M138" s="61">
        <f>Summary!M$255+Summary!M$590</f>
        <v>0</v>
      </c>
      <c r="N138" s="61">
        <f>Summary!N$255+Summary!N$590</f>
        <v>0</v>
      </c>
      <c r="O138" s="61">
        <f>Summary!O$255+Summary!O$590</f>
        <v>0</v>
      </c>
      <c r="P138" s="61">
        <f>Summary!P$255+Summary!P$590</f>
        <v>0</v>
      </c>
      <c r="Q138" s="142">
        <f t="shared" si="37"/>
        <v>0</v>
      </c>
      <c r="R138" s="142" t="e">
        <f t="shared" si="36"/>
        <v>#DIV/0!</v>
      </c>
      <c r="S138" s="157"/>
      <c r="T138" s="40">
        <f t="shared" si="33"/>
        <v>0</v>
      </c>
    </row>
    <row r="139" spans="1:20" s="84" customFormat="1" ht="24.95" customHeight="1">
      <c r="A139" s="3" t="s">
        <v>312</v>
      </c>
      <c r="B139" s="3" t="s">
        <v>384</v>
      </c>
      <c r="C139" s="3"/>
      <c r="D139" s="26" t="s">
        <v>313</v>
      </c>
      <c r="E139" s="61">
        <f>Summary!E$256+Summary!E$591</f>
        <v>0</v>
      </c>
      <c r="F139" s="61">
        <f>Summary!F$256+Summary!F$591</f>
        <v>0</v>
      </c>
      <c r="G139" s="61">
        <f>Summary!G$256+Summary!G$591</f>
        <v>0</v>
      </c>
      <c r="H139" s="61">
        <f>Summary!H$256+Summary!H$591</f>
        <v>0</v>
      </c>
      <c r="I139" s="61">
        <f>Summary!I$256+Summary!I$591</f>
        <v>0</v>
      </c>
      <c r="J139" s="61">
        <f>Summary!J$256+Summary!J$591</f>
        <v>0</v>
      </c>
      <c r="K139" s="61">
        <f>Summary!K$256+Summary!K$591</f>
        <v>0</v>
      </c>
      <c r="L139" s="61">
        <f>Summary!L$256+Summary!L$591</f>
        <v>0</v>
      </c>
      <c r="M139" s="61">
        <f>Summary!M$256+Summary!M$591</f>
        <v>0</v>
      </c>
      <c r="N139" s="61">
        <f>Summary!N$256+Summary!N$591</f>
        <v>0</v>
      </c>
      <c r="O139" s="61">
        <f>Summary!O$256+Summary!O$591</f>
        <v>0</v>
      </c>
      <c r="P139" s="61">
        <f>Summary!P$256+Summary!P$591</f>
        <v>0</v>
      </c>
      <c r="Q139" s="142">
        <f t="shared" si="37"/>
        <v>0</v>
      </c>
      <c r="R139" s="142" t="e">
        <f t="shared" si="36"/>
        <v>#DIV/0!</v>
      </c>
      <c r="S139" s="157"/>
      <c r="T139" s="40">
        <f t="shared" si="33"/>
        <v>0</v>
      </c>
    </row>
    <row r="140" spans="1:20" s="84" customFormat="1" ht="24.95" customHeight="1">
      <c r="A140" s="3" t="s">
        <v>314</v>
      </c>
      <c r="B140" s="3" t="s">
        <v>384</v>
      </c>
      <c r="C140" s="3"/>
      <c r="D140" s="26" t="s">
        <v>315</v>
      </c>
      <c r="E140" s="61">
        <f>Summary!E$257+Summary!E$592</f>
        <v>0</v>
      </c>
      <c r="F140" s="61">
        <f>Summary!F$257+Summary!F$592</f>
        <v>0</v>
      </c>
      <c r="G140" s="61">
        <f>Summary!G$257+Summary!G$592</f>
        <v>0</v>
      </c>
      <c r="H140" s="61">
        <f>Summary!H$257+Summary!H$592</f>
        <v>0</v>
      </c>
      <c r="I140" s="61">
        <f>Summary!I$257+Summary!I$592</f>
        <v>0</v>
      </c>
      <c r="J140" s="61">
        <f>Summary!J$257+Summary!J$592</f>
        <v>0</v>
      </c>
      <c r="K140" s="61">
        <f>Summary!K$257+Summary!K$592</f>
        <v>0</v>
      </c>
      <c r="L140" s="61">
        <f>Summary!L$257+Summary!L$592</f>
        <v>0</v>
      </c>
      <c r="M140" s="61">
        <f>Summary!M$257+Summary!M$592</f>
        <v>0</v>
      </c>
      <c r="N140" s="61">
        <f>Summary!N$257+Summary!N$592</f>
        <v>0</v>
      </c>
      <c r="O140" s="61">
        <f>Summary!O$257+Summary!O$592</f>
        <v>0</v>
      </c>
      <c r="P140" s="61">
        <f>Summary!P$257+Summary!P$592</f>
        <v>0</v>
      </c>
      <c r="Q140" s="142">
        <f t="shared" si="37"/>
        <v>0</v>
      </c>
      <c r="R140" s="142" t="e">
        <f t="shared" si="36"/>
        <v>#DIV/0!</v>
      </c>
      <c r="S140" s="157"/>
      <c r="T140" s="40">
        <f t="shared" si="33"/>
        <v>0</v>
      </c>
    </row>
    <row r="141" spans="1:20" s="84" customFormat="1" ht="24.95" customHeight="1">
      <c r="A141" s="3"/>
      <c r="B141" s="3"/>
      <c r="C141" s="3"/>
      <c r="D141" s="19" t="s">
        <v>316</v>
      </c>
      <c r="E141" s="160">
        <f>SUM(E136:E140)</f>
        <v>0</v>
      </c>
      <c r="F141" s="160">
        <f t="shared" ref="F141:Q141" si="38">SUM(F136:F140)</f>
        <v>0</v>
      </c>
      <c r="G141" s="160">
        <f t="shared" si="38"/>
        <v>0</v>
      </c>
      <c r="H141" s="160">
        <f t="shared" si="38"/>
        <v>0</v>
      </c>
      <c r="I141" s="160">
        <f t="shared" si="38"/>
        <v>0</v>
      </c>
      <c r="J141" s="160">
        <f t="shared" si="38"/>
        <v>0</v>
      </c>
      <c r="K141" s="160">
        <f t="shared" si="38"/>
        <v>0</v>
      </c>
      <c r="L141" s="160">
        <f t="shared" si="38"/>
        <v>0</v>
      </c>
      <c r="M141" s="160">
        <f t="shared" si="38"/>
        <v>0</v>
      </c>
      <c r="N141" s="160">
        <f t="shared" si="38"/>
        <v>0</v>
      </c>
      <c r="O141" s="160">
        <f t="shared" si="38"/>
        <v>0</v>
      </c>
      <c r="P141" s="160">
        <f t="shared" si="38"/>
        <v>0</v>
      </c>
      <c r="Q141" s="160">
        <f t="shared" si="38"/>
        <v>0</v>
      </c>
      <c r="R141" s="142" t="e">
        <f t="shared" si="36"/>
        <v>#DIV/0!</v>
      </c>
      <c r="S141" s="157"/>
      <c r="T141" s="40">
        <f t="shared" si="33"/>
        <v>0</v>
      </c>
    </row>
    <row r="142" spans="1:20" s="84" customFormat="1" ht="24.95" customHeight="1">
      <c r="A142" s="3"/>
      <c r="B142" s="3"/>
      <c r="C142" s="3"/>
      <c r="D142" s="3"/>
      <c r="E142" s="3"/>
      <c r="F142" s="3"/>
      <c r="G142" s="3"/>
      <c r="H142" s="3"/>
      <c r="I142" s="3"/>
      <c r="J142" s="3"/>
      <c r="K142" s="3"/>
      <c r="L142" s="3"/>
      <c r="M142" s="161"/>
      <c r="S142" s="157"/>
      <c r="T142" s="40"/>
    </row>
    <row r="143" spans="1:20" s="84" customFormat="1" ht="24.95" customHeight="1">
      <c r="A143" s="3" t="s">
        <v>317</v>
      </c>
      <c r="B143" s="3" t="s">
        <v>384</v>
      </c>
      <c r="C143" s="3"/>
      <c r="D143" s="26" t="s">
        <v>318</v>
      </c>
      <c r="E143" s="61">
        <f>Summary!E$594+Summary!E$259</f>
        <v>0</v>
      </c>
      <c r="F143" s="61">
        <f>Summary!F$594+Summary!F$259</f>
        <v>0</v>
      </c>
      <c r="G143" s="61">
        <f>Summary!G$594+Summary!G$259</f>
        <v>0</v>
      </c>
      <c r="H143" s="61">
        <f>Summary!H$594+Summary!H$259</f>
        <v>0</v>
      </c>
      <c r="I143" s="61">
        <f>Summary!I$594+Summary!I$259</f>
        <v>0</v>
      </c>
      <c r="J143" s="61">
        <f>Summary!J$594+Summary!J$259</f>
        <v>0</v>
      </c>
      <c r="K143" s="61">
        <f>Summary!K$594+Summary!K$259</f>
        <v>0</v>
      </c>
      <c r="L143" s="61">
        <f>Summary!L$594+Summary!L$259</f>
        <v>0</v>
      </c>
      <c r="M143" s="61">
        <f>Summary!M$594+Summary!M$259</f>
        <v>0</v>
      </c>
      <c r="N143" s="61">
        <f>Summary!N$594+Summary!N$259</f>
        <v>0</v>
      </c>
      <c r="O143" s="61">
        <f>Summary!O$594+Summary!O$259</f>
        <v>0</v>
      </c>
      <c r="P143" s="61">
        <f>Summary!P$594+Summary!P$259</f>
        <v>0</v>
      </c>
      <c r="Q143" s="142">
        <f>SUM(E143:P143)</f>
        <v>0</v>
      </c>
      <c r="R143" s="142" t="e">
        <f t="shared" ref="R143:R151" si="39">Q143/$Q$117</f>
        <v>#DIV/0!</v>
      </c>
      <c r="S143" s="157"/>
      <c r="T143" s="40">
        <f t="shared" si="33"/>
        <v>0</v>
      </c>
    </row>
    <row r="144" spans="1:20" s="84" customFormat="1" ht="24.95" customHeight="1">
      <c r="A144" s="3" t="s">
        <v>319</v>
      </c>
      <c r="B144" s="3" t="s">
        <v>384</v>
      </c>
      <c r="C144" s="3"/>
      <c r="D144" s="26" t="s">
        <v>320</v>
      </c>
      <c r="E144" s="61">
        <f>Summary!E$595+Summary!E$260</f>
        <v>0</v>
      </c>
      <c r="F144" s="61">
        <f>Summary!F$595+Summary!F$260</f>
        <v>0</v>
      </c>
      <c r="G144" s="61">
        <f>Summary!G$595+Summary!G$260</f>
        <v>0</v>
      </c>
      <c r="H144" s="61">
        <f>Summary!H$595+Summary!H$260</f>
        <v>0</v>
      </c>
      <c r="I144" s="61">
        <f>Summary!I$595+Summary!I$260</f>
        <v>0</v>
      </c>
      <c r="J144" s="61">
        <f>Summary!J$595+Summary!J$260</f>
        <v>0</v>
      </c>
      <c r="K144" s="61">
        <f>Summary!K$595+Summary!K$260</f>
        <v>0</v>
      </c>
      <c r="L144" s="61">
        <f>Summary!L$595+Summary!L$260</f>
        <v>0</v>
      </c>
      <c r="M144" s="61">
        <f>Summary!M$595+Summary!M$260</f>
        <v>0</v>
      </c>
      <c r="N144" s="61">
        <f>Summary!N$595+Summary!N$260</f>
        <v>0</v>
      </c>
      <c r="O144" s="61">
        <f>Summary!O$595+Summary!O$260</f>
        <v>0</v>
      </c>
      <c r="P144" s="61">
        <f>Summary!P$595+Summary!P$260</f>
        <v>0</v>
      </c>
      <c r="Q144" s="142">
        <f t="shared" ref="Q144:Q150" si="40">SUM(E144:P144)</f>
        <v>0</v>
      </c>
      <c r="R144" s="142" t="e">
        <f t="shared" si="39"/>
        <v>#DIV/0!</v>
      </c>
      <c r="S144" s="157"/>
      <c r="T144" s="40">
        <f t="shared" si="33"/>
        <v>0</v>
      </c>
    </row>
    <row r="145" spans="1:20" s="84" customFormat="1" ht="24.95" customHeight="1">
      <c r="A145" s="3" t="s">
        <v>321</v>
      </c>
      <c r="B145" s="3" t="s">
        <v>384</v>
      </c>
      <c r="C145" s="3"/>
      <c r="D145" s="26" t="s">
        <v>322</v>
      </c>
      <c r="E145" s="61">
        <f>Summary!E$596+Summary!E$261</f>
        <v>0</v>
      </c>
      <c r="F145" s="61">
        <f>Summary!F$596+Summary!F$261</f>
        <v>0</v>
      </c>
      <c r="G145" s="61">
        <f>Summary!G$596+Summary!G$261</f>
        <v>0</v>
      </c>
      <c r="H145" s="61">
        <f>Summary!H$596+Summary!H$261</f>
        <v>0</v>
      </c>
      <c r="I145" s="61">
        <f>Summary!I$596+Summary!I$261</f>
        <v>0</v>
      </c>
      <c r="J145" s="61">
        <f>Summary!J$596+Summary!J$261</f>
        <v>0</v>
      </c>
      <c r="K145" s="61">
        <f>Summary!K$596+Summary!K$261</f>
        <v>0</v>
      </c>
      <c r="L145" s="61">
        <f>Summary!L$596+Summary!L$261</f>
        <v>0</v>
      </c>
      <c r="M145" s="61">
        <f>Summary!M$596+Summary!M$261</f>
        <v>0</v>
      </c>
      <c r="N145" s="61">
        <f>Summary!N$596+Summary!N$261</f>
        <v>0</v>
      </c>
      <c r="O145" s="61">
        <f>Summary!O$596+Summary!O$261</f>
        <v>0</v>
      </c>
      <c r="P145" s="61">
        <f>Summary!P$596+Summary!P$261</f>
        <v>0</v>
      </c>
      <c r="Q145" s="142">
        <f t="shared" si="40"/>
        <v>0</v>
      </c>
      <c r="R145" s="142" t="e">
        <f t="shared" si="39"/>
        <v>#DIV/0!</v>
      </c>
      <c r="S145" s="157"/>
      <c r="T145" s="40">
        <f t="shared" si="33"/>
        <v>0</v>
      </c>
    </row>
    <row r="146" spans="1:20" s="84" customFormat="1" ht="24.95" customHeight="1">
      <c r="A146" s="3" t="s">
        <v>323</v>
      </c>
      <c r="B146" s="3" t="s">
        <v>384</v>
      </c>
      <c r="C146" s="3"/>
      <c r="D146" s="26" t="s">
        <v>324</v>
      </c>
      <c r="E146" s="61">
        <f>Summary!E$597+Summary!E$262</f>
        <v>0</v>
      </c>
      <c r="F146" s="61">
        <f>Summary!F$597+Summary!F$262</f>
        <v>0</v>
      </c>
      <c r="G146" s="61">
        <f>Summary!G$597+Summary!G$262</f>
        <v>0</v>
      </c>
      <c r="H146" s="61">
        <f>Summary!H$597+Summary!H$262</f>
        <v>0</v>
      </c>
      <c r="I146" s="61">
        <f>Summary!I$597+Summary!I$262</f>
        <v>0</v>
      </c>
      <c r="J146" s="61">
        <f>Summary!J$597+Summary!J$262</f>
        <v>0</v>
      </c>
      <c r="K146" s="61">
        <f>Summary!K$597+Summary!K$262</f>
        <v>0</v>
      </c>
      <c r="L146" s="61">
        <f>Summary!L$597+Summary!L$262</f>
        <v>0</v>
      </c>
      <c r="M146" s="61">
        <f>Summary!M$597+Summary!M$262</f>
        <v>0</v>
      </c>
      <c r="N146" s="61">
        <f>Summary!N$597+Summary!N$262</f>
        <v>0</v>
      </c>
      <c r="O146" s="61">
        <f>Summary!O$597+Summary!O$262</f>
        <v>0</v>
      </c>
      <c r="P146" s="61">
        <f>Summary!P$597+Summary!P$262</f>
        <v>0</v>
      </c>
      <c r="Q146" s="142">
        <f t="shared" si="40"/>
        <v>0</v>
      </c>
      <c r="R146" s="142" t="e">
        <f t="shared" si="39"/>
        <v>#DIV/0!</v>
      </c>
      <c r="S146" s="157"/>
      <c r="T146" s="40">
        <f t="shared" si="33"/>
        <v>0</v>
      </c>
    </row>
    <row r="147" spans="1:20" s="84" customFormat="1" ht="24.95" customHeight="1">
      <c r="A147" s="3" t="s">
        <v>325</v>
      </c>
      <c r="B147" s="3" t="s">
        <v>384</v>
      </c>
      <c r="C147" s="3"/>
      <c r="D147" s="26" t="s">
        <v>326</v>
      </c>
      <c r="E147" s="61">
        <f>Summary!E$598+Summary!E$263</f>
        <v>0</v>
      </c>
      <c r="F147" s="61">
        <f>Summary!F$598+Summary!F$263</f>
        <v>0</v>
      </c>
      <c r="G147" s="61">
        <f>Summary!G$598+Summary!G$263</f>
        <v>0</v>
      </c>
      <c r="H147" s="61">
        <f>Summary!H$598+Summary!H$263</f>
        <v>0</v>
      </c>
      <c r="I147" s="61">
        <f>Summary!I$598+Summary!I$263</f>
        <v>0</v>
      </c>
      <c r="J147" s="61">
        <f>Summary!J$598+Summary!J$263</f>
        <v>0</v>
      </c>
      <c r="K147" s="61">
        <f>Summary!K$598+Summary!K$263</f>
        <v>0</v>
      </c>
      <c r="L147" s="61">
        <f>Summary!L$598+Summary!L$263</f>
        <v>0</v>
      </c>
      <c r="M147" s="61">
        <f>Summary!M$598+Summary!M$263</f>
        <v>0</v>
      </c>
      <c r="N147" s="61">
        <f>Summary!N$598+Summary!N$263</f>
        <v>0</v>
      </c>
      <c r="O147" s="61">
        <f>Summary!O$598+Summary!O$263</f>
        <v>0</v>
      </c>
      <c r="P147" s="61">
        <f>Summary!P$598+Summary!P$263</f>
        <v>0</v>
      </c>
      <c r="Q147" s="142">
        <f t="shared" si="40"/>
        <v>0</v>
      </c>
      <c r="R147" s="142" t="e">
        <f t="shared" si="39"/>
        <v>#DIV/0!</v>
      </c>
      <c r="S147" s="157"/>
      <c r="T147" s="40">
        <f t="shared" si="33"/>
        <v>0</v>
      </c>
    </row>
    <row r="148" spans="1:20" s="84" customFormat="1" ht="24.95" customHeight="1">
      <c r="A148" s="3" t="s">
        <v>327</v>
      </c>
      <c r="B148" s="3" t="s">
        <v>384</v>
      </c>
      <c r="C148" s="3"/>
      <c r="D148" s="26" t="s">
        <v>328</v>
      </c>
      <c r="E148" s="61">
        <f>Summary!E$599+Summary!E$264</f>
        <v>0</v>
      </c>
      <c r="F148" s="61">
        <f>Summary!F$599+Summary!F$264</f>
        <v>0</v>
      </c>
      <c r="G148" s="61">
        <f>Summary!G$599+Summary!G$264</f>
        <v>0</v>
      </c>
      <c r="H148" s="61">
        <f>Summary!H$599+Summary!H$264</f>
        <v>0</v>
      </c>
      <c r="I148" s="61">
        <f>Summary!I$599+Summary!I$264</f>
        <v>0</v>
      </c>
      <c r="J148" s="61">
        <f>Summary!J$599+Summary!J$264</f>
        <v>0</v>
      </c>
      <c r="K148" s="61">
        <f>Summary!K$599+Summary!K$264</f>
        <v>0</v>
      </c>
      <c r="L148" s="61">
        <f>Summary!L$599+Summary!L$264</f>
        <v>0</v>
      </c>
      <c r="M148" s="61">
        <f>Summary!M$599+Summary!M$264</f>
        <v>0</v>
      </c>
      <c r="N148" s="61">
        <f>Summary!N$599+Summary!N$264</f>
        <v>0</v>
      </c>
      <c r="O148" s="61">
        <f>Summary!O$599+Summary!O$264</f>
        <v>0</v>
      </c>
      <c r="P148" s="61">
        <f>Summary!P$599+Summary!P$264</f>
        <v>0</v>
      </c>
      <c r="Q148" s="142">
        <f t="shared" si="40"/>
        <v>0</v>
      </c>
      <c r="R148" s="142" t="e">
        <f t="shared" si="39"/>
        <v>#DIV/0!</v>
      </c>
      <c r="S148" s="157"/>
      <c r="T148" s="40">
        <f t="shared" si="33"/>
        <v>0</v>
      </c>
    </row>
    <row r="149" spans="1:20" s="84" customFormat="1" ht="24.95" customHeight="1">
      <c r="A149" s="3" t="s">
        <v>329</v>
      </c>
      <c r="B149" s="3" t="s">
        <v>415</v>
      </c>
      <c r="C149" s="3"/>
      <c r="D149" s="26" t="s">
        <v>330</v>
      </c>
      <c r="E149" s="61">
        <v>0</v>
      </c>
      <c r="F149" s="63">
        <v>0</v>
      </c>
      <c r="G149" s="63">
        <v>0</v>
      </c>
      <c r="H149" s="63">
        <v>0</v>
      </c>
      <c r="I149" s="63">
        <v>0</v>
      </c>
      <c r="J149" s="63">
        <v>0</v>
      </c>
      <c r="K149" s="63">
        <v>0</v>
      </c>
      <c r="L149" s="63">
        <v>0</v>
      </c>
      <c r="M149" s="61">
        <v>0</v>
      </c>
      <c r="N149" s="142">
        <v>0</v>
      </c>
      <c r="O149" s="142">
        <v>0</v>
      </c>
      <c r="P149" s="142">
        <v>0</v>
      </c>
      <c r="Q149" s="142">
        <f t="shared" si="40"/>
        <v>0</v>
      </c>
      <c r="R149" s="142" t="e">
        <f t="shared" si="39"/>
        <v>#DIV/0!</v>
      </c>
      <c r="S149" s="157"/>
      <c r="T149" s="40">
        <f t="shared" si="33"/>
        <v>0</v>
      </c>
    </row>
    <row r="150" spans="1:20" s="84" customFormat="1" ht="24.95" customHeight="1">
      <c r="A150" s="3" t="s">
        <v>331</v>
      </c>
      <c r="B150" s="3" t="s">
        <v>415</v>
      </c>
      <c r="C150" s="3"/>
      <c r="D150" s="26" t="s">
        <v>332</v>
      </c>
      <c r="E150" s="61">
        <v>0</v>
      </c>
      <c r="F150" s="63">
        <v>0</v>
      </c>
      <c r="G150" s="63">
        <v>0</v>
      </c>
      <c r="H150" s="63">
        <v>0</v>
      </c>
      <c r="I150" s="63">
        <v>0</v>
      </c>
      <c r="J150" s="63">
        <v>0</v>
      </c>
      <c r="K150" s="63">
        <v>0</v>
      </c>
      <c r="L150" s="63">
        <v>0</v>
      </c>
      <c r="M150" s="61">
        <v>0</v>
      </c>
      <c r="N150" s="142">
        <v>0</v>
      </c>
      <c r="O150" s="142">
        <v>0</v>
      </c>
      <c r="P150" s="142">
        <v>0</v>
      </c>
      <c r="Q150" s="142">
        <f t="shared" si="40"/>
        <v>0</v>
      </c>
      <c r="R150" s="142" t="e">
        <f t="shared" si="39"/>
        <v>#DIV/0!</v>
      </c>
      <c r="S150" s="157"/>
      <c r="T150" s="40">
        <f t="shared" si="33"/>
        <v>0</v>
      </c>
    </row>
    <row r="151" spans="1:20" s="84" customFormat="1" ht="24.95" customHeight="1">
      <c r="A151" s="3"/>
      <c r="B151" s="3"/>
      <c r="C151" s="3"/>
      <c r="D151" s="19" t="s">
        <v>333</v>
      </c>
      <c r="E151" s="160">
        <f>SUM(E143:E150)</f>
        <v>0</v>
      </c>
      <c r="F151" s="160">
        <f t="shared" ref="F151:Q151" si="41">SUM(F143:F150)</f>
        <v>0</v>
      </c>
      <c r="G151" s="160">
        <f t="shared" si="41"/>
        <v>0</v>
      </c>
      <c r="H151" s="160">
        <f t="shared" si="41"/>
        <v>0</v>
      </c>
      <c r="I151" s="160">
        <f t="shared" si="41"/>
        <v>0</v>
      </c>
      <c r="J151" s="160">
        <f t="shared" si="41"/>
        <v>0</v>
      </c>
      <c r="K151" s="160">
        <f t="shared" si="41"/>
        <v>0</v>
      </c>
      <c r="L151" s="160">
        <f t="shared" si="41"/>
        <v>0</v>
      </c>
      <c r="M151" s="160">
        <f t="shared" si="41"/>
        <v>0</v>
      </c>
      <c r="N151" s="160">
        <f t="shared" si="41"/>
        <v>0</v>
      </c>
      <c r="O151" s="160">
        <f t="shared" si="41"/>
        <v>0</v>
      </c>
      <c r="P151" s="160">
        <f t="shared" si="41"/>
        <v>0</v>
      </c>
      <c r="Q151" s="160">
        <f t="shared" si="41"/>
        <v>0</v>
      </c>
      <c r="R151" s="142" t="e">
        <f t="shared" si="39"/>
        <v>#DIV/0!</v>
      </c>
      <c r="S151" s="157"/>
      <c r="T151" s="40">
        <f t="shared" si="33"/>
        <v>0</v>
      </c>
    </row>
    <row r="152" spans="1:20" s="84" customFormat="1" ht="24.95" customHeight="1">
      <c r="A152" s="3"/>
      <c r="B152" s="3"/>
      <c r="C152" s="3"/>
      <c r="D152" s="3"/>
      <c r="E152" s="3"/>
      <c r="F152" s="3"/>
      <c r="G152" s="3"/>
      <c r="H152" s="3"/>
      <c r="I152" s="3"/>
      <c r="J152" s="3"/>
      <c r="K152" s="3"/>
      <c r="L152" s="3"/>
      <c r="M152" s="161"/>
      <c r="S152" s="157"/>
      <c r="T152" s="40"/>
    </row>
    <row r="153" spans="1:20" s="84" customFormat="1" ht="24.95" hidden="1" customHeight="1">
      <c r="A153" s="3" t="s">
        <v>334</v>
      </c>
      <c r="B153" s="3" t="s">
        <v>415</v>
      </c>
      <c r="C153" s="3"/>
      <c r="D153" s="26" t="s">
        <v>335</v>
      </c>
      <c r="E153" s="61">
        <v>0</v>
      </c>
      <c r="F153" s="63">
        <v>0</v>
      </c>
      <c r="G153" s="63">
        <v>0</v>
      </c>
      <c r="H153" s="63">
        <v>0</v>
      </c>
      <c r="I153" s="63">
        <v>0</v>
      </c>
      <c r="J153" s="63">
        <v>0</v>
      </c>
      <c r="K153" s="63">
        <v>0</v>
      </c>
      <c r="L153" s="63">
        <v>0</v>
      </c>
      <c r="M153" s="61">
        <v>0</v>
      </c>
      <c r="N153" s="142">
        <v>0</v>
      </c>
      <c r="O153" s="142">
        <v>0</v>
      </c>
      <c r="P153" s="142">
        <v>0</v>
      </c>
      <c r="Q153" s="142">
        <f>SUM(E153:P153)</f>
        <v>0</v>
      </c>
      <c r="R153" s="142" t="e">
        <f t="shared" ref="R153:R161" si="42">Q153/$Q$117</f>
        <v>#DIV/0!</v>
      </c>
      <c r="S153" s="157"/>
      <c r="T153" s="40">
        <f t="shared" si="33"/>
        <v>0</v>
      </c>
    </row>
    <row r="154" spans="1:20" s="84" customFormat="1" ht="24.95" hidden="1" customHeight="1">
      <c r="A154" s="3" t="s">
        <v>336</v>
      </c>
      <c r="B154" s="3" t="s">
        <v>415</v>
      </c>
      <c r="C154" s="3"/>
      <c r="D154" s="3" t="s">
        <v>337</v>
      </c>
      <c r="E154" s="61">
        <v>0</v>
      </c>
      <c r="F154" s="63">
        <v>0</v>
      </c>
      <c r="G154" s="63">
        <v>0</v>
      </c>
      <c r="H154" s="63">
        <v>0</v>
      </c>
      <c r="I154" s="63">
        <v>0</v>
      </c>
      <c r="J154" s="63">
        <v>0</v>
      </c>
      <c r="K154" s="63">
        <v>0</v>
      </c>
      <c r="L154" s="63">
        <v>0</v>
      </c>
      <c r="M154" s="61">
        <v>0</v>
      </c>
      <c r="N154" s="142">
        <v>0</v>
      </c>
      <c r="O154" s="142">
        <v>0</v>
      </c>
      <c r="P154" s="142">
        <v>0</v>
      </c>
      <c r="Q154" s="142">
        <f t="shared" ref="Q154:Q159" si="43">SUM(E154:P154)</f>
        <v>0</v>
      </c>
      <c r="R154" s="142" t="e">
        <f t="shared" si="42"/>
        <v>#DIV/0!</v>
      </c>
      <c r="S154" s="157"/>
      <c r="T154" s="40">
        <f t="shared" si="33"/>
        <v>0</v>
      </c>
    </row>
    <row r="155" spans="1:20" s="84" customFormat="1" ht="24.95" hidden="1" customHeight="1">
      <c r="A155" s="3" t="s">
        <v>338</v>
      </c>
      <c r="B155" s="3" t="s">
        <v>415</v>
      </c>
      <c r="C155" s="3"/>
      <c r="D155" s="26" t="s">
        <v>339</v>
      </c>
      <c r="E155" s="61">
        <v>0</v>
      </c>
      <c r="F155" s="63">
        <v>0</v>
      </c>
      <c r="G155" s="63">
        <v>0</v>
      </c>
      <c r="H155" s="63">
        <v>0</v>
      </c>
      <c r="I155" s="63">
        <v>0</v>
      </c>
      <c r="J155" s="63">
        <v>0</v>
      </c>
      <c r="K155" s="63">
        <v>0</v>
      </c>
      <c r="L155" s="63">
        <v>0</v>
      </c>
      <c r="M155" s="61">
        <v>0</v>
      </c>
      <c r="N155" s="142">
        <v>0</v>
      </c>
      <c r="O155" s="142">
        <v>0</v>
      </c>
      <c r="P155" s="142">
        <v>0</v>
      </c>
      <c r="Q155" s="142">
        <f t="shared" si="43"/>
        <v>0</v>
      </c>
      <c r="R155" s="142" t="e">
        <f t="shared" si="42"/>
        <v>#DIV/0!</v>
      </c>
      <c r="S155" s="157"/>
      <c r="T155" s="40">
        <f t="shared" si="33"/>
        <v>0</v>
      </c>
    </row>
    <row r="156" spans="1:20" s="84" customFormat="1" ht="24.95" hidden="1" customHeight="1">
      <c r="A156" s="3" t="s">
        <v>340</v>
      </c>
      <c r="B156" s="3" t="s">
        <v>415</v>
      </c>
      <c r="C156" s="3"/>
      <c r="D156" s="26" t="s">
        <v>341</v>
      </c>
      <c r="E156" s="61">
        <v>0</v>
      </c>
      <c r="F156" s="63">
        <v>0</v>
      </c>
      <c r="G156" s="63">
        <v>0</v>
      </c>
      <c r="H156" s="63">
        <v>0</v>
      </c>
      <c r="I156" s="63">
        <v>0</v>
      </c>
      <c r="J156" s="63">
        <v>0</v>
      </c>
      <c r="K156" s="63">
        <v>0</v>
      </c>
      <c r="L156" s="63">
        <v>0</v>
      </c>
      <c r="M156" s="61">
        <v>0</v>
      </c>
      <c r="N156" s="142">
        <v>0</v>
      </c>
      <c r="O156" s="142">
        <v>0</v>
      </c>
      <c r="P156" s="142">
        <v>0</v>
      </c>
      <c r="Q156" s="142">
        <f t="shared" si="43"/>
        <v>0</v>
      </c>
      <c r="R156" s="142" t="e">
        <f t="shared" si="42"/>
        <v>#DIV/0!</v>
      </c>
      <c r="S156" s="157"/>
      <c r="T156" s="40">
        <f t="shared" si="33"/>
        <v>0</v>
      </c>
    </row>
    <row r="157" spans="1:20" s="84" customFormat="1" ht="24.95" customHeight="1">
      <c r="A157" s="3" t="s">
        <v>342</v>
      </c>
      <c r="B157" s="3" t="s">
        <v>384</v>
      </c>
      <c r="C157" s="3"/>
      <c r="D157" s="26" t="s">
        <v>343</v>
      </c>
      <c r="E157" s="61">
        <f>Summary!E$266+Summary!E$601</f>
        <v>0</v>
      </c>
      <c r="F157" s="61">
        <f>Summary!F$266+Summary!F$601</f>
        <v>0</v>
      </c>
      <c r="G157" s="61">
        <f>Summary!G$266+Summary!G$601</f>
        <v>0</v>
      </c>
      <c r="H157" s="61">
        <f>Summary!H$266+Summary!H$601</f>
        <v>0</v>
      </c>
      <c r="I157" s="61">
        <f>Summary!I$266+Summary!I$601</f>
        <v>0</v>
      </c>
      <c r="J157" s="61">
        <f>Summary!J$266+Summary!J$601</f>
        <v>0</v>
      </c>
      <c r="K157" s="61">
        <f>Summary!K$266+Summary!K$601</f>
        <v>0</v>
      </c>
      <c r="L157" s="61">
        <f>Summary!L$266+Summary!L$601</f>
        <v>0</v>
      </c>
      <c r="M157" s="61">
        <f>Summary!M$266+Summary!M$601</f>
        <v>0</v>
      </c>
      <c r="N157" s="61">
        <f>Summary!N$266+Summary!N$601</f>
        <v>0</v>
      </c>
      <c r="O157" s="61">
        <f>Summary!O$266+Summary!O$601</f>
        <v>0</v>
      </c>
      <c r="P157" s="61">
        <f>Summary!P$266+Summary!P$601</f>
        <v>0</v>
      </c>
      <c r="Q157" s="142">
        <f t="shared" si="43"/>
        <v>0</v>
      </c>
      <c r="R157" s="142" t="e">
        <f t="shared" si="42"/>
        <v>#DIV/0!</v>
      </c>
      <c r="S157" s="157"/>
      <c r="T157" s="40">
        <f t="shared" si="33"/>
        <v>0</v>
      </c>
    </row>
    <row r="158" spans="1:20" s="84" customFormat="1" ht="24.95" customHeight="1">
      <c r="A158" s="3" t="s">
        <v>344</v>
      </c>
      <c r="B158" s="3" t="s">
        <v>384</v>
      </c>
      <c r="C158" s="3"/>
      <c r="D158" s="26" t="s">
        <v>345</v>
      </c>
      <c r="E158" s="61">
        <f>Summary!E$267+Summary!E$602</f>
        <v>0</v>
      </c>
      <c r="F158" s="61">
        <f>Summary!F$267+Summary!F$602</f>
        <v>0</v>
      </c>
      <c r="G158" s="61">
        <f>Summary!G$267+Summary!G$602</f>
        <v>0</v>
      </c>
      <c r="H158" s="61">
        <f>Summary!H$267+Summary!H$602</f>
        <v>0</v>
      </c>
      <c r="I158" s="61">
        <f>Summary!I$267+Summary!I$602</f>
        <v>0</v>
      </c>
      <c r="J158" s="61">
        <f>Summary!J$267+Summary!J$602</f>
        <v>0</v>
      </c>
      <c r="K158" s="61">
        <f>Summary!K$267+Summary!K$602</f>
        <v>0</v>
      </c>
      <c r="L158" s="61">
        <f>Summary!L$267+Summary!L$602</f>
        <v>0</v>
      </c>
      <c r="M158" s="61">
        <f>Summary!M$267+Summary!M$602</f>
        <v>0</v>
      </c>
      <c r="N158" s="61">
        <f>Summary!N$267+Summary!N$602</f>
        <v>0</v>
      </c>
      <c r="O158" s="61">
        <f>Summary!O$267+Summary!O$602</f>
        <v>0</v>
      </c>
      <c r="P158" s="61">
        <f>Summary!P$267+Summary!P$602</f>
        <v>0</v>
      </c>
      <c r="Q158" s="142">
        <f t="shared" si="43"/>
        <v>0</v>
      </c>
      <c r="R158" s="142" t="e">
        <f t="shared" si="42"/>
        <v>#DIV/0!</v>
      </c>
      <c r="S158" s="157"/>
      <c r="T158" s="40">
        <f t="shared" si="33"/>
        <v>0</v>
      </c>
    </row>
    <row r="159" spans="1:20" s="84" customFormat="1" ht="24.95" customHeight="1">
      <c r="A159" s="3" t="s">
        <v>346</v>
      </c>
      <c r="B159" s="3" t="s">
        <v>384</v>
      </c>
      <c r="C159" s="3"/>
      <c r="D159" s="26" t="s">
        <v>347</v>
      </c>
      <c r="E159" s="61">
        <f>Summary!E$268+Summary!E$603</f>
        <v>0</v>
      </c>
      <c r="F159" s="61">
        <f>Summary!F$268+Summary!F$603</f>
        <v>0</v>
      </c>
      <c r="G159" s="61">
        <f>Summary!G$268+Summary!G$603</f>
        <v>0</v>
      </c>
      <c r="H159" s="61">
        <f>Summary!H$268+Summary!H$603</f>
        <v>0</v>
      </c>
      <c r="I159" s="61">
        <f>Summary!I$268+Summary!I$603</f>
        <v>0</v>
      </c>
      <c r="J159" s="61">
        <f>Summary!J$268+Summary!J$603</f>
        <v>0</v>
      </c>
      <c r="K159" s="61">
        <f>Summary!K$268+Summary!K$603</f>
        <v>0</v>
      </c>
      <c r="L159" s="61">
        <f>Summary!L$268+Summary!L$603</f>
        <v>0</v>
      </c>
      <c r="M159" s="61">
        <f>Summary!M$268+Summary!M$603</f>
        <v>0</v>
      </c>
      <c r="N159" s="61">
        <f>Summary!N$268+Summary!N$603</f>
        <v>0</v>
      </c>
      <c r="O159" s="61">
        <f>Summary!O$268+Summary!O$603</f>
        <v>0</v>
      </c>
      <c r="P159" s="61">
        <f>Summary!P$268+Summary!P$603</f>
        <v>0</v>
      </c>
      <c r="Q159" s="142">
        <f t="shared" si="43"/>
        <v>0</v>
      </c>
      <c r="R159" s="142" t="e">
        <f t="shared" si="42"/>
        <v>#DIV/0!</v>
      </c>
      <c r="S159" s="157"/>
      <c r="T159" s="40">
        <f t="shared" si="33"/>
        <v>0</v>
      </c>
    </row>
    <row r="160" spans="1:20" s="84" customFormat="1" ht="24.95" customHeight="1">
      <c r="A160" s="3"/>
      <c r="B160" s="3"/>
      <c r="C160" s="3"/>
      <c r="D160" s="19" t="s">
        <v>348</v>
      </c>
      <c r="E160" s="160">
        <f>SUM(E153:E159)</f>
        <v>0</v>
      </c>
      <c r="F160" s="160">
        <f t="shared" ref="F160:Q160" si="44">SUM(F153:F159)</f>
        <v>0</v>
      </c>
      <c r="G160" s="160">
        <f t="shared" si="44"/>
        <v>0</v>
      </c>
      <c r="H160" s="160">
        <f t="shared" si="44"/>
        <v>0</v>
      </c>
      <c r="I160" s="160">
        <f t="shared" si="44"/>
        <v>0</v>
      </c>
      <c r="J160" s="160">
        <f t="shared" si="44"/>
        <v>0</v>
      </c>
      <c r="K160" s="160">
        <f t="shared" si="44"/>
        <v>0</v>
      </c>
      <c r="L160" s="160">
        <f t="shared" si="44"/>
        <v>0</v>
      </c>
      <c r="M160" s="160">
        <f t="shared" si="44"/>
        <v>0</v>
      </c>
      <c r="N160" s="160">
        <f t="shared" si="44"/>
        <v>0</v>
      </c>
      <c r="O160" s="160">
        <f t="shared" si="44"/>
        <v>0</v>
      </c>
      <c r="P160" s="160">
        <f t="shared" si="44"/>
        <v>0</v>
      </c>
      <c r="Q160" s="160">
        <f t="shared" si="44"/>
        <v>0</v>
      </c>
      <c r="R160" s="142" t="e">
        <f t="shared" si="42"/>
        <v>#DIV/0!</v>
      </c>
      <c r="S160" s="157"/>
      <c r="T160" s="40">
        <f t="shared" si="33"/>
        <v>0</v>
      </c>
    </row>
    <row r="161" spans="1:20" s="84" customFormat="1" ht="24.95" customHeight="1">
      <c r="A161" s="3"/>
      <c r="B161" s="3"/>
      <c r="C161" s="3"/>
      <c r="D161" s="19" t="s">
        <v>349</v>
      </c>
      <c r="E161" s="160">
        <f>E134+E141+E151+E160</f>
        <v>0</v>
      </c>
      <c r="F161" s="160">
        <f t="shared" ref="F161:Q161" si="45">F134+F141+F151+F160</f>
        <v>0</v>
      </c>
      <c r="G161" s="160">
        <f t="shared" si="45"/>
        <v>0</v>
      </c>
      <c r="H161" s="160">
        <f t="shared" si="45"/>
        <v>0</v>
      </c>
      <c r="I161" s="160">
        <f t="shared" si="45"/>
        <v>0</v>
      </c>
      <c r="J161" s="160">
        <f t="shared" si="45"/>
        <v>0</v>
      </c>
      <c r="K161" s="160">
        <f t="shared" si="45"/>
        <v>0</v>
      </c>
      <c r="L161" s="160">
        <f t="shared" si="45"/>
        <v>0</v>
      </c>
      <c r="M161" s="160">
        <f t="shared" si="45"/>
        <v>0</v>
      </c>
      <c r="N161" s="160">
        <f t="shared" si="45"/>
        <v>0</v>
      </c>
      <c r="O161" s="160">
        <f t="shared" si="45"/>
        <v>0</v>
      </c>
      <c r="P161" s="160">
        <f t="shared" si="45"/>
        <v>0</v>
      </c>
      <c r="Q161" s="160">
        <f t="shared" si="45"/>
        <v>0</v>
      </c>
      <c r="R161" s="142" t="e">
        <f t="shared" si="42"/>
        <v>#DIV/0!</v>
      </c>
      <c r="S161" s="157"/>
      <c r="T161" s="40">
        <f t="shared" si="33"/>
        <v>0</v>
      </c>
    </row>
    <row r="162" spans="1:20" s="42" customFormat="1" ht="24.95" customHeight="1">
      <c r="S162" s="157"/>
      <c r="T162" s="40"/>
    </row>
    <row r="163" spans="1:20" s="84" customFormat="1" ht="24.95" customHeight="1">
      <c r="A163" s="3" t="s">
        <v>105</v>
      </c>
      <c r="B163" s="3" t="s">
        <v>384</v>
      </c>
      <c r="C163" s="3"/>
      <c r="D163" s="19" t="s">
        <v>352</v>
      </c>
      <c r="E163" s="68">
        <f>Summary!E$576+Summary!E$241</f>
        <v>0</v>
      </c>
      <c r="F163" s="68">
        <f>Summary!F$576+Summary!F$241</f>
        <v>0</v>
      </c>
      <c r="G163" s="68">
        <f>Summary!G$576+Summary!G$241</f>
        <v>0</v>
      </c>
      <c r="H163" s="68">
        <f>Summary!H$576+Summary!H$241</f>
        <v>0</v>
      </c>
      <c r="I163" s="68">
        <f>Summary!I$576+Summary!I$241</f>
        <v>0</v>
      </c>
      <c r="J163" s="68">
        <f>Summary!J$576+Summary!J$241</f>
        <v>0</v>
      </c>
      <c r="K163" s="68">
        <f>Summary!K$576+Summary!K$241</f>
        <v>0</v>
      </c>
      <c r="L163" s="68">
        <f>Summary!L$576+Summary!L$241</f>
        <v>0</v>
      </c>
      <c r="M163" s="68">
        <f>Summary!M$576+Summary!M$241</f>
        <v>0</v>
      </c>
      <c r="N163" s="68">
        <f>Summary!N$576+Summary!N$241</f>
        <v>0</v>
      </c>
      <c r="O163" s="68">
        <f>Summary!O$576+Summary!O$241</f>
        <v>0</v>
      </c>
      <c r="P163" s="68">
        <f>Summary!P$576+Summary!P$241</f>
        <v>0</v>
      </c>
      <c r="Q163" s="166">
        <f>SUM(E163:P163)/12</f>
        <v>0</v>
      </c>
      <c r="R163" s="167"/>
      <c r="S163" s="157"/>
      <c r="T163" s="40">
        <f t="shared" si="33"/>
        <v>0</v>
      </c>
    </row>
  </sheetData>
  <phoneticPr fontId="57" type="noConversion"/>
  <dataValidations count="49">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21087.25_x000d__x000a_" sqref="E58:P58">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44987.9_x000d__x000a_" sqref="E21:P21">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5=2443234.73_x000d__x000a_" sqref="E29:E30">
      <formula1>0</formula1>
      <formula2>300</formula2>
    </dataValidation>
    <dataValidation type="textLength" errorStyle="information" allowBlank="1" showInputMessage="1" showErrorMessage="1" error="XLBVal:5=1285238.57_x000d__x000a_" sqref="F17:R17 E25:R25 E34:R34 R36 E17:E19">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error="XLBVal:6=7235.47_x000d__x000a_" sqref="E20:P20">
      <formula1>0</formula1>
      <formula2>300</formula2>
    </dataValidation>
    <dataValidation type="textLength" errorStyle="information" allowBlank="1" showInputMessage="1" showErrorMessage="1" error="XLBVal:6=21065.12_x000d__x000a_" sqref="E32:P32">
      <formula1>0</formula1>
      <formula2>300</formula2>
    </dataValidation>
    <dataValidation type="textLength" errorStyle="information" allowBlank="1" showInputMessage="1" showErrorMessage="1" error="XLBVal:6=38233.14_x000d__x000a_" sqref="E26:P26">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209604.31_x000d__x000a_" sqref="E27:P27">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25196619_x000d__x000a_" sqref="Q31">
      <formula1>0</formula1>
      <formula2>300</formula2>
    </dataValidation>
    <dataValidation type="textLength" errorStyle="information" allowBlank="1" showInputMessage="1" showErrorMessage="1" error="XLBVal:6=976708_x000d__x000a_" sqref="Q32">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E33:Q33 E35:L35 E65:P65 E108:R108 E117:R117 E131:R131 R163 E39:E46 F37:F46 Q132:Q133 Q153:Q159 R26:R27 R31:R33 R132:R134 R136:R141 R143:R151 R153:R161 E22:P24 E55:P57 E72:P73 E59:P63 Q112:R116 E153:P156 E149:P150 E75:P93 G39:P46 Q39:R107 E48:P53 Q12:R13 E114:P116 E67:P70 E14:R16 Q20:R24 E136:P140 E96:P105">
      <formula1>0</formula1>
      <formula2>300</formula2>
    </dataValidation>
    <dataValidation type="textLength" errorStyle="information" allowBlank="1" showInputMessage="1" showErrorMessage="1" error="XLBVal:6=82302.23_x000d__x000a_" sqref="E143:P148">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113580_x000d__x000a_" sqref="E47:P47">
      <formula1>0</formula1>
      <formula2>300</formula2>
    </dataValidation>
    <dataValidation type="textLength" errorStyle="information" allowBlank="1" showInputMessage="1" showErrorMessage="1" error="XLBVal:6=7331.48_x000d__x000a_" sqref="E54:P54">
      <formula1>0</formula1>
      <formula2>300</formula2>
    </dataValidation>
    <dataValidation type="textLength" errorStyle="information" allowBlank="1" showInputMessage="1" showErrorMessage="1" error="XLBVal:6=686.44_x000d__x000a_" sqref="E64:P64">
      <formula1>0</formula1>
      <formula2>300</formula2>
    </dataValidation>
    <dataValidation type="textLength" errorStyle="information" allowBlank="1" showInputMessage="1" showErrorMessage="1" error="XLBVal:6=270.6_x000d__x000a_" sqref="E66:P66">
      <formula1>0</formula1>
      <formula2>300</formula2>
    </dataValidation>
    <dataValidation type="textLength" errorStyle="information" allowBlank="1" showInputMessage="1" showErrorMessage="1" error="XLBVal:6=2660698_x000d__x000a_" sqref="Q143:Q150">
      <formula1>0</formula1>
      <formula2>300</formula2>
    </dataValidation>
    <dataValidation type="textLength" errorStyle="information" allowBlank="1" showInputMessage="1" showErrorMessage="1" error="XLBVal:6=2028.3_x000d__x000a_" sqref="E71:P71">
      <formula1>0</formula1>
      <formula2>300</formula2>
    </dataValidation>
    <dataValidation type="textLength" errorStyle="information" allowBlank="1" showInputMessage="1" showErrorMessage="1" error="XLBVal:6=20831.4_x000d__x000a_" sqref="E74:P74">
      <formula1>0</formula1>
      <formula2>300</formula2>
    </dataValidation>
    <dataValidation type="textLength" errorStyle="information" allowBlank="1" showInputMessage="1" showErrorMessage="1" error="XLBVal:6=1254.81_x000d__x000a_" sqref="E94:P94">
      <formula1>0</formula1>
      <formula2>300</formula2>
    </dataValidation>
    <dataValidation type="textLength" errorStyle="information" allowBlank="1" showInputMessage="1" showErrorMessage="1" error="XLBVal:6=3970.22_x000d__x000a_" sqref="E95:P95">
      <formula1>0</formula1>
      <formula2>300</formula2>
    </dataValidation>
    <dataValidation type="textLength" errorStyle="information" allowBlank="1" showInputMessage="1" showErrorMessage="1" error="XLBVal:6=13991.76_x000d__x000a_" sqref="E106:P106">
      <formula1>0</formula1>
      <formula2>300</formula2>
    </dataValidation>
    <dataValidation type="textLength" errorStyle="information" allowBlank="1" showInputMessage="1" showErrorMessage="1" error="XLBVal:6=108592.14_x000d__x000a_" sqref="E107:P107">
      <formula1>0</formula1>
      <formula2>300</formula2>
    </dataValidation>
    <dataValidation type="textLength" errorStyle="information" allowBlank="1" showInputMessage="1" showErrorMessage="1" error="XLBVal:6=0_x000d__x000a_" sqref="E109:R109">
      <formula1>0</formula1>
      <formula2>300</formula2>
    </dataValidation>
    <dataValidation type="textLength" errorStyle="information" allowBlank="1" showInputMessage="1" showErrorMessage="1" error="XLBVal:6=21902.24_x000d__x000a_" sqref="E157:P159">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sqref="E118:L118 H126:L126 H127:R127 E162:L162 E120:E130 H128:L130 F120:R125 F126:G130">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3678_x000d__x000a_" sqref="E152:L152">
      <formula1>0</formula1>
      <formula2>300</formula2>
    </dataValidation>
    <dataValidation type="textLength" errorStyle="information" allowBlank="1" showInputMessage="1" showErrorMessage="1" error="XLBVal:6=132_x000d__x000a_" sqref="E163:P163">
      <formula1>0</formula1>
      <formula2>300</formula2>
    </dataValidation>
    <dataValidation type="textLength" errorStyle="information" allowBlank="1" showInputMessage="1" showErrorMessage="1" error="XLBVal:6=3780_x000d__x000a_" sqref="Q163">
      <formula1>0</formula1>
      <formula2>300</formula2>
    </dataValidation>
    <dataValidation type="textLength" errorStyle="information" allowBlank="1" showInputMessage="1" showErrorMessage="1" error="XLBVal:6=6688509.16_x000d__x000a_" sqref="E37:E38">
      <formula1>0</formula1>
      <formula2>300</formula2>
    </dataValidation>
    <dataValidation type="textLength" errorStyle="information" allowBlank="1" showInputMessage="1" showErrorMessage="1" error="XLBVal:5=0_x000d__x000a_" sqref="F18:F19 F29:F30">
      <formula1>0</formula1>
      <formula2>300</formula2>
    </dataValidation>
    <dataValidation type="textLength" errorStyle="information" allowBlank="1" showInputMessage="1" showErrorMessage="1" error="XLBVal:6=995082_x000d__x000a_" sqref="Q136:Q140">
      <formula1>0</formula1>
      <formula2>300</formula2>
    </dataValidation>
    <dataValidation type="textLength" errorStyle="information" allowBlank="1" showInputMessage="1" showErrorMessage="1" error="XLBVal:5=1616616_x000d__x000a_" sqref="G18:L19">
      <formula1>0</formula1>
      <formula2>300</formula2>
    </dataValidation>
    <dataValidation type="textLength" errorStyle="information" allowBlank="1" showInputMessage="1" showErrorMessage="1" error="XLBVal:5=3384188.86_x000d__x000a_" sqref="G29:L30">
      <formula1>0</formula1>
      <formula2>300</formula2>
    </dataValidation>
    <dataValidation type="textLength" errorStyle="information" allowBlank="1" showInputMessage="1" showErrorMessage="1" error="XLBVal:6=6595485.04_x000d__x000a_" sqref="G37:L38">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T163"/>
  <sheetViews>
    <sheetView topLeftCell="D1" zoomScale="50" zoomScaleNormal="50" zoomScaleSheetLayoutView="40" workbookViewId="0">
      <pane xSplit="1" ySplit="10" topLeftCell="G11" activePane="bottomRight" state="frozen"/>
      <selection pane="topRight"/>
      <selection pane="bottomLeft"/>
      <selection pane="bottomRight" activeCell="S11" sqref="S11"/>
    </sheetView>
  </sheetViews>
  <sheetFormatPr defaultColWidth="8.875" defaultRowHeight="26.25" customHeight="1" outlineLevelRow="1" outlineLevelCol="1"/>
  <cols>
    <col min="1" max="3" width="15.5" style="5" hidden="1" customWidth="1" outlineLevel="1"/>
    <col min="4" max="4" width="95.5" style="6" customWidth="1" collapsed="1"/>
    <col min="5" max="5" width="22.5" style="7" customWidth="1"/>
    <col min="6" max="7" width="19.5" style="7" customWidth="1"/>
    <col min="8" max="9" width="19.875" style="7" customWidth="1"/>
    <col min="10" max="11" width="19.875" style="148" customWidth="1"/>
    <col min="12" max="12" width="19.875" style="5" customWidth="1"/>
    <col min="13" max="16" width="21" style="148" customWidth="1"/>
    <col min="17" max="17" width="36.5" style="148" customWidth="1"/>
    <col min="18" max="18" width="17.5" style="148" customWidth="1"/>
    <col min="19" max="19" width="22.5" style="149" customWidth="1"/>
    <col min="20" max="20" width="22.5" style="148" customWidth="1"/>
    <col min="21" max="16384" width="8.875" style="148"/>
  </cols>
  <sheetData>
    <row r="1" spans="1:20" s="1" customFormat="1" ht="15" customHeight="1" outlineLevel="1">
      <c r="E1" s="9"/>
      <c r="F1" s="9"/>
      <c r="G1" s="9"/>
      <c r="H1" s="9"/>
      <c r="I1" s="9"/>
      <c r="J1" s="9"/>
      <c r="K1" s="9"/>
      <c r="L1" s="9"/>
      <c r="M1" s="9"/>
      <c r="N1" s="9"/>
      <c r="O1" s="9"/>
      <c r="P1" s="9"/>
      <c r="Q1" s="9"/>
      <c r="R1" s="9"/>
      <c r="S1" s="32"/>
    </row>
    <row r="2" spans="1:20" s="1" customFormat="1" ht="15" customHeight="1" outlineLevel="1">
      <c r="E2" s="9"/>
      <c r="F2" s="9"/>
      <c r="G2" s="9"/>
      <c r="H2" s="9"/>
      <c r="I2" s="9"/>
      <c r="J2" s="9"/>
      <c r="K2" s="9"/>
      <c r="L2" s="9"/>
      <c r="M2" s="9"/>
      <c r="N2" s="9"/>
      <c r="O2" s="9"/>
      <c r="P2" s="9"/>
      <c r="Q2" s="9"/>
      <c r="R2" s="9"/>
      <c r="S2" s="32"/>
    </row>
    <row r="3" spans="1:20" s="1" customFormat="1" ht="15" customHeight="1" outlineLevel="1">
      <c r="E3" s="9"/>
      <c r="F3" s="9"/>
      <c r="G3" s="9"/>
      <c r="H3" s="9"/>
      <c r="I3" s="9"/>
      <c r="J3" s="9"/>
      <c r="K3" s="9"/>
      <c r="L3" s="9"/>
      <c r="M3" s="9"/>
      <c r="N3" s="9"/>
      <c r="O3" s="9"/>
      <c r="P3" s="9"/>
      <c r="Q3" s="9"/>
      <c r="R3" s="9"/>
      <c r="S3" s="32"/>
    </row>
    <row r="4" spans="1:20" s="147" customFormat="1" ht="24.95" customHeight="1">
      <c r="D4" s="10" t="str">
        <f>Summary!$D$4</f>
        <v>Hotel Budget Report</v>
      </c>
      <c r="E4" s="150"/>
      <c r="F4" s="150"/>
      <c r="G4" s="151"/>
      <c r="H4" s="152"/>
      <c r="I4" s="152"/>
      <c r="L4" s="2"/>
      <c r="S4" s="156"/>
    </row>
    <row r="5" spans="1:20" s="147" customFormat="1" ht="24.95" customHeight="1">
      <c r="D5" s="10" t="str">
        <f>Summary!$D$5</f>
        <v>酒店预算报表</v>
      </c>
      <c r="E5" s="150"/>
      <c r="F5" s="150"/>
      <c r="G5" s="151"/>
      <c r="H5" s="152"/>
      <c r="I5" s="152"/>
      <c r="L5" s="2"/>
      <c r="S5" s="156"/>
    </row>
    <row r="6" spans="1:20" s="147" customFormat="1" ht="24.95" customHeight="1">
      <c r="D6" s="10" t="s">
        <v>476</v>
      </c>
      <c r="E6" s="152"/>
      <c r="F6" s="152"/>
      <c r="G6" s="152"/>
      <c r="H6" s="152"/>
      <c r="I6" s="152"/>
      <c r="L6" s="2"/>
      <c r="S6" s="156"/>
    </row>
    <row r="7" spans="1:20" s="147" customFormat="1" ht="24.95" customHeight="1">
      <c r="D7" s="15" t="str">
        <f>Summary!D7</f>
        <v>2025</v>
      </c>
      <c r="E7" s="152"/>
      <c r="F7" s="152"/>
      <c r="G7" s="152"/>
      <c r="H7" s="152"/>
      <c r="I7" s="152"/>
      <c r="L7" s="2"/>
      <c r="S7" s="15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S9" s="15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378</v>
      </c>
      <c r="E11" s="76"/>
      <c r="F11" s="76"/>
      <c r="G11" s="76"/>
      <c r="H11" s="77"/>
      <c r="I11" s="77"/>
      <c r="J11" s="3"/>
      <c r="K11" s="155"/>
      <c r="L11" s="155"/>
      <c r="M11" s="155"/>
      <c r="S11" s="157"/>
    </row>
    <row r="12" spans="1:20" s="84" customFormat="1" ht="24.95" customHeight="1">
      <c r="A12" s="50" t="s">
        <v>452</v>
      </c>
      <c r="B12" s="3" t="s">
        <v>386</v>
      </c>
      <c r="C12" s="3"/>
      <c r="D12" s="26" t="s">
        <v>453</v>
      </c>
      <c r="E12" s="155"/>
      <c r="F12" s="155"/>
      <c r="G12" s="155"/>
      <c r="H12" s="155"/>
      <c r="I12" s="155"/>
      <c r="J12" s="155"/>
      <c r="K12" s="155"/>
      <c r="L12" s="155"/>
      <c r="M12" s="155"/>
      <c r="N12" s="155"/>
      <c r="O12" s="155"/>
      <c r="P12" s="155"/>
      <c r="Q12" s="155">
        <f>SUM(E12:P12)</f>
        <v>0</v>
      </c>
      <c r="R12" s="155"/>
      <c r="S12" s="157"/>
      <c r="T12" s="40">
        <f>IF(Q12-S12=0,0,(Q12-S12)/S12)</f>
        <v>0</v>
      </c>
    </row>
    <row r="13" spans="1:20" s="84" customFormat="1" ht="24.95" customHeight="1">
      <c r="A13" s="50" t="s">
        <v>454</v>
      </c>
      <c r="B13" s="3" t="s">
        <v>386</v>
      </c>
      <c r="C13" s="3"/>
      <c r="D13" s="26" t="s">
        <v>455</v>
      </c>
      <c r="E13" s="63"/>
      <c r="F13" s="63"/>
      <c r="G13" s="63"/>
      <c r="H13" s="63"/>
      <c r="I13" s="63"/>
      <c r="J13" s="63"/>
      <c r="K13" s="63"/>
      <c r="L13" s="63"/>
      <c r="M13" s="63"/>
      <c r="N13" s="63"/>
      <c r="O13" s="63"/>
      <c r="P13" s="63"/>
      <c r="Q13" s="155">
        <f t="shared" ref="Q13:Q16" si="0">SUM(E13:P13)</f>
        <v>0</v>
      </c>
      <c r="R13" s="142"/>
      <c r="S13" s="157"/>
      <c r="T13" s="40">
        <f t="shared" ref="T13:T28" si="1">IF(Q13-S13=0,0,(Q13-S13)/S13)</f>
        <v>0</v>
      </c>
    </row>
    <row r="14" spans="1:20" s="84" customFormat="1" ht="24.95" customHeight="1">
      <c r="A14" s="50" t="s">
        <v>456</v>
      </c>
      <c r="B14" s="3" t="s">
        <v>386</v>
      </c>
      <c r="C14" s="3"/>
      <c r="D14" s="26" t="s">
        <v>459</v>
      </c>
      <c r="E14" s="63"/>
      <c r="F14" s="63"/>
      <c r="G14" s="63"/>
      <c r="H14" s="63"/>
      <c r="I14" s="63"/>
      <c r="J14" s="63"/>
      <c r="K14" s="63"/>
      <c r="L14" s="63"/>
      <c r="M14" s="63"/>
      <c r="N14" s="63"/>
      <c r="O14" s="63"/>
      <c r="P14" s="63"/>
      <c r="Q14" s="155">
        <f t="shared" si="0"/>
        <v>0</v>
      </c>
      <c r="R14" s="142"/>
      <c r="S14" s="157"/>
      <c r="T14" s="40">
        <f t="shared" si="1"/>
        <v>0</v>
      </c>
    </row>
    <row r="15" spans="1:20" s="84" customFormat="1" ht="24.95" customHeight="1">
      <c r="A15" s="50" t="s">
        <v>458</v>
      </c>
      <c r="B15" s="3" t="s">
        <v>386</v>
      </c>
      <c r="C15" s="3"/>
      <c r="D15" s="26" t="s">
        <v>457</v>
      </c>
      <c r="E15" s="63"/>
      <c r="F15" s="63"/>
      <c r="G15" s="63"/>
      <c r="H15" s="63"/>
      <c r="I15" s="63"/>
      <c r="J15" s="63"/>
      <c r="K15" s="63"/>
      <c r="L15" s="63"/>
      <c r="M15" s="63"/>
      <c r="N15" s="63"/>
      <c r="O15" s="63"/>
      <c r="P15" s="63"/>
      <c r="Q15" s="155">
        <f t="shared" si="0"/>
        <v>0</v>
      </c>
      <c r="R15" s="142"/>
      <c r="S15" s="157"/>
      <c r="T15" s="40">
        <f t="shared" si="1"/>
        <v>0</v>
      </c>
    </row>
    <row r="16" spans="1:20" s="84" customFormat="1" ht="24.95" customHeight="1">
      <c r="A16" s="50" t="s">
        <v>460</v>
      </c>
      <c r="B16" s="3" t="s">
        <v>386</v>
      </c>
      <c r="C16" s="3"/>
      <c r="D16" s="26" t="s">
        <v>461</v>
      </c>
      <c r="E16" s="63">
        <v>0</v>
      </c>
      <c r="F16" s="63">
        <v>0</v>
      </c>
      <c r="G16" s="63">
        <v>0</v>
      </c>
      <c r="H16" s="63">
        <v>0</v>
      </c>
      <c r="I16" s="63">
        <v>0</v>
      </c>
      <c r="J16" s="63">
        <v>0</v>
      </c>
      <c r="K16" s="63">
        <v>0</v>
      </c>
      <c r="L16" s="63">
        <v>0</v>
      </c>
      <c r="M16" s="63">
        <v>0</v>
      </c>
      <c r="N16" s="63">
        <v>0</v>
      </c>
      <c r="O16" s="63">
        <v>0</v>
      </c>
      <c r="P16" s="63">
        <v>0</v>
      </c>
      <c r="Q16" s="155">
        <f t="shared" si="0"/>
        <v>0</v>
      </c>
      <c r="R16" s="142"/>
      <c r="S16" s="157"/>
      <c r="T16" s="40">
        <f t="shared" si="1"/>
        <v>0</v>
      </c>
    </row>
    <row r="17" spans="1:20" s="84" customFormat="1" ht="24.95" customHeight="1">
      <c r="A17" s="3"/>
      <c r="B17" s="3"/>
      <c r="C17" s="3"/>
      <c r="D17" s="21" t="s">
        <v>409</v>
      </c>
      <c r="E17" s="45">
        <f>SUM(E12:E16)</f>
        <v>0</v>
      </c>
      <c r="F17" s="45">
        <f t="shared" ref="F17:Q17" si="2">SUM(F12:F16)</f>
        <v>0</v>
      </c>
      <c r="G17" s="45">
        <f t="shared" si="2"/>
        <v>0</v>
      </c>
      <c r="H17" s="45">
        <f t="shared" si="2"/>
        <v>0</v>
      </c>
      <c r="I17" s="45">
        <f t="shared" si="2"/>
        <v>0</v>
      </c>
      <c r="J17" s="45">
        <f t="shared" si="2"/>
        <v>0</v>
      </c>
      <c r="K17" s="45">
        <f t="shared" si="2"/>
        <v>0</v>
      </c>
      <c r="L17" s="45">
        <f t="shared" si="2"/>
        <v>0</v>
      </c>
      <c r="M17" s="45">
        <f t="shared" si="2"/>
        <v>0</v>
      </c>
      <c r="N17" s="45">
        <f t="shared" si="2"/>
        <v>0</v>
      </c>
      <c r="O17" s="45">
        <f t="shared" si="2"/>
        <v>0</v>
      </c>
      <c r="P17" s="45">
        <f t="shared" si="2"/>
        <v>0</v>
      </c>
      <c r="Q17" s="45">
        <f t="shared" si="2"/>
        <v>0</v>
      </c>
      <c r="R17" s="45"/>
      <c r="S17" s="157"/>
      <c r="T17" s="40">
        <f t="shared" si="1"/>
        <v>0</v>
      </c>
    </row>
    <row r="18" spans="1:20" s="84" customFormat="1" ht="24.95" customHeight="1">
      <c r="A18" s="3"/>
      <c r="B18" s="3"/>
      <c r="C18" s="3"/>
      <c r="D18" s="26"/>
      <c r="E18" s="113"/>
      <c r="F18" s="24"/>
      <c r="G18" s="113"/>
      <c r="H18" s="25"/>
      <c r="I18" s="25"/>
      <c r="J18" s="3"/>
      <c r="K18" s="3"/>
      <c r="L18" s="161"/>
      <c r="S18" s="157"/>
      <c r="T18" s="40"/>
    </row>
    <row r="19" spans="1:20" s="84" customFormat="1" ht="24.95" customHeight="1">
      <c r="A19" s="3"/>
      <c r="B19" s="3"/>
      <c r="C19" s="3"/>
      <c r="D19" s="21" t="s">
        <v>410</v>
      </c>
      <c r="E19" s="113"/>
      <c r="F19" s="63"/>
      <c r="G19" s="63"/>
      <c r="H19" s="63"/>
      <c r="I19" s="63"/>
      <c r="J19" s="3"/>
      <c r="K19" s="3"/>
      <c r="L19" s="161"/>
      <c r="S19" s="157"/>
      <c r="T19" s="40">
        <f t="shared" si="1"/>
        <v>0</v>
      </c>
    </row>
    <row r="20" spans="1:20" s="84" customFormat="1" ht="24.95" customHeight="1">
      <c r="A20" s="50" t="s">
        <v>462</v>
      </c>
      <c r="B20" s="3" t="s">
        <v>386</v>
      </c>
      <c r="C20" s="3"/>
      <c r="D20" s="26" t="s">
        <v>453</v>
      </c>
      <c r="E20" s="27">
        <v>0</v>
      </c>
      <c r="F20" s="27">
        <v>0</v>
      </c>
      <c r="G20" s="27">
        <v>0</v>
      </c>
      <c r="H20" s="27">
        <v>0</v>
      </c>
      <c r="I20" s="27">
        <v>0</v>
      </c>
      <c r="J20" s="27">
        <v>0</v>
      </c>
      <c r="K20" s="27">
        <v>0</v>
      </c>
      <c r="L20" s="27">
        <v>0</v>
      </c>
      <c r="M20" s="27">
        <v>0</v>
      </c>
      <c r="N20" s="27">
        <v>0</v>
      </c>
      <c r="O20" s="27">
        <v>0</v>
      </c>
      <c r="P20" s="27">
        <v>0</v>
      </c>
      <c r="Q20" s="142">
        <f>SUM(E20:P20)</f>
        <v>0</v>
      </c>
      <c r="R20" s="142"/>
      <c r="S20" s="157"/>
      <c r="T20" s="40">
        <f t="shared" si="1"/>
        <v>0</v>
      </c>
    </row>
    <row r="21" spans="1:20" s="84" customFormat="1" ht="24.95" customHeight="1">
      <c r="A21" s="50" t="s">
        <v>463</v>
      </c>
      <c r="B21" s="3" t="s">
        <v>386</v>
      </c>
      <c r="C21" s="3"/>
      <c r="D21" s="26" t="s">
        <v>455</v>
      </c>
      <c r="E21" s="27">
        <v>0</v>
      </c>
      <c r="F21" s="27">
        <v>0</v>
      </c>
      <c r="G21" s="27">
        <v>0</v>
      </c>
      <c r="H21" s="27">
        <v>0</v>
      </c>
      <c r="I21" s="27">
        <v>0</v>
      </c>
      <c r="J21" s="27">
        <v>0</v>
      </c>
      <c r="K21" s="27">
        <v>0</v>
      </c>
      <c r="L21" s="27">
        <v>0</v>
      </c>
      <c r="M21" s="27">
        <v>0</v>
      </c>
      <c r="N21" s="27">
        <v>0</v>
      </c>
      <c r="O21" s="27">
        <v>0</v>
      </c>
      <c r="P21" s="27">
        <v>0</v>
      </c>
      <c r="Q21" s="142">
        <f t="shared" ref="Q21:Q24" si="3">SUM(E21:P21)</f>
        <v>0</v>
      </c>
      <c r="R21" s="142"/>
      <c r="S21" s="157"/>
      <c r="T21" s="40">
        <f t="shared" si="1"/>
        <v>0</v>
      </c>
    </row>
    <row r="22" spans="1:20" s="84" customFormat="1" ht="24.95" customHeight="1">
      <c r="A22" s="50" t="s">
        <v>464</v>
      </c>
      <c r="B22" s="3" t="s">
        <v>386</v>
      </c>
      <c r="C22" s="3"/>
      <c r="D22" s="26" t="s">
        <v>459</v>
      </c>
      <c r="E22" s="27">
        <v>0</v>
      </c>
      <c r="F22" s="27">
        <v>0</v>
      </c>
      <c r="G22" s="27">
        <v>0</v>
      </c>
      <c r="H22" s="27">
        <v>0</v>
      </c>
      <c r="I22" s="27">
        <v>0</v>
      </c>
      <c r="J22" s="27">
        <v>0</v>
      </c>
      <c r="K22" s="27">
        <v>0</v>
      </c>
      <c r="L22" s="27">
        <v>0</v>
      </c>
      <c r="M22" s="27">
        <v>0</v>
      </c>
      <c r="N22" s="27">
        <v>0</v>
      </c>
      <c r="O22" s="27">
        <v>0</v>
      </c>
      <c r="P22" s="27">
        <v>0</v>
      </c>
      <c r="Q22" s="142">
        <f t="shared" si="3"/>
        <v>0</v>
      </c>
      <c r="R22" s="142"/>
      <c r="S22" s="157"/>
      <c r="T22" s="40">
        <f t="shared" si="1"/>
        <v>0</v>
      </c>
    </row>
    <row r="23" spans="1:20" s="84" customFormat="1" ht="24.95" customHeight="1">
      <c r="A23" s="50" t="s">
        <v>465</v>
      </c>
      <c r="B23" s="3" t="s">
        <v>386</v>
      </c>
      <c r="C23" s="3"/>
      <c r="D23" s="26" t="s">
        <v>457</v>
      </c>
      <c r="E23" s="27">
        <v>0</v>
      </c>
      <c r="F23" s="27">
        <v>0</v>
      </c>
      <c r="G23" s="27">
        <v>0</v>
      </c>
      <c r="H23" s="27">
        <v>0</v>
      </c>
      <c r="I23" s="27">
        <v>0</v>
      </c>
      <c r="J23" s="27">
        <v>0</v>
      </c>
      <c r="K23" s="27">
        <v>0</v>
      </c>
      <c r="L23" s="27">
        <v>0</v>
      </c>
      <c r="M23" s="27">
        <v>0</v>
      </c>
      <c r="N23" s="27">
        <v>0</v>
      </c>
      <c r="O23" s="27">
        <v>0</v>
      </c>
      <c r="P23" s="27">
        <v>0</v>
      </c>
      <c r="Q23" s="142">
        <f t="shared" si="3"/>
        <v>0</v>
      </c>
      <c r="R23" s="142"/>
      <c r="S23" s="157"/>
      <c r="T23" s="40">
        <f t="shared" si="1"/>
        <v>0</v>
      </c>
    </row>
    <row r="24" spans="1:20" s="84" customFormat="1" ht="24.95" customHeight="1">
      <c r="A24" s="50" t="s">
        <v>466</v>
      </c>
      <c r="B24" s="3" t="s">
        <v>386</v>
      </c>
      <c r="C24" s="3"/>
      <c r="D24" s="26" t="s">
        <v>461</v>
      </c>
      <c r="E24" s="27">
        <v>0</v>
      </c>
      <c r="F24" s="27">
        <v>0</v>
      </c>
      <c r="G24" s="27">
        <v>0</v>
      </c>
      <c r="H24" s="27">
        <v>0</v>
      </c>
      <c r="I24" s="27">
        <v>0</v>
      </c>
      <c r="J24" s="27">
        <v>0</v>
      </c>
      <c r="K24" s="27">
        <v>0</v>
      </c>
      <c r="L24" s="27">
        <v>0</v>
      </c>
      <c r="M24" s="27">
        <v>0</v>
      </c>
      <c r="N24" s="27">
        <v>0</v>
      </c>
      <c r="O24" s="27">
        <v>0</v>
      </c>
      <c r="P24" s="27">
        <v>0</v>
      </c>
      <c r="Q24" s="142">
        <f t="shared" si="3"/>
        <v>0</v>
      </c>
      <c r="R24" s="142"/>
      <c r="S24" s="157"/>
      <c r="T24" s="40">
        <f t="shared" si="1"/>
        <v>0</v>
      </c>
    </row>
    <row r="25" spans="1:20" s="84" customFormat="1" ht="24.95" customHeight="1">
      <c r="A25" s="3"/>
      <c r="B25" s="3"/>
      <c r="C25" s="3"/>
      <c r="D25" s="21" t="s">
        <v>413</v>
      </c>
      <c r="E25" s="45">
        <f>SUM(E20:E24)</f>
        <v>0</v>
      </c>
      <c r="F25" s="45">
        <f t="shared" ref="F25:Q25" si="4">SUM(F20:F24)</f>
        <v>0</v>
      </c>
      <c r="G25" s="45">
        <f t="shared" si="4"/>
        <v>0</v>
      </c>
      <c r="H25" s="45">
        <f t="shared" si="4"/>
        <v>0</v>
      </c>
      <c r="I25" s="45">
        <f t="shared" si="4"/>
        <v>0</v>
      </c>
      <c r="J25" s="45">
        <f t="shared" si="4"/>
        <v>0</v>
      </c>
      <c r="K25" s="45">
        <f t="shared" si="4"/>
        <v>0</v>
      </c>
      <c r="L25" s="45">
        <f t="shared" si="4"/>
        <v>0</v>
      </c>
      <c r="M25" s="45">
        <f t="shared" si="4"/>
        <v>0</v>
      </c>
      <c r="N25" s="45">
        <f t="shared" si="4"/>
        <v>0</v>
      </c>
      <c r="O25" s="45">
        <f t="shared" si="4"/>
        <v>0</v>
      </c>
      <c r="P25" s="45">
        <f t="shared" si="4"/>
        <v>0</v>
      </c>
      <c r="Q25" s="45">
        <f t="shared" si="4"/>
        <v>0</v>
      </c>
      <c r="R25" s="45"/>
      <c r="S25" s="157"/>
      <c r="T25" s="40">
        <f t="shared" si="1"/>
        <v>0</v>
      </c>
    </row>
    <row r="26" spans="1:20" s="84" customFormat="1" ht="24.95" customHeight="1">
      <c r="A26" s="50" t="s">
        <v>419</v>
      </c>
      <c r="B26" s="3" t="s">
        <v>386</v>
      </c>
      <c r="C26" s="3"/>
      <c r="D26" s="26" t="s">
        <v>420</v>
      </c>
      <c r="E26" s="63"/>
      <c r="F26" s="63"/>
      <c r="G26" s="63"/>
      <c r="H26" s="63"/>
      <c r="I26" s="63"/>
      <c r="J26" s="63">
        <v>0</v>
      </c>
      <c r="K26" s="63">
        <v>0</v>
      </c>
      <c r="L26" s="63">
        <v>0</v>
      </c>
      <c r="M26" s="63">
        <v>0</v>
      </c>
      <c r="N26" s="63">
        <v>0</v>
      </c>
      <c r="O26" s="63">
        <v>0</v>
      </c>
      <c r="P26" s="63">
        <v>0</v>
      </c>
      <c r="Q26" s="142">
        <f>SUM(E26:P26)</f>
        <v>0</v>
      </c>
      <c r="R26" s="142"/>
      <c r="S26" s="157"/>
      <c r="T26" s="40">
        <f>IF(S26&lt;&gt;0,(Q26-S26)/S26,1)</f>
        <v>1</v>
      </c>
    </row>
    <row r="27" spans="1:20" s="84" customFormat="1" ht="24.95" customHeight="1">
      <c r="A27" s="50" t="s">
        <v>126</v>
      </c>
      <c r="B27" s="3" t="s">
        <v>386</v>
      </c>
      <c r="C27" s="3"/>
      <c r="D27" s="26" t="s">
        <v>421</v>
      </c>
      <c r="E27" s="63">
        <f t="shared" ref="E27:P27" si="5">+(E17+E25)*0.1</f>
        <v>0</v>
      </c>
      <c r="F27" s="63">
        <f t="shared" si="5"/>
        <v>0</v>
      </c>
      <c r="G27" s="63">
        <f t="shared" si="5"/>
        <v>0</v>
      </c>
      <c r="H27" s="63">
        <f t="shared" si="5"/>
        <v>0</v>
      </c>
      <c r="I27" s="63">
        <f t="shared" si="5"/>
        <v>0</v>
      </c>
      <c r="J27" s="63">
        <f t="shared" si="5"/>
        <v>0</v>
      </c>
      <c r="K27" s="63">
        <f t="shared" si="5"/>
        <v>0</v>
      </c>
      <c r="L27" s="63">
        <f t="shared" si="5"/>
        <v>0</v>
      </c>
      <c r="M27" s="63">
        <f t="shared" si="5"/>
        <v>0</v>
      </c>
      <c r="N27" s="63">
        <f t="shared" si="5"/>
        <v>0</v>
      </c>
      <c r="O27" s="63">
        <f t="shared" si="5"/>
        <v>0</v>
      </c>
      <c r="P27" s="63">
        <f t="shared" si="5"/>
        <v>0</v>
      </c>
      <c r="Q27" s="142">
        <f>SUM(E27:P27)</f>
        <v>0</v>
      </c>
      <c r="R27" s="142"/>
      <c r="S27" s="157"/>
      <c r="T27" s="40">
        <f t="shared" si="1"/>
        <v>0</v>
      </c>
    </row>
    <row r="28" spans="1:20" s="84" customFormat="1" ht="24.95" customHeight="1">
      <c r="A28" s="50"/>
      <c r="B28" s="3"/>
      <c r="C28" s="3"/>
      <c r="D28" s="21" t="s">
        <v>422</v>
      </c>
      <c r="E28" s="45">
        <f>E17+E25+E26+E27</f>
        <v>0</v>
      </c>
      <c r="F28" s="45">
        <f t="shared" ref="F28:Q28" si="6">F17+F25+F26+F27</f>
        <v>0</v>
      </c>
      <c r="G28" s="45">
        <f t="shared" si="6"/>
        <v>0</v>
      </c>
      <c r="H28" s="45">
        <f t="shared" si="6"/>
        <v>0</v>
      </c>
      <c r="I28" s="45">
        <f t="shared" si="6"/>
        <v>0</v>
      </c>
      <c r="J28" s="45">
        <f t="shared" si="6"/>
        <v>0</v>
      </c>
      <c r="K28" s="45">
        <f t="shared" si="6"/>
        <v>0</v>
      </c>
      <c r="L28" s="45">
        <f t="shared" si="6"/>
        <v>0</v>
      </c>
      <c r="M28" s="45">
        <f t="shared" si="6"/>
        <v>0</v>
      </c>
      <c r="N28" s="45">
        <f t="shared" si="6"/>
        <v>0</v>
      </c>
      <c r="O28" s="45">
        <f t="shared" si="6"/>
        <v>0</v>
      </c>
      <c r="P28" s="45">
        <f t="shared" si="6"/>
        <v>0</v>
      </c>
      <c r="Q28" s="45">
        <f t="shared" si="6"/>
        <v>0</v>
      </c>
      <c r="R28" s="45"/>
      <c r="S28" s="157"/>
      <c r="T28" s="40">
        <f t="shared" si="1"/>
        <v>0</v>
      </c>
    </row>
    <row r="29" spans="1:20" s="84" customFormat="1" ht="24.95" customHeight="1">
      <c r="A29" s="50"/>
      <c r="B29" s="3"/>
      <c r="C29" s="3"/>
      <c r="D29" s="26"/>
      <c r="E29" s="63"/>
      <c r="F29" s="63"/>
      <c r="G29" s="63"/>
      <c r="H29" s="63"/>
      <c r="I29" s="63"/>
      <c r="J29" s="3"/>
      <c r="K29" s="3"/>
      <c r="L29" s="161"/>
      <c r="S29" s="157"/>
      <c r="T29" s="40"/>
    </row>
    <row r="30" spans="1:20" s="84" customFormat="1" ht="24.95" customHeight="1">
      <c r="A30" s="50"/>
      <c r="B30" s="3"/>
      <c r="C30" s="3"/>
      <c r="D30" s="21" t="s">
        <v>423</v>
      </c>
      <c r="E30" s="63"/>
      <c r="F30" s="63"/>
      <c r="G30" s="63"/>
      <c r="H30" s="63"/>
      <c r="I30" s="63"/>
      <c r="J30" s="3"/>
      <c r="K30" s="3"/>
      <c r="L30" s="161"/>
      <c r="S30" s="157"/>
      <c r="T30" s="40"/>
    </row>
    <row r="31" spans="1:20" s="84" customFormat="1" ht="24.95" customHeight="1">
      <c r="A31" s="50" t="s">
        <v>424</v>
      </c>
      <c r="B31" s="3" t="s">
        <v>386</v>
      </c>
      <c r="C31" s="3"/>
      <c r="D31" s="26" t="s">
        <v>425</v>
      </c>
      <c r="E31" s="63">
        <f>E17*30.6%</f>
        <v>0</v>
      </c>
      <c r="F31" s="63">
        <f>F17*31.6%</f>
        <v>0</v>
      </c>
      <c r="G31" s="63">
        <f>G17*30.6%</f>
        <v>0</v>
      </c>
      <c r="H31" s="63">
        <f>H17*32.6%</f>
        <v>0</v>
      </c>
      <c r="I31" s="63">
        <f>I17*32.5%</f>
        <v>0</v>
      </c>
      <c r="J31" s="63">
        <f>J17*33%</f>
        <v>0</v>
      </c>
      <c r="K31" s="63">
        <f>K17*33%</f>
        <v>0</v>
      </c>
      <c r="L31" s="63">
        <f>L17*32%</f>
        <v>0</v>
      </c>
      <c r="M31" s="63">
        <f>M17*31.1%</f>
        <v>0</v>
      </c>
      <c r="N31" s="63">
        <f>N17*30.9%</f>
        <v>0</v>
      </c>
      <c r="O31" s="63">
        <f>O17*31%</f>
        <v>0</v>
      </c>
      <c r="P31" s="63">
        <f>P17*32%</f>
        <v>0</v>
      </c>
      <c r="Q31" s="142">
        <f>SUM(E31:P31)</f>
        <v>0</v>
      </c>
      <c r="R31" s="168" t="e">
        <f>Q31/Q17</f>
        <v>#DIV/0!</v>
      </c>
      <c r="S31" s="157"/>
      <c r="T31" s="40">
        <f>-IF(Q31-S31=0,0,(Q31-S31)/S31)</f>
        <v>0</v>
      </c>
    </row>
    <row r="32" spans="1:20" s="84" customFormat="1" ht="24.95" customHeight="1">
      <c r="A32" s="3" t="s">
        <v>426</v>
      </c>
      <c r="B32" s="3" t="s">
        <v>386</v>
      </c>
      <c r="C32" s="3"/>
      <c r="D32" s="26" t="s">
        <v>427</v>
      </c>
      <c r="E32" s="63"/>
      <c r="F32" s="63"/>
      <c r="G32" s="63"/>
      <c r="H32" s="63"/>
      <c r="I32" s="63"/>
      <c r="J32" s="61"/>
      <c r="K32" s="155"/>
      <c r="L32" s="155"/>
      <c r="M32" s="27">
        <v>0</v>
      </c>
      <c r="N32" s="27">
        <f>+N25*0.23</f>
        <v>0</v>
      </c>
      <c r="O32" s="27">
        <f>+O25*0.23</f>
        <v>0</v>
      </c>
      <c r="P32" s="27">
        <f>+P25*0.23</f>
        <v>0</v>
      </c>
      <c r="Q32" s="142">
        <f t="shared" ref="Q32:Q33" si="7">SUM(E32:P32)</f>
        <v>0</v>
      </c>
      <c r="R32" s="168" t="e">
        <f>Q32/Q25</f>
        <v>#DIV/0!</v>
      </c>
      <c r="S32" s="157"/>
      <c r="T32" s="40">
        <f t="shared" ref="T32:T95" si="8">-IF(Q32-S32=0,0,(Q32-S32)/S32)</f>
        <v>0</v>
      </c>
    </row>
    <row r="33" spans="1:20" s="84" customFormat="1" ht="24.95" customHeight="1">
      <c r="A33" s="3" t="s">
        <v>467</v>
      </c>
      <c r="B33" s="3" t="s">
        <v>386</v>
      </c>
      <c r="C33" s="3"/>
      <c r="D33" s="26" t="s">
        <v>431</v>
      </c>
      <c r="E33" s="63"/>
      <c r="F33" s="63"/>
      <c r="G33" s="63"/>
      <c r="H33" s="63"/>
      <c r="I33" s="63"/>
      <c r="J33" s="61"/>
      <c r="K33" s="61"/>
      <c r="L33" s="61"/>
      <c r="M33" s="27">
        <v>0</v>
      </c>
      <c r="N33" s="27">
        <v>0</v>
      </c>
      <c r="O33" s="27">
        <v>0</v>
      </c>
      <c r="P33" s="27">
        <v>0</v>
      </c>
      <c r="Q33" s="142">
        <f t="shared" si="7"/>
        <v>0</v>
      </c>
      <c r="R33" s="168" t="e">
        <f>Q33/Q26</f>
        <v>#DIV/0!</v>
      </c>
      <c r="S33" s="157"/>
      <c r="T33" s="40">
        <f t="shared" si="8"/>
        <v>0</v>
      </c>
    </row>
    <row r="34" spans="1:20" s="84" customFormat="1" ht="24.95" customHeight="1">
      <c r="A34" s="3"/>
      <c r="B34" s="3"/>
      <c r="C34" s="3"/>
      <c r="D34" s="21" t="s">
        <v>432</v>
      </c>
      <c r="E34" s="45">
        <f>+SUM(E31:E33)</f>
        <v>0</v>
      </c>
      <c r="F34" s="45">
        <f t="shared" ref="F34:P34" si="9">+SUM(F31:F33)</f>
        <v>0</v>
      </c>
      <c r="G34" s="45">
        <f t="shared" si="9"/>
        <v>0</v>
      </c>
      <c r="H34" s="45">
        <f t="shared" si="9"/>
        <v>0</v>
      </c>
      <c r="I34" s="45">
        <f t="shared" si="9"/>
        <v>0</v>
      </c>
      <c r="J34" s="45">
        <f t="shared" si="9"/>
        <v>0</v>
      </c>
      <c r="K34" s="45">
        <f t="shared" si="9"/>
        <v>0</v>
      </c>
      <c r="L34" s="45">
        <f t="shared" si="9"/>
        <v>0</v>
      </c>
      <c r="M34" s="45">
        <f t="shared" si="9"/>
        <v>0</v>
      </c>
      <c r="N34" s="45">
        <f t="shared" si="9"/>
        <v>0</v>
      </c>
      <c r="O34" s="45">
        <f t="shared" si="9"/>
        <v>0</v>
      </c>
      <c r="P34" s="45">
        <f t="shared" si="9"/>
        <v>0</v>
      </c>
      <c r="Q34" s="45">
        <f>SUM(Q31:Q33)</f>
        <v>0</v>
      </c>
      <c r="R34" s="158" t="e">
        <f>Q34/$Q$28</f>
        <v>#DIV/0!</v>
      </c>
      <c r="S34" s="157"/>
      <c r="T34" s="40">
        <f t="shared" si="8"/>
        <v>0</v>
      </c>
    </row>
    <row r="35" spans="1:20" s="84" customFormat="1" ht="24.95" customHeight="1">
      <c r="A35" s="3"/>
      <c r="B35" s="3"/>
      <c r="C35" s="3"/>
      <c r="D35" s="26"/>
      <c r="E35" s="63"/>
      <c r="F35" s="63"/>
      <c r="G35" s="63"/>
      <c r="H35" s="63"/>
      <c r="I35" s="63"/>
      <c r="J35" s="3"/>
      <c r="K35" s="3"/>
      <c r="L35" s="161"/>
      <c r="Q35" s="159"/>
      <c r="S35" s="157"/>
      <c r="T35" s="40"/>
    </row>
    <row r="36" spans="1:20" s="84" customFormat="1" ht="24.95" customHeight="1">
      <c r="A36" s="3" t="s">
        <v>103</v>
      </c>
      <c r="B36" s="3" t="s">
        <v>386</v>
      </c>
      <c r="C36" s="3"/>
      <c r="D36" s="21" t="s">
        <v>137</v>
      </c>
      <c r="E36" s="45">
        <f>+E161</f>
        <v>0</v>
      </c>
      <c r="F36" s="45">
        <f t="shared" ref="F36:P36" si="10">+F161</f>
        <v>0</v>
      </c>
      <c r="G36" s="45">
        <f t="shared" si="10"/>
        <v>0</v>
      </c>
      <c r="H36" s="45">
        <f t="shared" si="10"/>
        <v>0</v>
      </c>
      <c r="I36" s="45">
        <f t="shared" si="10"/>
        <v>0</v>
      </c>
      <c r="J36" s="45">
        <f t="shared" si="10"/>
        <v>0</v>
      </c>
      <c r="K36" s="45">
        <f t="shared" si="10"/>
        <v>0</v>
      </c>
      <c r="L36" s="45">
        <f t="shared" si="10"/>
        <v>0</v>
      </c>
      <c r="M36" s="45">
        <f t="shared" si="10"/>
        <v>0</v>
      </c>
      <c r="N36" s="45">
        <f t="shared" si="10"/>
        <v>0</v>
      </c>
      <c r="O36" s="45">
        <f t="shared" si="10"/>
        <v>0</v>
      </c>
      <c r="P36" s="45">
        <f t="shared" si="10"/>
        <v>0</v>
      </c>
      <c r="Q36" s="45">
        <f>SUM(E36:P36)</f>
        <v>0</v>
      </c>
      <c r="R36" s="158" t="e">
        <f>Q36/$Q$28</f>
        <v>#DIV/0!</v>
      </c>
      <c r="S36" s="157"/>
      <c r="T36" s="40">
        <f t="shared" si="8"/>
        <v>0</v>
      </c>
    </row>
    <row r="37" spans="1:20" s="84" customFormat="1" ht="24.95" customHeight="1">
      <c r="A37" s="3"/>
      <c r="B37" s="3"/>
      <c r="C37" s="3"/>
      <c r="D37" s="26"/>
      <c r="E37" s="63"/>
      <c r="F37" s="63"/>
      <c r="G37" s="63"/>
      <c r="H37" s="63"/>
      <c r="I37" s="63"/>
      <c r="J37" s="3"/>
      <c r="K37" s="3"/>
      <c r="L37" s="161"/>
      <c r="S37" s="157"/>
      <c r="T37" s="40"/>
    </row>
    <row r="38" spans="1:20" s="84" customFormat="1" ht="24.95" customHeight="1">
      <c r="A38" s="3"/>
      <c r="B38" s="3"/>
      <c r="C38" s="3"/>
      <c r="D38" s="21" t="s">
        <v>138</v>
      </c>
      <c r="E38" s="63"/>
      <c r="F38" s="63"/>
      <c r="G38" s="63"/>
      <c r="H38" s="63"/>
      <c r="I38" s="63"/>
      <c r="J38" s="3"/>
      <c r="K38" s="3"/>
      <c r="L38" s="161"/>
      <c r="R38" s="34" t="s">
        <v>433</v>
      </c>
      <c r="S38" s="157"/>
      <c r="T38" s="40">
        <f t="shared" si="8"/>
        <v>0</v>
      </c>
    </row>
    <row r="39" spans="1:20" s="84" customFormat="1" ht="24.95" hidden="1" customHeight="1">
      <c r="A39" s="3" t="s">
        <v>140</v>
      </c>
      <c r="B39" s="3" t="s">
        <v>386</v>
      </c>
      <c r="C39" s="3"/>
      <c r="D39" s="26" t="s">
        <v>141</v>
      </c>
      <c r="E39" s="63">
        <v>0</v>
      </c>
      <c r="F39" s="63">
        <v>0</v>
      </c>
      <c r="G39" s="63">
        <v>0</v>
      </c>
      <c r="H39" s="63">
        <v>0</v>
      </c>
      <c r="I39" s="63">
        <v>0</v>
      </c>
      <c r="J39" s="63">
        <v>0</v>
      </c>
      <c r="K39" s="63">
        <v>0</v>
      </c>
      <c r="L39" s="63">
        <v>0</v>
      </c>
      <c r="M39" s="63">
        <v>0</v>
      </c>
      <c r="N39" s="63">
        <v>0</v>
      </c>
      <c r="O39" s="63">
        <v>0</v>
      </c>
      <c r="P39" s="63">
        <v>0</v>
      </c>
      <c r="Q39" s="142">
        <f>SUM(E39:P39)</f>
        <v>0</v>
      </c>
      <c r="R39" s="142" t="e">
        <f>Q39/$Q$117</f>
        <v>#DIV/0!</v>
      </c>
      <c r="S39" s="157"/>
      <c r="T39" s="40">
        <f t="shared" si="8"/>
        <v>0</v>
      </c>
    </row>
    <row r="40" spans="1:20" s="84" customFormat="1" ht="24.95" hidden="1" customHeight="1">
      <c r="A40" s="3" t="s">
        <v>142</v>
      </c>
      <c r="B40" s="3" t="s">
        <v>386</v>
      </c>
      <c r="C40" s="3"/>
      <c r="D40" s="26" t="s">
        <v>143</v>
      </c>
      <c r="E40" s="63">
        <v>0</v>
      </c>
      <c r="F40" s="63">
        <v>0</v>
      </c>
      <c r="G40" s="63">
        <v>0</v>
      </c>
      <c r="H40" s="63">
        <v>0</v>
      </c>
      <c r="I40" s="63">
        <v>0</v>
      </c>
      <c r="J40" s="63">
        <v>0</v>
      </c>
      <c r="K40" s="63">
        <v>0</v>
      </c>
      <c r="L40" s="63">
        <v>0</v>
      </c>
      <c r="M40" s="63">
        <v>0</v>
      </c>
      <c r="N40" s="63">
        <v>0</v>
      </c>
      <c r="O40" s="63">
        <v>0</v>
      </c>
      <c r="P40" s="63">
        <v>0</v>
      </c>
      <c r="Q40" s="142">
        <f t="shared" ref="Q40:Q103" si="11">SUM(E40:P40)</f>
        <v>0</v>
      </c>
      <c r="R40" s="142" t="e">
        <f t="shared" ref="R40:R103" si="12">Q40/$Q$117</f>
        <v>#DIV/0!</v>
      </c>
      <c r="S40" s="157"/>
      <c r="T40" s="40">
        <f t="shared" si="8"/>
        <v>0</v>
      </c>
    </row>
    <row r="41" spans="1:20" s="84" customFormat="1" ht="24.95" hidden="1" customHeight="1">
      <c r="A41" s="3" t="s">
        <v>144</v>
      </c>
      <c r="B41" s="3" t="s">
        <v>386</v>
      </c>
      <c r="C41" s="3"/>
      <c r="D41" s="26" t="s">
        <v>145</v>
      </c>
      <c r="E41" s="63">
        <v>0</v>
      </c>
      <c r="F41" s="63">
        <v>0</v>
      </c>
      <c r="G41" s="63">
        <v>0</v>
      </c>
      <c r="H41" s="63">
        <v>0</v>
      </c>
      <c r="I41" s="63">
        <v>0</v>
      </c>
      <c r="J41" s="63">
        <v>0</v>
      </c>
      <c r="K41" s="63">
        <v>0</v>
      </c>
      <c r="L41" s="63">
        <v>0</v>
      </c>
      <c r="M41" s="63">
        <v>0</v>
      </c>
      <c r="N41" s="63">
        <v>0</v>
      </c>
      <c r="O41" s="63">
        <v>0</v>
      </c>
      <c r="P41" s="63">
        <v>0</v>
      </c>
      <c r="Q41" s="142">
        <f t="shared" si="11"/>
        <v>0</v>
      </c>
      <c r="R41" s="142" t="e">
        <f t="shared" si="12"/>
        <v>#DIV/0!</v>
      </c>
      <c r="S41" s="157"/>
      <c r="T41" s="40">
        <f t="shared" si="8"/>
        <v>0</v>
      </c>
    </row>
    <row r="42" spans="1:20" s="84" customFormat="1" ht="24.95" hidden="1" customHeight="1">
      <c r="A42" s="3" t="s">
        <v>146</v>
      </c>
      <c r="B42" s="3" t="s">
        <v>386</v>
      </c>
      <c r="C42" s="3"/>
      <c r="D42" s="26" t="s">
        <v>147</v>
      </c>
      <c r="E42" s="63">
        <v>0</v>
      </c>
      <c r="F42" s="63">
        <v>0</v>
      </c>
      <c r="G42" s="63">
        <v>0</v>
      </c>
      <c r="H42" s="63">
        <v>0</v>
      </c>
      <c r="I42" s="63">
        <v>0</v>
      </c>
      <c r="J42" s="63">
        <v>0</v>
      </c>
      <c r="K42" s="63">
        <v>0</v>
      </c>
      <c r="L42" s="63">
        <v>0</v>
      </c>
      <c r="M42" s="63">
        <v>0</v>
      </c>
      <c r="N42" s="63">
        <v>0</v>
      </c>
      <c r="O42" s="63">
        <v>0</v>
      </c>
      <c r="P42" s="63">
        <v>0</v>
      </c>
      <c r="Q42" s="142">
        <f t="shared" si="11"/>
        <v>0</v>
      </c>
      <c r="R42" s="142" t="e">
        <f t="shared" si="12"/>
        <v>#DIV/0!</v>
      </c>
      <c r="S42" s="157"/>
      <c r="T42" s="40">
        <f t="shared" si="8"/>
        <v>0</v>
      </c>
    </row>
    <row r="43" spans="1:20" s="84" customFormat="1" ht="24.95" hidden="1" customHeight="1">
      <c r="A43" s="3" t="s">
        <v>148</v>
      </c>
      <c r="B43" s="3" t="s">
        <v>386</v>
      </c>
      <c r="C43" s="3"/>
      <c r="D43" s="26" t="s">
        <v>149</v>
      </c>
      <c r="E43" s="63">
        <v>0</v>
      </c>
      <c r="F43" s="63">
        <v>0</v>
      </c>
      <c r="G43" s="63">
        <v>0</v>
      </c>
      <c r="H43" s="63">
        <v>0</v>
      </c>
      <c r="I43" s="63">
        <v>0</v>
      </c>
      <c r="J43" s="63">
        <v>0</v>
      </c>
      <c r="K43" s="63">
        <v>0</v>
      </c>
      <c r="L43" s="63">
        <v>0</v>
      </c>
      <c r="M43" s="63">
        <v>0</v>
      </c>
      <c r="N43" s="63">
        <v>0</v>
      </c>
      <c r="O43" s="63">
        <v>0</v>
      </c>
      <c r="P43" s="63">
        <v>0</v>
      </c>
      <c r="Q43" s="142">
        <f t="shared" si="11"/>
        <v>0</v>
      </c>
      <c r="R43" s="142" t="e">
        <f t="shared" si="12"/>
        <v>#DIV/0!</v>
      </c>
      <c r="S43" s="157"/>
      <c r="T43" s="40">
        <f t="shared" si="8"/>
        <v>0</v>
      </c>
    </row>
    <row r="44" spans="1:20" s="84" customFormat="1" ht="24.95" hidden="1" customHeight="1">
      <c r="A44" s="3" t="s">
        <v>150</v>
      </c>
      <c r="B44" s="3" t="s">
        <v>386</v>
      </c>
      <c r="C44" s="3"/>
      <c r="D44" s="26" t="s">
        <v>151</v>
      </c>
      <c r="E44" s="63">
        <v>0</v>
      </c>
      <c r="F44" s="63">
        <v>0</v>
      </c>
      <c r="G44" s="63">
        <v>0</v>
      </c>
      <c r="H44" s="63">
        <v>0</v>
      </c>
      <c r="I44" s="63">
        <v>0</v>
      </c>
      <c r="J44" s="63">
        <v>0</v>
      </c>
      <c r="K44" s="63">
        <v>0</v>
      </c>
      <c r="L44" s="63">
        <v>0</v>
      </c>
      <c r="M44" s="63">
        <v>0</v>
      </c>
      <c r="N44" s="63">
        <v>0</v>
      </c>
      <c r="O44" s="63">
        <v>0</v>
      </c>
      <c r="P44" s="63">
        <v>0</v>
      </c>
      <c r="Q44" s="142">
        <f t="shared" si="11"/>
        <v>0</v>
      </c>
      <c r="R44" s="142" t="e">
        <f t="shared" si="12"/>
        <v>#DIV/0!</v>
      </c>
      <c r="S44" s="157"/>
      <c r="T44" s="40">
        <f t="shared" si="8"/>
        <v>0</v>
      </c>
    </row>
    <row r="45" spans="1:20" s="84" customFormat="1" ht="24.95" hidden="1" customHeight="1">
      <c r="A45" s="3" t="s">
        <v>152</v>
      </c>
      <c r="B45" s="3" t="s">
        <v>386</v>
      </c>
      <c r="C45" s="3"/>
      <c r="D45" s="26" t="s">
        <v>153</v>
      </c>
      <c r="E45" s="63">
        <v>0</v>
      </c>
      <c r="F45" s="63">
        <v>0</v>
      </c>
      <c r="G45" s="63">
        <v>0</v>
      </c>
      <c r="H45" s="63">
        <v>0</v>
      </c>
      <c r="I45" s="63">
        <v>0</v>
      </c>
      <c r="J45" s="63">
        <v>0</v>
      </c>
      <c r="K45" s="63">
        <v>0</v>
      </c>
      <c r="L45" s="63">
        <v>0</v>
      </c>
      <c r="M45" s="63">
        <v>0</v>
      </c>
      <c r="N45" s="63">
        <v>0</v>
      </c>
      <c r="O45" s="63">
        <v>0</v>
      </c>
      <c r="P45" s="63">
        <v>0</v>
      </c>
      <c r="Q45" s="142">
        <f t="shared" si="11"/>
        <v>0</v>
      </c>
      <c r="R45" s="142" t="e">
        <f t="shared" si="12"/>
        <v>#DIV/0!</v>
      </c>
      <c r="S45" s="157"/>
      <c r="T45" s="40">
        <f t="shared" si="8"/>
        <v>0</v>
      </c>
    </row>
    <row r="46" spans="1:20" s="84" customFormat="1" ht="24.95" hidden="1" customHeight="1">
      <c r="A46" s="3" t="s">
        <v>154</v>
      </c>
      <c r="B46" s="3" t="s">
        <v>386</v>
      </c>
      <c r="C46" s="3"/>
      <c r="D46" s="26" t="s">
        <v>155</v>
      </c>
      <c r="E46" s="63">
        <v>0</v>
      </c>
      <c r="F46" s="63">
        <v>0</v>
      </c>
      <c r="G46" s="63">
        <v>0</v>
      </c>
      <c r="H46" s="63">
        <v>0</v>
      </c>
      <c r="I46" s="63">
        <v>0</v>
      </c>
      <c r="J46" s="63">
        <v>0</v>
      </c>
      <c r="K46" s="63">
        <v>0</v>
      </c>
      <c r="L46" s="63">
        <v>0</v>
      </c>
      <c r="M46" s="63">
        <v>0</v>
      </c>
      <c r="N46" s="63">
        <v>0</v>
      </c>
      <c r="O46" s="63">
        <v>0</v>
      </c>
      <c r="P46" s="63">
        <v>0</v>
      </c>
      <c r="Q46" s="142">
        <f t="shared" si="11"/>
        <v>0</v>
      </c>
      <c r="R46" s="142" t="e">
        <f t="shared" si="12"/>
        <v>#DIV/0!</v>
      </c>
      <c r="S46" s="157"/>
      <c r="T46" s="40">
        <f t="shared" si="8"/>
        <v>0</v>
      </c>
    </row>
    <row r="47" spans="1:20" s="84" customFormat="1" ht="24.95" customHeight="1">
      <c r="A47" s="3" t="s">
        <v>156</v>
      </c>
      <c r="B47" s="3" t="s">
        <v>386</v>
      </c>
      <c r="C47" s="3"/>
      <c r="D47" s="26" t="s">
        <v>157</v>
      </c>
      <c r="E47" s="63"/>
      <c r="F47" s="63"/>
      <c r="G47" s="63"/>
      <c r="H47" s="63"/>
      <c r="I47" s="63"/>
      <c r="J47" s="63"/>
      <c r="K47" s="63"/>
      <c r="L47" s="63"/>
      <c r="M47" s="63"/>
      <c r="N47" s="63"/>
      <c r="O47" s="63"/>
      <c r="P47" s="63"/>
      <c r="Q47" s="142">
        <f t="shared" si="11"/>
        <v>0</v>
      </c>
      <c r="R47" s="142" t="e">
        <f t="shared" si="12"/>
        <v>#DIV/0!</v>
      </c>
      <c r="S47" s="157"/>
      <c r="T47" s="40"/>
    </row>
    <row r="48" spans="1:20" s="84" customFormat="1" ht="24.95" customHeight="1">
      <c r="A48" s="3" t="s">
        <v>158</v>
      </c>
      <c r="B48" s="3" t="s">
        <v>386</v>
      </c>
      <c r="C48" s="3"/>
      <c r="D48" s="26" t="s">
        <v>159</v>
      </c>
      <c r="E48" s="63"/>
      <c r="F48" s="63"/>
      <c r="G48" s="63"/>
      <c r="H48" s="63"/>
      <c r="I48" s="63"/>
      <c r="J48" s="63"/>
      <c r="K48" s="63"/>
      <c r="L48" s="63"/>
      <c r="M48" s="63"/>
      <c r="N48" s="63"/>
      <c r="O48" s="63"/>
      <c r="P48" s="63"/>
      <c r="Q48" s="142">
        <f t="shared" si="11"/>
        <v>0</v>
      </c>
      <c r="R48" s="142" t="e">
        <f t="shared" si="12"/>
        <v>#DIV/0!</v>
      </c>
      <c r="S48" s="157"/>
      <c r="T48" s="40"/>
    </row>
    <row r="49" spans="1:20" s="84" customFormat="1" ht="24.95" hidden="1" customHeight="1">
      <c r="A49" s="3" t="s">
        <v>160</v>
      </c>
      <c r="B49" s="3" t="s">
        <v>386</v>
      </c>
      <c r="C49" s="3"/>
      <c r="D49" s="26" t="s">
        <v>161</v>
      </c>
      <c r="E49" s="63"/>
      <c r="F49" s="63"/>
      <c r="G49" s="63"/>
      <c r="H49" s="63"/>
      <c r="I49" s="63"/>
      <c r="J49" s="63"/>
      <c r="K49" s="63"/>
      <c r="L49" s="63"/>
      <c r="M49" s="63"/>
      <c r="N49" s="63"/>
      <c r="O49" s="63"/>
      <c r="P49" s="63"/>
      <c r="Q49" s="142">
        <f t="shared" si="11"/>
        <v>0</v>
      </c>
      <c r="R49" s="142" t="e">
        <f t="shared" si="12"/>
        <v>#DIV/0!</v>
      </c>
      <c r="S49" s="157"/>
      <c r="T49" s="40"/>
    </row>
    <row r="50" spans="1:20" s="84" customFormat="1" ht="24.95" customHeight="1">
      <c r="A50" s="3" t="s">
        <v>162</v>
      </c>
      <c r="B50" s="3" t="s">
        <v>386</v>
      </c>
      <c r="C50" s="3"/>
      <c r="D50" s="26" t="s">
        <v>163</v>
      </c>
      <c r="E50" s="63"/>
      <c r="F50" s="63"/>
      <c r="G50" s="63"/>
      <c r="H50" s="63"/>
      <c r="I50" s="63"/>
      <c r="J50" s="63"/>
      <c r="K50" s="63"/>
      <c r="L50" s="63"/>
      <c r="M50" s="63"/>
      <c r="N50" s="63"/>
      <c r="O50" s="63"/>
      <c r="P50" s="63"/>
      <c r="Q50" s="142">
        <f t="shared" si="11"/>
        <v>0</v>
      </c>
      <c r="R50" s="142" t="e">
        <f t="shared" si="12"/>
        <v>#DIV/0!</v>
      </c>
      <c r="S50" s="157"/>
      <c r="T50" s="40"/>
    </row>
    <row r="51" spans="1:20" s="84" customFormat="1" ht="24.95" hidden="1" customHeight="1">
      <c r="A51" s="3" t="s">
        <v>164</v>
      </c>
      <c r="B51" s="3" t="s">
        <v>386</v>
      </c>
      <c r="C51" s="3"/>
      <c r="D51" s="26" t="s">
        <v>165</v>
      </c>
      <c r="E51" s="63"/>
      <c r="F51" s="63"/>
      <c r="G51" s="63"/>
      <c r="H51" s="63"/>
      <c r="I51" s="63"/>
      <c r="J51" s="63"/>
      <c r="K51" s="63"/>
      <c r="L51" s="63"/>
      <c r="M51" s="63"/>
      <c r="N51" s="63"/>
      <c r="O51" s="63"/>
      <c r="P51" s="63"/>
      <c r="Q51" s="142">
        <f t="shared" si="11"/>
        <v>0</v>
      </c>
      <c r="R51" s="142" t="e">
        <f t="shared" si="12"/>
        <v>#DIV/0!</v>
      </c>
      <c r="S51" s="157"/>
      <c r="T51" s="40">
        <f t="shared" si="8"/>
        <v>0</v>
      </c>
    </row>
    <row r="52" spans="1:20" s="84" customFormat="1" ht="24.95" hidden="1" customHeight="1">
      <c r="A52" s="3" t="s">
        <v>166</v>
      </c>
      <c r="B52" s="3" t="s">
        <v>386</v>
      </c>
      <c r="C52" s="3"/>
      <c r="D52" s="26" t="s">
        <v>167</v>
      </c>
      <c r="E52" s="63"/>
      <c r="F52" s="63"/>
      <c r="G52" s="63"/>
      <c r="H52" s="63"/>
      <c r="I52" s="63"/>
      <c r="J52" s="63"/>
      <c r="K52" s="63"/>
      <c r="L52" s="63"/>
      <c r="M52" s="63"/>
      <c r="N52" s="63"/>
      <c r="O52" s="63"/>
      <c r="P52" s="63"/>
      <c r="Q52" s="142">
        <f t="shared" si="11"/>
        <v>0</v>
      </c>
      <c r="R52" s="142" t="e">
        <f t="shared" si="12"/>
        <v>#DIV/0!</v>
      </c>
      <c r="S52" s="157"/>
      <c r="T52" s="40">
        <f t="shared" si="8"/>
        <v>0</v>
      </c>
    </row>
    <row r="53" spans="1:20" s="84" customFormat="1" ht="24.95" hidden="1" customHeight="1">
      <c r="A53" s="3" t="s">
        <v>168</v>
      </c>
      <c r="B53" s="3" t="s">
        <v>386</v>
      </c>
      <c r="C53" s="3"/>
      <c r="D53" s="26" t="s">
        <v>169</v>
      </c>
      <c r="E53" s="63"/>
      <c r="F53" s="63"/>
      <c r="G53" s="63"/>
      <c r="H53" s="63"/>
      <c r="I53" s="63"/>
      <c r="J53" s="63"/>
      <c r="K53" s="63"/>
      <c r="L53" s="63"/>
      <c r="M53" s="63"/>
      <c r="N53" s="63"/>
      <c r="O53" s="63"/>
      <c r="P53" s="63"/>
      <c r="Q53" s="142">
        <f t="shared" si="11"/>
        <v>0</v>
      </c>
      <c r="R53" s="142" t="e">
        <f t="shared" si="12"/>
        <v>#DIV/0!</v>
      </c>
      <c r="S53" s="157"/>
      <c r="T53" s="40">
        <f t="shared" si="8"/>
        <v>0</v>
      </c>
    </row>
    <row r="54" spans="1:20" s="84" customFormat="1" ht="24.95" customHeight="1">
      <c r="A54" s="3" t="s">
        <v>170</v>
      </c>
      <c r="B54" s="3" t="s">
        <v>386</v>
      </c>
      <c r="C54" s="3"/>
      <c r="D54" s="26" t="s">
        <v>171</v>
      </c>
      <c r="E54" s="63"/>
      <c r="F54" s="63"/>
      <c r="G54" s="63"/>
      <c r="H54" s="63"/>
      <c r="I54" s="63"/>
      <c r="J54" s="63"/>
      <c r="K54" s="63"/>
      <c r="L54" s="63"/>
      <c r="M54" s="63"/>
      <c r="N54" s="63"/>
      <c r="O54" s="63"/>
      <c r="P54" s="63"/>
      <c r="Q54" s="142">
        <f t="shared" si="11"/>
        <v>0</v>
      </c>
      <c r="R54" s="142" t="e">
        <f t="shared" si="12"/>
        <v>#DIV/0!</v>
      </c>
      <c r="S54" s="157"/>
      <c r="T54" s="40">
        <f t="shared" si="8"/>
        <v>0</v>
      </c>
    </row>
    <row r="55" spans="1:20" s="84" customFormat="1" ht="24.95" hidden="1" customHeight="1">
      <c r="A55" s="3" t="s">
        <v>172</v>
      </c>
      <c r="B55" s="3" t="s">
        <v>386</v>
      </c>
      <c r="C55" s="3"/>
      <c r="D55" s="26" t="s">
        <v>173</v>
      </c>
      <c r="E55" s="63"/>
      <c r="F55" s="63"/>
      <c r="G55" s="63"/>
      <c r="H55" s="63"/>
      <c r="I55" s="63"/>
      <c r="J55" s="63"/>
      <c r="K55" s="63"/>
      <c r="L55" s="63"/>
      <c r="M55" s="63"/>
      <c r="N55" s="63"/>
      <c r="O55" s="63"/>
      <c r="P55" s="63"/>
      <c r="Q55" s="142">
        <f t="shared" si="11"/>
        <v>0</v>
      </c>
      <c r="R55" s="142" t="e">
        <f t="shared" si="12"/>
        <v>#DIV/0!</v>
      </c>
      <c r="S55" s="157"/>
      <c r="T55" s="40">
        <f t="shared" si="8"/>
        <v>0</v>
      </c>
    </row>
    <row r="56" spans="1:20" s="84" customFormat="1" ht="24.95" hidden="1" customHeight="1">
      <c r="A56" s="3" t="s">
        <v>174</v>
      </c>
      <c r="B56" s="3" t="s">
        <v>386</v>
      </c>
      <c r="C56" s="3"/>
      <c r="D56" s="26" t="s">
        <v>175</v>
      </c>
      <c r="E56" s="63"/>
      <c r="F56" s="63"/>
      <c r="G56" s="63"/>
      <c r="H56" s="63"/>
      <c r="I56" s="63"/>
      <c r="J56" s="63"/>
      <c r="K56" s="63"/>
      <c r="L56" s="63"/>
      <c r="M56" s="63"/>
      <c r="N56" s="63"/>
      <c r="O56" s="63"/>
      <c r="P56" s="63"/>
      <c r="Q56" s="142">
        <f t="shared" si="11"/>
        <v>0</v>
      </c>
      <c r="R56" s="142" t="e">
        <f t="shared" si="12"/>
        <v>#DIV/0!</v>
      </c>
      <c r="S56" s="157"/>
      <c r="T56" s="40">
        <f t="shared" si="8"/>
        <v>0</v>
      </c>
    </row>
    <row r="57" spans="1:20" s="84" customFormat="1" ht="24.95" hidden="1" customHeight="1">
      <c r="A57" s="3" t="s">
        <v>176</v>
      </c>
      <c r="B57" s="3" t="s">
        <v>386</v>
      </c>
      <c r="C57" s="3"/>
      <c r="D57" s="26" t="s">
        <v>177</v>
      </c>
      <c r="E57" s="63"/>
      <c r="F57" s="63"/>
      <c r="G57" s="63"/>
      <c r="H57" s="63"/>
      <c r="I57" s="63"/>
      <c r="J57" s="63"/>
      <c r="K57" s="63"/>
      <c r="L57" s="63"/>
      <c r="M57" s="63"/>
      <c r="N57" s="63"/>
      <c r="O57" s="63"/>
      <c r="P57" s="63"/>
      <c r="Q57" s="142">
        <f t="shared" si="11"/>
        <v>0</v>
      </c>
      <c r="R57" s="142" t="e">
        <f t="shared" si="12"/>
        <v>#DIV/0!</v>
      </c>
      <c r="S57" s="157"/>
      <c r="T57" s="40">
        <f t="shared" si="8"/>
        <v>0</v>
      </c>
    </row>
    <row r="58" spans="1:20" s="84" customFormat="1" ht="24.95" customHeight="1">
      <c r="A58" s="3" t="s">
        <v>178</v>
      </c>
      <c r="B58" s="3" t="s">
        <v>386</v>
      </c>
      <c r="C58" s="3"/>
      <c r="D58" s="26" t="s">
        <v>179</v>
      </c>
      <c r="E58" s="63"/>
      <c r="F58" s="63"/>
      <c r="G58" s="63"/>
      <c r="H58" s="63"/>
      <c r="I58" s="63"/>
      <c r="J58" s="63"/>
      <c r="K58" s="63"/>
      <c r="L58" s="63"/>
      <c r="M58" s="63"/>
      <c r="N58" s="63"/>
      <c r="O58" s="63"/>
      <c r="P58" s="63"/>
      <c r="Q58" s="142">
        <f t="shared" si="11"/>
        <v>0</v>
      </c>
      <c r="R58" s="142" t="e">
        <f t="shared" si="12"/>
        <v>#DIV/0!</v>
      </c>
      <c r="S58" s="157"/>
      <c r="T58" s="40">
        <f t="shared" si="8"/>
        <v>0</v>
      </c>
    </row>
    <row r="59" spans="1:20" s="84" customFormat="1" ht="24.95" hidden="1" customHeight="1">
      <c r="A59" s="3" t="s">
        <v>180</v>
      </c>
      <c r="B59" s="3" t="s">
        <v>386</v>
      </c>
      <c r="C59" s="3"/>
      <c r="D59" s="26" t="s">
        <v>181</v>
      </c>
      <c r="E59" s="63"/>
      <c r="F59" s="63"/>
      <c r="G59" s="63"/>
      <c r="H59" s="63"/>
      <c r="I59" s="63"/>
      <c r="J59" s="63"/>
      <c r="K59" s="63"/>
      <c r="L59" s="63"/>
      <c r="M59" s="63"/>
      <c r="N59" s="63"/>
      <c r="O59" s="63"/>
      <c r="P59" s="63"/>
      <c r="Q59" s="142">
        <f t="shared" si="11"/>
        <v>0</v>
      </c>
      <c r="R59" s="142" t="e">
        <f t="shared" si="12"/>
        <v>#DIV/0!</v>
      </c>
      <c r="S59" s="157"/>
      <c r="T59" s="40"/>
    </row>
    <row r="60" spans="1:20" s="84" customFormat="1" ht="24.95" hidden="1" customHeight="1">
      <c r="A60" s="3" t="s">
        <v>182</v>
      </c>
      <c r="B60" s="3" t="s">
        <v>386</v>
      </c>
      <c r="C60" s="3"/>
      <c r="D60" s="26" t="s">
        <v>183</v>
      </c>
      <c r="E60" s="63"/>
      <c r="F60" s="63"/>
      <c r="G60" s="63"/>
      <c r="H60" s="63"/>
      <c r="I60" s="63"/>
      <c r="J60" s="63"/>
      <c r="K60" s="63"/>
      <c r="L60" s="63"/>
      <c r="M60" s="63"/>
      <c r="N60" s="63"/>
      <c r="O60" s="63"/>
      <c r="P60" s="63"/>
      <c r="Q60" s="142">
        <f t="shared" si="11"/>
        <v>0</v>
      </c>
      <c r="R60" s="142" t="e">
        <f t="shared" si="12"/>
        <v>#DIV/0!</v>
      </c>
      <c r="S60" s="157"/>
      <c r="T60" s="40"/>
    </row>
    <row r="61" spans="1:20" s="84" customFormat="1" ht="24.95" customHeight="1">
      <c r="A61" s="3" t="s">
        <v>184</v>
      </c>
      <c r="B61" s="3" t="s">
        <v>386</v>
      </c>
      <c r="C61" s="3"/>
      <c r="D61" s="26" t="s">
        <v>185</v>
      </c>
      <c r="E61" s="63"/>
      <c r="F61" s="63"/>
      <c r="G61" s="63"/>
      <c r="H61" s="63"/>
      <c r="I61" s="63"/>
      <c r="J61" s="63"/>
      <c r="K61" s="63"/>
      <c r="L61" s="63"/>
      <c r="M61" s="63"/>
      <c r="N61" s="63"/>
      <c r="O61" s="63"/>
      <c r="P61" s="63"/>
      <c r="Q61" s="142">
        <f t="shared" si="11"/>
        <v>0</v>
      </c>
      <c r="R61" s="142" t="e">
        <f t="shared" si="12"/>
        <v>#DIV/0!</v>
      </c>
      <c r="S61" s="157"/>
      <c r="T61" s="40"/>
    </row>
    <row r="62" spans="1:20" s="84" customFormat="1" ht="24.95" customHeight="1">
      <c r="A62" s="3" t="s">
        <v>186</v>
      </c>
      <c r="B62" s="3" t="s">
        <v>386</v>
      </c>
      <c r="C62" s="3"/>
      <c r="D62" s="26" t="s">
        <v>187</v>
      </c>
      <c r="E62" s="63"/>
      <c r="F62" s="63"/>
      <c r="G62" s="63"/>
      <c r="H62" s="63"/>
      <c r="I62" s="63"/>
      <c r="J62" s="63"/>
      <c r="K62" s="63"/>
      <c r="L62" s="63"/>
      <c r="M62" s="63"/>
      <c r="N62" s="63"/>
      <c r="O62" s="63"/>
      <c r="P62" s="63"/>
      <c r="Q62" s="142">
        <f t="shared" si="11"/>
        <v>0</v>
      </c>
      <c r="R62" s="142" t="e">
        <f t="shared" si="12"/>
        <v>#DIV/0!</v>
      </c>
      <c r="S62" s="157"/>
      <c r="T62" s="40"/>
    </row>
    <row r="63" spans="1:20" s="84" customFormat="1" ht="24.95" customHeight="1">
      <c r="A63" s="3" t="s">
        <v>188</v>
      </c>
      <c r="B63" s="3" t="s">
        <v>386</v>
      </c>
      <c r="C63" s="3"/>
      <c r="D63" s="26" t="s">
        <v>189</v>
      </c>
      <c r="E63" s="63"/>
      <c r="F63" s="63"/>
      <c r="G63" s="63"/>
      <c r="H63" s="63"/>
      <c r="I63" s="63"/>
      <c r="J63" s="63"/>
      <c r="K63" s="63"/>
      <c r="L63" s="63"/>
      <c r="M63" s="63"/>
      <c r="N63" s="63"/>
      <c r="O63" s="63"/>
      <c r="P63" s="63"/>
      <c r="Q63" s="142">
        <f t="shared" si="11"/>
        <v>0</v>
      </c>
      <c r="R63" s="142" t="e">
        <f t="shared" si="12"/>
        <v>#DIV/0!</v>
      </c>
      <c r="S63" s="157"/>
      <c r="T63" s="40"/>
    </row>
    <row r="64" spans="1:20" s="84" customFormat="1" ht="24.95" customHeight="1">
      <c r="A64" s="3" t="s">
        <v>190</v>
      </c>
      <c r="B64" s="3" t="s">
        <v>386</v>
      </c>
      <c r="C64" s="3"/>
      <c r="D64" s="26" t="s">
        <v>191</v>
      </c>
      <c r="E64" s="63"/>
      <c r="F64" s="63"/>
      <c r="G64" s="63"/>
      <c r="H64" s="63"/>
      <c r="I64" s="63"/>
      <c r="J64" s="63"/>
      <c r="K64" s="63"/>
      <c r="L64" s="63"/>
      <c r="M64" s="63"/>
      <c r="N64" s="63"/>
      <c r="O64" s="63"/>
      <c r="P64" s="63"/>
      <c r="Q64" s="142">
        <f t="shared" si="11"/>
        <v>0</v>
      </c>
      <c r="R64" s="142" t="e">
        <f t="shared" si="12"/>
        <v>#DIV/0!</v>
      </c>
      <c r="S64" s="157"/>
      <c r="T64" s="40"/>
    </row>
    <row r="65" spans="1:20" s="84" customFormat="1" ht="24.95" customHeight="1">
      <c r="A65" s="3" t="s">
        <v>192</v>
      </c>
      <c r="B65" s="3" t="s">
        <v>386</v>
      </c>
      <c r="C65" s="3"/>
      <c r="D65" s="26" t="s">
        <v>193</v>
      </c>
      <c r="E65" s="63"/>
      <c r="F65" s="63"/>
      <c r="G65" s="63"/>
      <c r="H65" s="63"/>
      <c r="I65" s="63"/>
      <c r="J65" s="63"/>
      <c r="K65" s="63"/>
      <c r="L65" s="63"/>
      <c r="M65" s="63"/>
      <c r="N65" s="63"/>
      <c r="O65" s="63"/>
      <c r="P65" s="63"/>
      <c r="Q65" s="142">
        <f t="shared" si="11"/>
        <v>0</v>
      </c>
      <c r="R65" s="142" t="e">
        <f t="shared" si="12"/>
        <v>#DIV/0!</v>
      </c>
      <c r="S65" s="157"/>
      <c r="T65" s="40"/>
    </row>
    <row r="66" spans="1:20" s="84" customFormat="1" ht="24.95" customHeight="1">
      <c r="A66" s="3" t="s">
        <v>194</v>
      </c>
      <c r="B66" s="3" t="s">
        <v>386</v>
      </c>
      <c r="C66" s="3"/>
      <c r="D66" s="26" t="s">
        <v>195</v>
      </c>
      <c r="E66" s="63"/>
      <c r="F66" s="63"/>
      <c r="G66" s="63"/>
      <c r="H66" s="63"/>
      <c r="I66" s="63"/>
      <c r="J66" s="63"/>
      <c r="K66" s="63"/>
      <c r="L66" s="63"/>
      <c r="M66" s="63"/>
      <c r="N66" s="63"/>
      <c r="O66" s="63"/>
      <c r="P66" s="63"/>
      <c r="Q66" s="142">
        <f t="shared" si="11"/>
        <v>0</v>
      </c>
      <c r="R66" s="142" t="e">
        <f t="shared" si="12"/>
        <v>#DIV/0!</v>
      </c>
      <c r="S66" s="157"/>
      <c r="T66" s="40">
        <f t="shared" si="8"/>
        <v>0</v>
      </c>
    </row>
    <row r="67" spans="1:20" s="84" customFormat="1" ht="24.95" customHeight="1">
      <c r="A67" s="3" t="s">
        <v>196</v>
      </c>
      <c r="B67" s="3" t="s">
        <v>386</v>
      </c>
      <c r="C67" s="3"/>
      <c r="D67" s="26" t="s">
        <v>197</v>
      </c>
      <c r="E67" s="63"/>
      <c r="F67" s="63"/>
      <c r="G67" s="63"/>
      <c r="H67" s="63"/>
      <c r="I67" s="63"/>
      <c r="J67" s="63"/>
      <c r="K67" s="63"/>
      <c r="L67" s="63"/>
      <c r="M67" s="63"/>
      <c r="N67" s="63"/>
      <c r="O67" s="63"/>
      <c r="P67" s="63"/>
      <c r="Q67" s="142">
        <f t="shared" si="11"/>
        <v>0</v>
      </c>
      <c r="R67" s="142" t="e">
        <f t="shared" si="12"/>
        <v>#DIV/0!</v>
      </c>
      <c r="S67" s="157"/>
      <c r="T67" s="40">
        <f t="shared" si="8"/>
        <v>0</v>
      </c>
    </row>
    <row r="68" spans="1:20" s="84" customFormat="1" ht="24.95" hidden="1" customHeight="1">
      <c r="A68" s="3" t="s">
        <v>198</v>
      </c>
      <c r="B68" s="3" t="s">
        <v>386</v>
      </c>
      <c r="C68" s="3"/>
      <c r="D68" s="26" t="s">
        <v>199</v>
      </c>
      <c r="E68" s="63"/>
      <c r="F68" s="63"/>
      <c r="G68" s="63"/>
      <c r="H68" s="63"/>
      <c r="I68" s="63"/>
      <c r="J68" s="63"/>
      <c r="K68" s="63"/>
      <c r="L68" s="63"/>
      <c r="M68" s="63"/>
      <c r="N68" s="63"/>
      <c r="O68" s="63"/>
      <c r="P68" s="63"/>
      <c r="Q68" s="142">
        <f t="shared" si="11"/>
        <v>0</v>
      </c>
      <c r="R68" s="142" t="e">
        <f t="shared" si="12"/>
        <v>#DIV/0!</v>
      </c>
      <c r="S68" s="157"/>
      <c r="T68" s="40">
        <f t="shared" si="8"/>
        <v>0</v>
      </c>
    </row>
    <row r="69" spans="1:20" s="84" customFormat="1" ht="24.95" hidden="1" customHeight="1">
      <c r="A69" s="3" t="s">
        <v>200</v>
      </c>
      <c r="B69" s="3" t="s">
        <v>386</v>
      </c>
      <c r="C69" s="3"/>
      <c r="D69" s="26" t="s">
        <v>201</v>
      </c>
      <c r="E69" s="63"/>
      <c r="F69" s="63"/>
      <c r="G69" s="63"/>
      <c r="H69" s="63"/>
      <c r="I69" s="63"/>
      <c r="J69" s="63"/>
      <c r="K69" s="63"/>
      <c r="L69" s="63"/>
      <c r="M69" s="63"/>
      <c r="N69" s="63"/>
      <c r="O69" s="63"/>
      <c r="P69" s="63"/>
      <c r="Q69" s="142">
        <f t="shared" si="11"/>
        <v>0</v>
      </c>
      <c r="R69" s="142" t="e">
        <f t="shared" si="12"/>
        <v>#DIV/0!</v>
      </c>
      <c r="S69" s="157"/>
      <c r="T69" s="40">
        <f t="shared" si="8"/>
        <v>0</v>
      </c>
    </row>
    <row r="70" spans="1:20" s="84" customFormat="1" ht="24.95" customHeight="1">
      <c r="A70" s="3" t="s">
        <v>202</v>
      </c>
      <c r="B70" s="3" t="s">
        <v>386</v>
      </c>
      <c r="C70" s="3"/>
      <c r="D70" s="26" t="s">
        <v>203</v>
      </c>
      <c r="E70" s="63"/>
      <c r="F70" s="63"/>
      <c r="G70" s="63"/>
      <c r="H70" s="63"/>
      <c r="I70" s="63"/>
      <c r="J70" s="63"/>
      <c r="K70" s="63"/>
      <c r="L70" s="63"/>
      <c r="M70" s="63"/>
      <c r="N70" s="63"/>
      <c r="O70" s="63"/>
      <c r="P70" s="63"/>
      <c r="Q70" s="142">
        <f t="shared" si="11"/>
        <v>0</v>
      </c>
      <c r="R70" s="142" t="e">
        <f t="shared" si="12"/>
        <v>#DIV/0!</v>
      </c>
      <c r="S70" s="157"/>
      <c r="T70" s="40">
        <f t="shared" si="8"/>
        <v>0</v>
      </c>
    </row>
    <row r="71" spans="1:20" s="84" customFormat="1" ht="24.95" customHeight="1">
      <c r="A71" s="3" t="s">
        <v>204</v>
      </c>
      <c r="B71" s="3" t="s">
        <v>386</v>
      </c>
      <c r="C71" s="3"/>
      <c r="D71" s="26" t="s">
        <v>205</v>
      </c>
      <c r="E71" s="63"/>
      <c r="F71" s="63"/>
      <c r="G71" s="63"/>
      <c r="H71" s="63"/>
      <c r="I71" s="63"/>
      <c r="J71" s="63"/>
      <c r="K71" s="63"/>
      <c r="L71" s="63"/>
      <c r="M71" s="63"/>
      <c r="N71" s="63"/>
      <c r="O71" s="63"/>
      <c r="P71" s="63"/>
      <c r="Q71" s="142">
        <f t="shared" si="11"/>
        <v>0</v>
      </c>
      <c r="R71" s="142" t="e">
        <f t="shared" si="12"/>
        <v>#DIV/0!</v>
      </c>
      <c r="S71" s="157"/>
      <c r="T71" s="40"/>
    </row>
    <row r="72" spans="1:20" s="84" customFormat="1" ht="24.95" hidden="1" customHeight="1">
      <c r="A72" s="3" t="s">
        <v>206</v>
      </c>
      <c r="B72" s="3" t="s">
        <v>386</v>
      </c>
      <c r="C72" s="3"/>
      <c r="D72" s="26" t="s">
        <v>207</v>
      </c>
      <c r="E72" s="63"/>
      <c r="F72" s="63"/>
      <c r="G72" s="63"/>
      <c r="H72" s="63"/>
      <c r="I72" s="63"/>
      <c r="J72" s="63"/>
      <c r="K72" s="63"/>
      <c r="L72" s="63"/>
      <c r="M72" s="63"/>
      <c r="N72" s="63"/>
      <c r="O72" s="63"/>
      <c r="P72" s="63"/>
      <c r="Q72" s="142">
        <f t="shared" si="11"/>
        <v>0</v>
      </c>
      <c r="R72" s="142" t="e">
        <f t="shared" si="12"/>
        <v>#DIV/0!</v>
      </c>
      <c r="S72" s="157"/>
      <c r="T72" s="40">
        <f t="shared" si="8"/>
        <v>0</v>
      </c>
    </row>
    <row r="73" spans="1:20" s="84" customFormat="1" ht="24.95" hidden="1" customHeight="1">
      <c r="A73" s="3" t="s">
        <v>208</v>
      </c>
      <c r="B73" s="3" t="s">
        <v>386</v>
      </c>
      <c r="C73" s="3"/>
      <c r="D73" s="26" t="s">
        <v>209</v>
      </c>
      <c r="E73" s="63"/>
      <c r="F73" s="63"/>
      <c r="G73" s="63"/>
      <c r="H73" s="63"/>
      <c r="I73" s="63"/>
      <c r="J73" s="63"/>
      <c r="K73" s="63"/>
      <c r="L73" s="63"/>
      <c r="M73" s="63"/>
      <c r="N73" s="63"/>
      <c r="O73" s="63"/>
      <c r="P73" s="63"/>
      <c r="Q73" s="142">
        <f t="shared" si="11"/>
        <v>0</v>
      </c>
      <c r="R73" s="142" t="e">
        <f t="shared" si="12"/>
        <v>#DIV/0!</v>
      </c>
      <c r="S73" s="157"/>
      <c r="T73" s="40">
        <f t="shared" si="8"/>
        <v>0</v>
      </c>
    </row>
    <row r="74" spans="1:20" s="84" customFormat="1" ht="24.95" hidden="1" customHeight="1">
      <c r="A74" s="3" t="s">
        <v>210</v>
      </c>
      <c r="B74" s="3" t="s">
        <v>386</v>
      </c>
      <c r="C74" s="3"/>
      <c r="D74" s="26" t="s">
        <v>211</v>
      </c>
      <c r="E74" s="63"/>
      <c r="F74" s="63"/>
      <c r="G74" s="63"/>
      <c r="H74" s="63"/>
      <c r="I74" s="63"/>
      <c r="J74" s="63"/>
      <c r="K74" s="63"/>
      <c r="L74" s="63"/>
      <c r="M74" s="63"/>
      <c r="N74" s="63"/>
      <c r="O74" s="63"/>
      <c r="P74" s="63"/>
      <c r="Q74" s="142">
        <f t="shared" si="11"/>
        <v>0</v>
      </c>
      <c r="R74" s="142" t="e">
        <f t="shared" si="12"/>
        <v>#DIV/0!</v>
      </c>
      <c r="S74" s="157"/>
      <c r="T74" s="40">
        <f t="shared" si="8"/>
        <v>0</v>
      </c>
    </row>
    <row r="75" spans="1:20" s="84" customFormat="1" ht="24.95" hidden="1" customHeight="1">
      <c r="A75" s="3" t="s">
        <v>212</v>
      </c>
      <c r="B75" s="3" t="s">
        <v>386</v>
      </c>
      <c r="C75" s="3"/>
      <c r="D75" s="26" t="s">
        <v>213</v>
      </c>
      <c r="E75" s="63"/>
      <c r="F75" s="63"/>
      <c r="G75" s="63"/>
      <c r="H75" s="63"/>
      <c r="I75" s="63"/>
      <c r="J75" s="63"/>
      <c r="K75" s="63"/>
      <c r="L75" s="63"/>
      <c r="M75" s="63"/>
      <c r="N75" s="63"/>
      <c r="O75" s="63"/>
      <c r="P75" s="63"/>
      <c r="Q75" s="142">
        <f t="shared" si="11"/>
        <v>0</v>
      </c>
      <c r="R75" s="142" t="e">
        <f t="shared" si="12"/>
        <v>#DIV/0!</v>
      </c>
      <c r="S75" s="157"/>
      <c r="T75" s="40">
        <f t="shared" si="8"/>
        <v>0</v>
      </c>
    </row>
    <row r="76" spans="1:20" s="84" customFormat="1" ht="24.95" hidden="1" customHeight="1">
      <c r="A76" s="3" t="s">
        <v>214</v>
      </c>
      <c r="B76" s="3" t="s">
        <v>386</v>
      </c>
      <c r="C76" s="3"/>
      <c r="D76" s="26" t="s">
        <v>215</v>
      </c>
      <c r="E76" s="63"/>
      <c r="F76" s="63"/>
      <c r="G76" s="63"/>
      <c r="H76" s="63"/>
      <c r="I76" s="63"/>
      <c r="J76" s="63"/>
      <c r="K76" s="63"/>
      <c r="L76" s="63"/>
      <c r="M76" s="63"/>
      <c r="N76" s="63"/>
      <c r="O76" s="63"/>
      <c r="P76" s="63"/>
      <c r="Q76" s="142">
        <f t="shared" si="11"/>
        <v>0</v>
      </c>
      <c r="R76" s="142" t="e">
        <f t="shared" si="12"/>
        <v>#DIV/0!</v>
      </c>
      <c r="S76" s="157"/>
      <c r="T76" s="40">
        <f t="shared" si="8"/>
        <v>0</v>
      </c>
    </row>
    <row r="77" spans="1:20" s="84" customFormat="1" ht="24.95" hidden="1" customHeight="1">
      <c r="A77" s="3" t="s">
        <v>216</v>
      </c>
      <c r="B77" s="3" t="s">
        <v>386</v>
      </c>
      <c r="C77" s="3"/>
      <c r="D77" s="26" t="s">
        <v>217</v>
      </c>
      <c r="E77" s="63"/>
      <c r="F77" s="63"/>
      <c r="G77" s="63"/>
      <c r="H77" s="63"/>
      <c r="I77" s="63"/>
      <c r="J77" s="63"/>
      <c r="K77" s="63"/>
      <c r="L77" s="63"/>
      <c r="M77" s="63"/>
      <c r="N77" s="63"/>
      <c r="O77" s="63"/>
      <c r="P77" s="63"/>
      <c r="Q77" s="142">
        <f t="shared" si="11"/>
        <v>0</v>
      </c>
      <c r="R77" s="142" t="e">
        <f t="shared" si="12"/>
        <v>#DIV/0!</v>
      </c>
      <c r="S77" s="157"/>
      <c r="T77" s="40">
        <f t="shared" si="8"/>
        <v>0</v>
      </c>
    </row>
    <row r="78" spans="1:20" s="84" customFormat="1" ht="24.95" hidden="1" customHeight="1">
      <c r="A78" s="3" t="s">
        <v>218</v>
      </c>
      <c r="B78" s="3" t="s">
        <v>386</v>
      </c>
      <c r="C78" s="3"/>
      <c r="D78" s="26" t="s">
        <v>219</v>
      </c>
      <c r="E78" s="63"/>
      <c r="F78" s="63"/>
      <c r="G78" s="63"/>
      <c r="H78" s="63"/>
      <c r="I78" s="63"/>
      <c r="J78" s="63"/>
      <c r="K78" s="63"/>
      <c r="L78" s="63"/>
      <c r="M78" s="63"/>
      <c r="N78" s="63"/>
      <c r="O78" s="63"/>
      <c r="P78" s="63"/>
      <c r="Q78" s="142">
        <f t="shared" si="11"/>
        <v>0</v>
      </c>
      <c r="R78" s="142" t="e">
        <f t="shared" si="12"/>
        <v>#DIV/0!</v>
      </c>
      <c r="S78" s="157"/>
      <c r="T78" s="40">
        <f t="shared" si="8"/>
        <v>0</v>
      </c>
    </row>
    <row r="79" spans="1:20" s="84" customFormat="1" ht="24.95" hidden="1" customHeight="1">
      <c r="A79" s="3" t="s">
        <v>220</v>
      </c>
      <c r="B79" s="3" t="s">
        <v>386</v>
      </c>
      <c r="C79" s="3"/>
      <c r="D79" s="26" t="s">
        <v>221</v>
      </c>
      <c r="E79" s="63"/>
      <c r="F79" s="63"/>
      <c r="G79" s="63"/>
      <c r="H79" s="63"/>
      <c r="I79" s="63"/>
      <c r="J79" s="63"/>
      <c r="K79" s="63"/>
      <c r="L79" s="63"/>
      <c r="M79" s="63"/>
      <c r="N79" s="63"/>
      <c r="O79" s="63"/>
      <c r="P79" s="63"/>
      <c r="Q79" s="142">
        <f t="shared" si="11"/>
        <v>0</v>
      </c>
      <c r="R79" s="142" t="e">
        <f t="shared" si="12"/>
        <v>#DIV/0!</v>
      </c>
      <c r="S79" s="157"/>
      <c r="T79" s="40">
        <f t="shared" si="8"/>
        <v>0</v>
      </c>
    </row>
    <row r="80" spans="1:20" s="84" customFormat="1" ht="24.95" hidden="1" customHeight="1">
      <c r="A80" s="3" t="s">
        <v>222</v>
      </c>
      <c r="B80" s="3" t="s">
        <v>386</v>
      </c>
      <c r="C80" s="3"/>
      <c r="D80" s="26" t="s">
        <v>223</v>
      </c>
      <c r="E80" s="63"/>
      <c r="F80" s="63"/>
      <c r="G80" s="63"/>
      <c r="H80" s="63"/>
      <c r="I80" s="63"/>
      <c r="J80" s="63"/>
      <c r="K80" s="63"/>
      <c r="L80" s="63"/>
      <c r="M80" s="63"/>
      <c r="N80" s="63"/>
      <c r="O80" s="63"/>
      <c r="P80" s="63"/>
      <c r="Q80" s="142">
        <f t="shared" si="11"/>
        <v>0</v>
      </c>
      <c r="R80" s="142" t="e">
        <f t="shared" si="12"/>
        <v>#DIV/0!</v>
      </c>
      <c r="S80" s="157"/>
      <c r="T80" s="40">
        <f t="shared" si="8"/>
        <v>0</v>
      </c>
    </row>
    <row r="81" spans="1:20" s="84" customFormat="1" ht="24.95" hidden="1" customHeight="1">
      <c r="A81" s="3" t="s">
        <v>224</v>
      </c>
      <c r="B81" s="3" t="s">
        <v>386</v>
      </c>
      <c r="C81" s="3"/>
      <c r="D81" s="26" t="s">
        <v>225</v>
      </c>
      <c r="E81" s="63"/>
      <c r="F81" s="63"/>
      <c r="G81" s="63"/>
      <c r="H81" s="63"/>
      <c r="I81" s="63"/>
      <c r="J81" s="63"/>
      <c r="K81" s="63"/>
      <c r="L81" s="63"/>
      <c r="M81" s="63"/>
      <c r="N81" s="63"/>
      <c r="O81" s="63"/>
      <c r="P81" s="63"/>
      <c r="Q81" s="142">
        <f t="shared" si="11"/>
        <v>0</v>
      </c>
      <c r="R81" s="142" t="e">
        <f t="shared" si="12"/>
        <v>#DIV/0!</v>
      </c>
      <c r="S81" s="157"/>
      <c r="T81" s="40">
        <f t="shared" si="8"/>
        <v>0</v>
      </c>
    </row>
    <row r="82" spans="1:20" s="84" customFormat="1" ht="24.95" hidden="1" customHeight="1">
      <c r="A82" s="3" t="s">
        <v>226</v>
      </c>
      <c r="B82" s="3" t="s">
        <v>386</v>
      </c>
      <c r="C82" s="3"/>
      <c r="D82" s="26" t="s">
        <v>227</v>
      </c>
      <c r="E82" s="63"/>
      <c r="F82" s="63"/>
      <c r="G82" s="63"/>
      <c r="H82" s="63"/>
      <c r="I82" s="63"/>
      <c r="J82" s="63"/>
      <c r="K82" s="63"/>
      <c r="L82" s="63"/>
      <c r="M82" s="63"/>
      <c r="N82" s="63"/>
      <c r="O82" s="63"/>
      <c r="P82" s="63"/>
      <c r="Q82" s="142">
        <f t="shared" si="11"/>
        <v>0</v>
      </c>
      <c r="R82" s="142" t="e">
        <f t="shared" si="12"/>
        <v>#DIV/0!</v>
      </c>
      <c r="S82" s="157"/>
      <c r="T82" s="40">
        <f t="shared" si="8"/>
        <v>0</v>
      </c>
    </row>
    <row r="83" spans="1:20" s="84" customFormat="1" ht="24.95" hidden="1" customHeight="1">
      <c r="A83" s="3" t="s">
        <v>228</v>
      </c>
      <c r="B83" s="3" t="s">
        <v>386</v>
      </c>
      <c r="C83" s="3"/>
      <c r="D83" s="26" t="s">
        <v>229</v>
      </c>
      <c r="E83" s="63"/>
      <c r="F83" s="63"/>
      <c r="G83" s="63"/>
      <c r="H83" s="63"/>
      <c r="I83" s="63"/>
      <c r="J83" s="63"/>
      <c r="K83" s="63"/>
      <c r="L83" s="63"/>
      <c r="M83" s="63"/>
      <c r="N83" s="63"/>
      <c r="O83" s="63"/>
      <c r="P83" s="63"/>
      <c r="Q83" s="142">
        <f t="shared" si="11"/>
        <v>0</v>
      </c>
      <c r="R83" s="142" t="e">
        <f t="shared" si="12"/>
        <v>#DIV/0!</v>
      </c>
      <c r="S83" s="157"/>
      <c r="T83" s="40">
        <f t="shared" si="8"/>
        <v>0</v>
      </c>
    </row>
    <row r="84" spans="1:20" s="84" customFormat="1" ht="24.95" hidden="1" customHeight="1">
      <c r="A84" s="3" t="s">
        <v>230</v>
      </c>
      <c r="B84" s="3" t="s">
        <v>386</v>
      </c>
      <c r="C84" s="3"/>
      <c r="D84" s="26" t="s">
        <v>231</v>
      </c>
      <c r="E84" s="63"/>
      <c r="F84" s="63"/>
      <c r="G84" s="63"/>
      <c r="H84" s="63"/>
      <c r="I84" s="63"/>
      <c r="J84" s="63"/>
      <c r="K84" s="63"/>
      <c r="L84" s="63"/>
      <c r="M84" s="63"/>
      <c r="N84" s="63"/>
      <c r="O84" s="63"/>
      <c r="P84" s="63"/>
      <c r="Q84" s="142">
        <f t="shared" si="11"/>
        <v>0</v>
      </c>
      <c r="R84" s="142" t="e">
        <f t="shared" si="12"/>
        <v>#DIV/0!</v>
      </c>
      <c r="S84" s="157"/>
      <c r="T84" s="40">
        <f t="shared" si="8"/>
        <v>0</v>
      </c>
    </row>
    <row r="85" spans="1:20" s="84" customFormat="1" ht="24.95" hidden="1" customHeight="1">
      <c r="A85" s="3" t="s">
        <v>232</v>
      </c>
      <c r="B85" s="3" t="s">
        <v>386</v>
      </c>
      <c r="C85" s="3"/>
      <c r="D85" s="26" t="s">
        <v>233</v>
      </c>
      <c r="E85" s="63"/>
      <c r="F85" s="63"/>
      <c r="G85" s="63"/>
      <c r="H85" s="63"/>
      <c r="I85" s="63"/>
      <c r="J85" s="63"/>
      <c r="K85" s="63"/>
      <c r="L85" s="63"/>
      <c r="M85" s="63"/>
      <c r="N85" s="63"/>
      <c r="O85" s="63"/>
      <c r="P85" s="63"/>
      <c r="Q85" s="142">
        <f t="shared" si="11"/>
        <v>0</v>
      </c>
      <c r="R85" s="142" t="e">
        <f t="shared" si="12"/>
        <v>#DIV/0!</v>
      </c>
      <c r="S85" s="157"/>
      <c r="T85" s="40">
        <f t="shared" si="8"/>
        <v>0</v>
      </c>
    </row>
    <row r="86" spans="1:20" s="84" customFormat="1" ht="24.95" hidden="1" customHeight="1">
      <c r="A86" s="3" t="s">
        <v>434</v>
      </c>
      <c r="B86" s="3" t="s">
        <v>386</v>
      </c>
      <c r="C86" s="3"/>
      <c r="D86" s="26" t="s">
        <v>435</v>
      </c>
      <c r="E86" s="63"/>
      <c r="F86" s="63"/>
      <c r="G86" s="63"/>
      <c r="H86" s="63"/>
      <c r="I86" s="63"/>
      <c r="J86" s="63"/>
      <c r="K86" s="63"/>
      <c r="L86" s="63"/>
      <c r="M86" s="63"/>
      <c r="N86" s="63"/>
      <c r="O86" s="63"/>
      <c r="P86" s="63"/>
      <c r="Q86" s="142">
        <f t="shared" si="11"/>
        <v>0</v>
      </c>
      <c r="R86" s="142" t="e">
        <f t="shared" si="12"/>
        <v>#DIV/0!</v>
      </c>
      <c r="S86" s="157"/>
      <c r="T86" s="40">
        <f t="shared" si="8"/>
        <v>0</v>
      </c>
    </row>
    <row r="87" spans="1:20" s="84" customFormat="1" ht="24.95" hidden="1" customHeight="1">
      <c r="A87" s="3" t="s">
        <v>234</v>
      </c>
      <c r="B87" s="3" t="s">
        <v>386</v>
      </c>
      <c r="C87" s="3"/>
      <c r="D87" s="26" t="s">
        <v>235</v>
      </c>
      <c r="E87" s="63"/>
      <c r="F87" s="63"/>
      <c r="G87" s="63"/>
      <c r="H87" s="63"/>
      <c r="I87" s="63"/>
      <c r="J87" s="63"/>
      <c r="K87" s="63"/>
      <c r="L87" s="63"/>
      <c r="M87" s="63"/>
      <c r="N87" s="63"/>
      <c r="O87" s="63"/>
      <c r="P87" s="63"/>
      <c r="Q87" s="142">
        <f t="shared" si="11"/>
        <v>0</v>
      </c>
      <c r="R87" s="142" t="e">
        <f t="shared" si="12"/>
        <v>#DIV/0!</v>
      </c>
      <c r="S87" s="157"/>
      <c r="T87" s="40">
        <f t="shared" si="8"/>
        <v>0</v>
      </c>
    </row>
    <row r="88" spans="1:20" s="84" customFormat="1" ht="24.95" hidden="1" customHeight="1">
      <c r="A88" s="3" t="s">
        <v>236</v>
      </c>
      <c r="B88" s="3" t="s">
        <v>386</v>
      </c>
      <c r="C88" s="3"/>
      <c r="D88" s="26" t="s">
        <v>237</v>
      </c>
      <c r="E88" s="63"/>
      <c r="F88" s="63"/>
      <c r="G88" s="63"/>
      <c r="H88" s="63"/>
      <c r="I88" s="63"/>
      <c r="J88" s="63"/>
      <c r="K88" s="63"/>
      <c r="L88" s="63"/>
      <c r="M88" s="63"/>
      <c r="N88" s="63"/>
      <c r="O88" s="63"/>
      <c r="P88" s="63"/>
      <c r="Q88" s="142">
        <f t="shared" si="11"/>
        <v>0</v>
      </c>
      <c r="R88" s="142" t="e">
        <f t="shared" si="12"/>
        <v>#DIV/0!</v>
      </c>
      <c r="S88" s="157"/>
      <c r="T88" s="40">
        <f t="shared" si="8"/>
        <v>0</v>
      </c>
    </row>
    <row r="89" spans="1:20" s="84" customFormat="1" ht="24.95" hidden="1" customHeight="1">
      <c r="A89" s="3" t="s">
        <v>238</v>
      </c>
      <c r="B89" s="3" t="s">
        <v>386</v>
      </c>
      <c r="C89" s="3"/>
      <c r="D89" s="26" t="s">
        <v>239</v>
      </c>
      <c r="E89" s="63"/>
      <c r="F89" s="63"/>
      <c r="G89" s="63"/>
      <c r="H89" s="63"/>
      <c r="I89" s="63"/>
      <c r="J89" s="63"/>
      <c r="K89" s="63"/>
      <c r="L89" s="63"/>
      <c r="M89" s="63"/>
      <c r="N89" s="63"/>
      <c r="O89" s="63"/>
      <c r="P89" s="63"/>
      <c r="Q89" s="142">
        <f t="shared" si="11"/>
        <v>0</v>
      </c>
      <c r="R89" s="142" t="e">
        <f t="shared" si="12"/>
        <v>#DIV/0!</v>
      </c>
      <c r="S89" s="157"/>
      <c r="T89" s="40">
        <f t="shared" si="8"/>
        <v>0</v>
      </c>
    </row>
    <row r="90" spans="1:20" s="84" customFormat="1" ht="24.95" hidden="1" customHeight="1">
      <c r="A90" s="3" t="s">
        <v>240</v>
      </c>
      <c r="B90" s="3" t="s">
        <v>386</v>
      </c>
      <c r="C90" s="3"/>
      <c r="D90" s="26" t="s">
        <v>241</v>
      </c>
      <c r="E90" s="63"/>
      <c r="F90" s="63"/>
      <c r="G90" s="63"/>
      <c r="H90" s="63"/>
      <c r="I90" s="63"/>
      <c r="J90" s="63"/>
      <c r="K90" s="63"/>
      <c r="L90" s="63"/>
      <c r="M90" s="63"/>
      <c r="N90" s="63"/>
      <c r="O90" s="63"/>
      <c r="P90" s="63"/>
      <c r="Q90" s="142">
        <f t="shared" si="11"/>
        <v>0</v>
      </c>
      <c r="R90" s="142" t="e">
        <f t="shared" si="12"/>
        <v>#DIV/0!</v>
      </c>
      <c r="S90" s="157"/>
      <c r="T90" s="40">
        <f t="shared" si="8"/>
        <v>0</v>
      </c>
    </row>
    <row r="91" spans="1:20" s="84" customFormat="1" ht="24.95" hidden="1" customHeight="1">
      <c r="A91" s="3" t="s">
        <v>242</v>
      </c>
      <c r="B91" s="3" t="s">
        <v>386</v>
      </c>
      <c r="C91" s="3"/>
      <c r="D91" s="26" t="s">
        <v>243</v>
      </c>
      <c r="E91" s="63"/>
      <c r="F91" s="63"/>
      <c r="G91" s="63"/>
      <c r="H91" s="63"/>
      <c r="I91" s="63"/>
      <c r="J91" s="63"/>
      <c r="K91" s="63"/>
      <c r="L91" s="63"/>
      <c r="M91" s="63"/>
      <c r="N91" s="63"/>
      <c r="O91" s="63"/>
      <c r="P91" s="63"/>
      <c r="Q91" s="142">
        <f t="shared" si="11"/>
        <v>0</v>
      </c>
      <c r="R91" s="142" t="e">
        <f t="shared" si="12"/>
        <v>#DIV/0!</v>
      </c>
      <c r="S91" s="157"/>
      <c r="T91" s="40">
        <f t="shared" si="8"/>
        <v>0</v>
      </c>
    </row>
    <row r="92" spans="1:20" s="84" customFormat="1" ht="24.95" hidden="1" customHeight="1">
      <c r="A92" s="3" t="s">
        <v>244</v>
      </c>
      <c r="B92" s="3" t="s">
        <v>386</v>
      </c>
      <c r="C92" s="3"/>
      <c r="D92" s="26" t="s">
        <v>245</v>
      </c>
      <c r="E92" s="63"/>
      <c r="F92" s="63"/>
      <c r="G92" s="63"/>
      <c r="H92" s="63"/>
      <c r="I92" s="63"/>
      <c r="J92" s="63"/>
      <c r="K92" s="63"/>
      <c r="L92" s="63"/>
      <c r="M92" s="63"/>
      <c r="N92" s="63"/>
      <c r="O92" s="63"/>
      <c r="P92" s="63"/>
      <c r="Q92" s="142">
        <f t="shared" si="11"/>
        <v>0</v>
      </c>
      <c r="R92" s="142" t="e">
        <f t="shared" si="12"/>
        <v>#DIV/0!</v>
      </c>
      <c r="S92" s="157"/>
      <c r="T92" s="40">
        <f t="shared" si="8"/>
        <v>0</v>
      </c>
    </row>
    <row r="93" spans="1:20" s="84" customFormat="1" ht="24.95" hidden="1" customHeight="1">
      <c r="A93" s="3" t="s">
        <v>246</v>
      </c>
      <c r="B93" s="3" t="s">
        <v>386</v>
      </c>
      <c r="C93" s="3"/>
      <c r="D93" s="26" t="s">
        <v>247</v>
      </c>
      <c r="E93" s="63"/>
      <c r="F93" s="63"/>
      <c r="G93" s="63"/>
      <c r="H93" s="63"/>
      <c r="I93" s="63"/>
      <c r="J93" s="63"/>
      <c r="K93" s="63"/>
      <c r="L93" s="63"/>
      <c r="M93" s="63"/>
      <c r="N93" s="63"/>
      <c r="O93" s="63"/>
      <c r="P93" s="63"/>
      <c r="Q93" s="142">
        <f t="shared" si="11"/>
        <v>0</v>
      </c>
      <c r="R93" s="142" t="e">
        <f t="shared" si="12"/>
        <v>#DIV/0!</v>
      </c>
      <c r="S93" s="157"/>
      <c r="T93" s="40">
        <f t="shared" si="8"/>
        <v>0</v>
      </c>
    </row>
    <row r="94" spans="1:20" s="84" customFormat="1" ht="24.95" customHeight="1">
      <c r="A94" s="3" t="s">
        <v>248</v>
      </c>
      <c r="B94" s="3" t="s">
        <v>386</v>
      </c>
      <c r="C94" s="3"/>
      <c r="D94" s="26" t="s">
        <v>249</v>
      </c>
      <c r="E94" s="63"/>
      <c r="F94" s="63"/>
      <c r="G94" s="63"/>
      <c r="H94" s="63"/>
      <c r="I94" s="63"/>
      <c r="J94" s="63"/>
      <c r="K94" s="63"/>
      <c r="L94" s="63"/>
      <c r="M94" s="63"/>
      <c r="N94" s="63"/>
      <c r="O94" s="63"/>
      <c r="P94" s="63"/>
      <c r="Q94" s="142">
        <f t="shared" si="11"/>
        <v>0</v>
      </c>
      <c r="R94" s="142" t="e">
        <f t="shared" si="12"/>
        <v>#DIV/0!</v>
      </c>
      <c r="S94" s="157"/>
      <c r="T94" s="40">
        <f t="shared" si="8"/>
        <v>0</v>
      </c>
    </row>
    <row r="95" spans="1:20" s="84" customFormat="1" ht="24.95" customHeight="1">
      <c r="A95" s="3" t="s">
        <v>250</v>
      </c>
      <c r="B95" s="3" t="s">
        <v>386</v>
      </c>
      <c r="C95" s="3"/>
      <c r="D95" s="26" t="s">
        <v>251</v>
      </c>
      <c r="E95" s="27"/>
      <c r="F95" s="27"/>
      <c r="G95" s="27"/>
      <c r="H95" s="27"/>
      <c r="I95" s="27"/>
      <c r="J95" s="27"/>
      <c r="K95" s="27"/>
      <c r="L95" s="27"/>
      <c r="M95" s="27"/>
      <c r="N95" s="27"/>
      <c r="O95" s="27"/>
      <c r="P95" s="27"/>
      <c r="Q95" s="142">
        <f t="shared" si="11"/>
        <v>0</v>
      </c>
      <c r="R95" s="142" t="e">
        <f t="shared" si="12"/>
        <v>#DIV/0!</v>
      </c>
      <c r="S95" s="157"/>
      <c r="T95" s="40">
        <f t="shared" si="8"/>
        <v>0</v>
      </c>
    </row>
    <row r="96" spans="1:20" s="84" customFormat="1" ht="24.95" customHeight="1">
      <c r="A96" s="3" t="s">
        <v>252</v>
      </c>
      <c r="B96" s="3" t="s">
        <v>386</v>
      </c>
      <c r="C96" s="3"/>
      <c r="D96" s="26" t="s">
        <v>253</v>
      </c>
      <c r="E96" s="63"/>
      <c r="F96" s="63"/>
      <c r="G96" s="63"/>
      <c r="H96" s="63"/>
      <c r="I96" s="63"/>
      <c r="J96" s="63"/>
      <c r="K96" s="63"/>
      <c r="L96" s="63"/>
      <c r="M96" s="63"/>
      <c r="N96" s="63"/>
      <c r="O96" s="63"/>
      <c r="P96" s="63"/>
      <c r="Q96" s="142">
        <f t="shared" si="11"/>
        <v>0</v>
      </c>
      <c r="R96" s="142" t="e">
        <f t="shared" si="12"/>
        <v>#DIV/0!</v>
      </c>
      <c r="S96" s="157"/>
      <c r="T96" s="40">
        <f t="shared" ref="T96:T108" si="13">-IF(Q96-S96=0,0,(Q96-S96)/S96)</f>
        <v>0</v>
      </c>
    </row>
    <row r="97" spans="1:20" s="84" customFormat="1" ht="24.95" customHeight="1">
      <c r="A97" s="3" t="s">
        <v>254</v>
      </c>
      <c r="B97" s="3" t="s">
        <v>386</v>
      </c>
      <c r="C97" s="3"/>
      <c r="D97" s="26" t="s">
        <v>255</v>
      </c>
      <c r="E97" s="63"/>
      <c r="F97" s="63"/>
      <c r="G97" s="63"/>
      <c r="H97" s="63"/>
      <c r="I97" s="63"/>
      <c r="J97" s="63"/>
      <c r="K97" s="63"/>
      <c r="L97" s="63"/>
      <c r="M97" s="63"/>
      <c r="N97" s="63"/>
      <c r="O97" s="63"/>
      <c r="P97" s="63"/>
      <c r="Q97" s="142">
        <f t="shared" si="11"/>
        <v>0</v>
      </c>
      <c r="R97" s="142" t="e">
        <f t="shared" si="12"/>
        <v>#DIV/0!</v>
      </c>
      <c r="S97" s="157"/>
      <c r="T97" s="40">
        <f t="shared" si="13"/>
        <v>0</v>
      </c>
    </row>
    <row r="98" spans="1:20" s="84" customFormat="1" ht="24.95" hidden="1" customHeight="1">
      <c r="A98" s="3" t="s">
        <v>256</v>
      </c>
      <c r="B98" s="3" t="s">
        <v>386</v>
      </c>
      <c r="C98" s="3"/>
      <c r="D98" s="26" t="s">
        <v>257</v>
      </c>
      <c r="E98" s="63"/>
      <c r="F98" s="63"/>
      <c r="G98" s="63"/>
      <c r="H98" s="63"/>
      <c r="I98" s="63"/>
      <c r="J98" s="63"/>
      <c r="K98" s="63"/>
      <c r="L98" s="63"/>
      <c r="M98" s="63"/>
      <c r="N98" s="63"/>
      <c r="O98" s="63"/>
      <c r="P98" s="63"/>
      <c r="Q98" s="142">
        <f t="shared" si="11"/>
        <v>0</v>
      </c>
      <c r="R98" s="142" t="e">
        <f t="shared" si="12"/>
        <v>#DIV/0!</v>
      </c>
      <c r="S98" s="157"/>
      <c r="T98" s="40">
        <f t="shared" si="13"/>
        <v>0</v>
      </c>
    </row>
    <row r="99" spans="1:20" s="84" customFormat="1" ht="24.95" customHeight="1">
      <c r="A99" s="3" t="s">
        <v>258</v>
      </c>
      <c r="B99" s="3" t="s">
        <v>386</v>
      </c>
      <c r="C99" s="3"/>
      <c r="D99" s="26" t="s">
        <v>259</v>
      </c>
      <c r="E99" s="63"/>
      <c r="F99" s="63"/>
      <c r="G99" s="63"/>
      <c r="H99" s="63"/>
      <c r="I99" s="63"/>
      <c r="J99" s="63"/>
      <c r="K99" s="63"/>
      <c r="L99" s="63"/>
      <c r="M99" s="63"/>
      <c r="N99" s="63"/>
      <c r="O99" s="63"/>
      <c r="P99" s="63"/>
      <c r="Q99" s="142">
        <f t="shared" si="11"/>
        <v>0</v>
      </c>
      <c r="R99" s="142" t="e">
        <f t="shared" si="12"/>
        <v>#DIV/0!</v>
      </c>
      <c r="S99" s="157"/>
      <c r="T99" s="40"/>
    </row>
    <row r="100" spans="1:20" s="84" customFormat="1" ht="24.95" hidden="1" customHeight="1">
      <c r="A100" s="3" t="s">
        <v>260</v>
      </c>
      <c r="B100" s="3" t="s">
        <v>386</v>
      </c>
      <c r="C100" s="3"/>
      <c r="D100" s="26" t="s">
        <v>261</v>
      </c>
      <c r="E100" s="63"/>
      <c r="F100" s="63"/>
      <c r="G100" s="63"/>
      <c r="H100" s="63"/>
      <c r="I100" s="63"/>
      <c r="J100" s="63"/>
      <c r="K100" s="63"/>
      <c r="L100" s="63"/>
      <c r="M100" s="63"/>
      <c r="N100" s="63"/>
      <c r="O100" s="63"/>
      <c r="P100" s="63"/>
      <c r="Q100" s="142">
        <f t="shared" si="11"/>
        <v>0</v>
      </c>
      <c r="R100" s="142" t="e">
        <f t="shared" si="12"/>
        <v>#DIV/0!</v>
      </c>
      <c r="S100" s="157"/>
      <c r="T100" s="40"/>
    </row>
    <row r="101" spans="1:20" s="84" customFormat="1" ht="24.95" hidden="1" customHeight="1">
      <c r="A101" s="3" t="s">
        <v>262</v>
      </c>
      <c r="B101" s="3" t="s">
        <v>386</v>
      </c>
      <c r="C101" s="3"/>
      <c r="D101" s="26" t="s">
        <v>263</v>
      </c>
      <c r="E101" s="63"/>
      <c r="F101" s="63"/>
      <c r="G101" s="63"/>
      <c r="H101" s="63"/>
      <c r="I101" s="63"/>
      <c r="J101" s="63"/>
      <c r="K101" s="63"/>
      <c r="L101" s="63"/>
      <c r="M101" s="63"/>
      <c r="N101" s="63"/>
      <c r="O101" s="63"/>
      <c r="P101" s="63"/>
      <c r="Q101" s="142">
        <f t="shared" si="11"/>
        <v>0</v>
      </c>
      <c r="R101" s="142" t="e">
        <f t="shared" si="12"/>
        <v>#DIV/0!</v>
      </c>
      <c r="S101" s="157"/>
      <c r="T101" s="40"/>
    </row>
    <row r="102" spans="1:20" s="84" customFormat="1" ht="24.95" hidden="1" customHeight="1">
      <c r="A102" s="3" t="s">
        <v>264</v>
      </c>
      <c r="B102" s="3" t="s">
        <v>386</v>
      </c>
      <c r="C102" s="3"/>
      <c r="D102" s="26" t="s">
        <v>265</v>
      </c>
      <c r="E102" s="63"/>
      <c r="F102" s="63"/>
      <c r="G102" s="63"/>
      <c r="H102" s="63"/>
      <c r="I102" s="63"/>
      <c r="J102" s="63"/>
      <c r="K102" s="63"/>
      <c r="L102" s="63"/>
      <c r="M102" s="63"/>
      <c r="N102" s="63"/>
      <c r="O102" s="63"/>
      <c r="P102" s="63"/>
      <c r="Q102" s="142">
        <f t="shared" si="11"/>
        <v>0</v>
      </c>
      <c r="R102" s="142" t="e">
        <f t="shared" si="12"/>
        <v>#DIV/0!</v>
      </c>
      <c r="S102" s="157"/>
      <c r="T102" s="40"/>
    </row>
    <row r="103" spans="1:20" s="84" customFormat="1" ht="24.95" hidden="1" customHeight="1">
      <c r="A103" s="3" t="s">
        <v>266</v>
      </c>
      <c r="B103" s="3" t="s">
        <v>386</v>
      </c>
      <c r="C103" s="3"/>
      <c r="D103" s="26" t="s">
        <v>267</v>
      </c>
      <c r="E103" s="63"/>
      <c r="F103" s="63"/>
      <c r="G103" s="63"/>
      <c r="H103" s="63"/>
      <c r="I103" s="63"/>
      <c r="J103" s="63"/>
      <c r="K103" s="63"/>
      <c r="L103" s="63"/>
      <c r="M103" s="63"/>
      <c r="N103" s="63"/>
      <c r="O103" s="63"/>
      <c r="P103" s="63"/>
      <c r="Q103" s="142">
        <f t="shared" si="11"/>
        <v>0</v>
      </c>
      <c r="R103" s="142" t="e">
        <f t="shared" si="12"/>
        <v>#DIV/0!</v>
      </c>
      <c r="S103" s="157"/>
      <c r="T103" s="40"/>
    </row>
    <row r="104" spans="1:20" s="84" customFormat="1" ht="24.95" hidden="1" customHeight="1">
      <c r="A104" s="3" t="s">
        <v>268</v>
      </c>
      <c r="B104" s="3" t="s">
        <v>386</v>
      </c>
      <c r="C104" s="3"/>
      <c r="D104" s="26" t="s">
        <v>269</v>
      </c>
      <c r="E104" s="63"/>
      <c r="F104" s="63"/>
      <c r="G104" s="63"/>
      <c r="H104" s="63"/>
      <c r="I104" s="63"/>
      <c r="J104" s="63"/>
      <c r="K104" s="63"/>
      <c r="L104" s="63"/>
      <c r="M104" s="63"/>
      <c r="N104" s="63"/>
      <c r="O104" s="63"/>
      <c r="P104" s="63"/>
      <c r="Q104" s="142">
        <f t="shared" ref="Q104:Q107" si="14">SUM(E104:P104)</f>
        <v>0</v>
      </c>
      <c r="R104" s="142" t="e">
        <f>Q104/$Q$117</f>
        <v>#DIV/0!</v>
      </c>
      <c r="S104" s="157"/>
      <c r="T104" s="40"/>
    </row>
    <row r="105" spans="1:20" s="84" customFormat="1" ht="24.95" hidden="1" customHeight="1">
      <c r="A105" s="3" t="s">
        <v>270</v>
      </c>
      <c r="B105" s="3" t="s">
        <v>386</v>
      </c>
      <c r="C105" s="3"/>
      <c r="D105" s="26" t="s">
        <v>271</v>
      </c>
      <c r="E105" s="63"/>
      <c r="F105" s="63"/>
      <c r="G105" s="63"/>
      <c r="H105" s="63"/>
      <c r="I105" s="63"/>
      <c r="J105" s="63"/>
      <c r="K105" s="63"/>
      <c r="L105" s="63"/>
      <c r="M105" s="63"/>
      <c r="N105" s="63"/>
      <c r="O105" s="63"/>
      <c r="P105" s="63"/>
      <c r="Q105" s="142">
        <f t="shared" si="14"/>
        <v>0</v>
      </c>
      <c r="R105" s="142" t="e">
        <f>Q105/$Q$117</f>
        <v>#DIV/0!</v>
      </c>
      <c r="S105" s="157"/>
      <c r="T105" s="40"/>
    </row>
    <row r="106" spans="1:20" s="84" customFormat="1" ht="24.95" customHeight="1">
      <c r="A106" s="3" t="s">
        <v>272</v>
      </c>
      <c r="B106" s="3" t="s">
        <v>386</v>
      </c>
      <c r="C106" s="3"/>
      <c r="D106" s="26" t="s">
        <v>273</v>
      </c>
      <c r="E106" s="63"/>
      <c r="F106" s="63"/>
      <c r="G106" s="63"/>
      <c r="H106" s="63"/>
      <c r="I106" s="63"/>
      <c r="J106" s="63"/>
      <c r="K106" s="63"/>
      <c r="L106" s="63"/>
      <c r="M106" s="63"/>
      <c r="N106" s="63"/>
      <c r="O106" s="63"/>
      <c r="P106" s="63"/>
      <c r="Q106" s="142">
        <f t="shared" si="14"/>
        <v>0</v>
      </c>
      <c r="R106" s="142" t="e">
        <f>Q106/$Q$117</f>
        <v>#DIV/0!</v>
      </c>
      <c r="S106" s="157"/>
      <c r="T106" s="40"/>
    </row>
    <row r="107" spans="1:20" s="84" customFormat="1" ht="24.95" customHeight="1">
      <c r="A107" s="3"/>
      <c r="B107" s="3"/>
      <c r="C107" s="3"/>
      <c r="D107" s="26" t="s">
        <v>469</v>
      </c>
      <c r="E107" s="63">
        <f>-'F&amp;B Admin'!E$86/'F&amp;B Summary'!E$50*E$28-'Main Kitchen'!E$86/'F&amp;B Summary'!E$53*E$31</f>
        <v>0</v>
      </c>
      <c r="F107" s="63">
        <f>-'F&amp;B Admin'!F$86/'F&amp;B Summary'!F$50*F$28-'Main Kitchen'!F$86/'F&amp;B Summary'!F$53*F$31</f>
        <v>0</v>
      </c>
      <c r="G107" s="63">
        <f>-'F&amp;B Admin'!G$86/'F&amp;B Summary'!G$50*G$28-'Main Kitchen'!G$86/'F&amp;B Summary'!G$53*G$31</f>
        <v>0</v>
      </c>
      <c r="H107" s="63">
        <f>-'F&amp;B Admin'!H$86/'F&amp;B Summary'!H$50*H$28-'Main Kitchen'!H$86/'F&amp;B Summary'!H$53*H$31</f>
        <v>0</v>
      </c>
      <c r="I107" s="63">
        <f>-'F&amp;B Admin'!I$86/'F&amp;B Summary'!I$50*I$28-'Main Kitchen'!I$86/'F&amp;B Summary'!I$53*I$31</f>
        <v>0</v>
      </c>
      <c r="J107" s="63">
        <f>-'F&amp;B Admin'!J$86/'F&amp;B Summary'!J$50*J$28-'Main Kitchen'!J$86/'F&amp;B Summary'!J$53*J$31</f>
        <v>0</v>
      </c>
      <c r="K107" s="63">
        <f>-'F&amp;B Admin'!K$86/'F&amp;B Summary'!K$50*K$28-'Main Kitchen'!K$86/'F&amp;B Summary'!K$53*K$31</f>
        <v>0</v>
      </c>
      <c r="L107" s="63">
        <f>-'F&amp;B Admin'!L$86/'F&amp;B Summary'!L$50*L$28-'Main Kitchen'!L$86/'F&amp;B Summary'!L$53*L$31</f>
        <v>0</v>
      </c>
      <c r="M107" s="63">
        <f>-'F&amp;B Admin'!M$86/'F&amp;B Summary'!M$50*M$28-'Main Kitchen'!M$86/'F&amp;B Summary'!M$53*M$31</f>
        <v>0</v>
      </c>
      <c r="N107" s="63">
        <f>-'F&amp;B Admin'!N$86/'F&amp;B Summary'!N$50*N$28-'Main Kitchen'!N$86/'F&amp;B Summary'!N$53*N$31</f>
        <v>0</v>
      </c>
      <c r="O107" s="63">
        <f>-'F&amp;B Admin'!O$86/'F&amp;B Summary'!O$50*O$28-'Main Kitchen'!O$86/'F&amp;B Summary'!O$53*O$31</f>
        <v>0</v>
      </c>
      <c r="P107" s="63">
        <f>-'F&amp;B Admin'!P$86/'F&amp;B Summary'!P$50*P$28-'Main Kitchen'!P$86/'F&amp;B Summary'!P$53*P$31</f>
        <v>0</v>
      </c>
      <c r="Q107" s="142">
        <f t="shared" si="14"/>
        <v>0</v>
      </c>
      <c r="R107" s="142" t="e">
        <f>Q107/$Q$117</f>
        <v>#DIV/0!</v>
      </c>
      <c r="S107" s="157"/>
      <c r="T107" s="40">
        <f t="shared" si="13"/>
        <v>0</v>
      </c>
    </row>
    <row r="108" spans="1:20" s="84" customFormat="1" ht="24.95" customHeight="1">
      <c r="A108" s="3"/>
      <c r="B108" s="3"/>
      <c r="C108" s="3"/>
      <c r="D108" s="19" t="s">
        <v>274</v>
      </c>
      <c r="E108" s="19">
        <f>SUM(E39:E107)</f>
        <v>0</v>
      </c>
      <c r="F108" s="19">
        <f t="shared" ref="F108:Q108" si="15">SUM(F39:F107)</f>
        <v>0</v>
      </c>
      <c r="G108" s="19">
        <f t="shared" si="15"/>
        <v>0</v>
      </c>
      <c r="H108" s="19">
        <f t="shared" si="15"/>
        <v>0</v>
      </c>
      <c r="I108" s="19">
        <f t="shared" si="15"/>
        <v>0</v>
      </c>
      <c r="J108" s="19">
        <f t="shared" si="15"/>
        <v>0</v>
      </c>
      <c r="K108" s="19">
        <f t="shared" si="15"/>
        <v>0</v>
      </c>
      <c r="L108" s="19">
        <f t="shared" si="15"/>
        <v>0</v>
      </c>
      <c r="M108" s="19">
        <f t="shared" si="15"/>
        <v>0</v>
      </c>
      <c r="N108" s="19">
        <f t="shared" si="15"/>
        <v>0</v>
      </c>
      <c r="O108" s="19">
        <f t="shared" si="15"/>
        <v>0</v>
      </c>
      <c r="P108" s="19">
        <f t="shared" si="15"/>
        <v>0</v>
      </c>
      <c r="Q108" s="19">
        <f t="shared" si="15"/>
        <v>0</v>
      </c>
      <c r="R108" s="142" t="e">
        <f>Q108/$Q$117</f>
        <v>#DIV/0!</v>
      </c>
      <c r="S108" s="157"/>
      <c r="T108" s="40">
        <f t="shared" si="13"/>
        <v>0</v>
      </c>
    </row>
    <row r="109" spans="1:20" s="84" customFormat="1" ht="24.95" customHeight="1">
      <c r="A109" s="3"/>
      <c r="B109" s="3"/>
      <c r="C109" s="3"/>
      <c r="D109" s="19" t="s">
        <v>275</v>
      </c>
      <c r="E109" s="160">
        <f t="shared" ref="E109:Q109" si="16">E28-E34-E36-E108</f>
        <v>0</v>
      </c>
      <c r="F109" s="160">
        <f t="shared" si="16"/>
        <v>0</v>
      </c>
      <c r="G109" s="160">
        <f t="shared" si="16"/>
        <v>0</v>
      </c>
      <c r="H109" s="160">
        <f t="shared" si="16"/>
        <v>0</v>
      </c>
      <c r="I109" s="160">
        <f t="shared" si="16"/>
        <v>0</v>
      </c>
      <c r="J109" s="160">
        <f t="shared" si="16"/>
        <v>0</v>
      </c>
      <c r="K109" s="160">
        <f t="shared" si="16"/>
        <v>0</v>
      </c>
      <c r="L109" s="160">
        <f t="shared" si="16"/>
        <v>0</v>
      </c>
      <c r="M109" s="160">
        <f t="shared" si="16"/>
        <v>0</v>
      </c>
      <c r="N109" s="160">
        <f t="shared" si="16"/>
        <v>0</v>
      </c>
      <c r="O109" s="160">
        <f t="shared" si="16"/>
        <v>0</v>
      </c>
      <c r="P109" s="160">
        <f t="shared" si="16"/>
        <v>0</v>
      </c>
      <c r="Q109" s="160">
        <f t="shared" si="16"/>
        <v>0</v>
      </c>
      <c r="R109" s="160"/>
      <c r="S109" s="157"/>
      <c r="T109" s="40">
        <f t="shared" ref="T109:T125" si="17">IF(Q109-S109=0,0,(Q109-S109)/S109)</f>
        <v>0</v>
      </c>
    </row>
    <row r="110" spans="1:20" s="84" customFormat="1" ht="24.95" customHeight="1">
      <c r="A110" s="3"/>
      <c r="B110" s="3"/>
      <c r="C110" s="3"/>
      <c r="D110" s="19" t="s">
        <v>276</v>
      </c>
      <c r="E110" s="137">
        <f t="shared" ref="E110:Q110" si="18">IF(E109=0,0,E109/E28)</f>
        <v>0</v>
      </c>
      <c r="F110" s="137">
        <f t="shared" si="18"/>
        <v>0</v>
      </c>
      <c r="G110" s="137">
        <f t="shared" si="18"/>
        <v>0</v>
      </c>
      <c r="H110" s="137">
        <f t="shared" si="18"/>
        <v>0</v>
      </c>
      <c r="I110" s="137">
        <f t="shared" si="18"/>
        <v>0</v>
      </c>
      <c r="J110" s="137">
        <f t="shared" si="18"/>
        <v>0</v>
      </c>
      <c r="K110" s="137">
        <f t="shared" si="18"/>
        <v>0</v>
      </c>
      <c r="L110" s="137">
        <f t="shared" si="18"/>
        <v>0</v>
      </c>
      <c r="M110" s="137">
        <f t="shared" si="18"/>
        <v>0</v>
      </c>
      <c r="N110" s="137">
        <f t="shared" si="18"/>
        <v>0</v>
      </c>
      <c r="O110" s="137">
        <f t="shared" si="18"/>
        <v>0</v>
      </c>
      <c r="P110" s="137">
        <f t="shared" si="18"/>
        <v>0</v>
      </c>
      <c r="Q110" s="137">
        <f t="shared" si="18"/>
        <v>0</v>
      </c>
      <c r="R110" s="137"/>
      <c r="S110" s="40"/>
      <c r="T110" s="40">
        <f t="shared" si="17"/>
        <v>0</v>
      </c>
    </row>
    <row r="111" spans="1:20" s="84" customFormat="1" ht="24.95" customHeight="1">
      <c r="A111" s="3"/>
      <c r="B111" s="3"/>
      <c r="C111" s="3"/>
      <c r="D111" s="19" t="s">
        <v>436</v>
      </c>
      <c r="E111" s="3"/>
      <c r="F111" s="3"/>
      <c r="G111" s="3"/>
      <c r="H111" s="3"/>
      <c r="I111" s="3"/>
      <c r="J111" s="3"/>
      <c r="K111" s="3"/>
      <c r="L111" s="161"/>
      <c r="S111" s="157"/>
      <c r="T111" s="40"/>
    </row>
    <row r="112" spans="1:20" s="84" customFormat="1" ht="24.95" customHeight="1">
      <c r="A112" s="50" t="s">
        <v>470</v>
      </c>
      <c r="B112" s="3" t="s">
        <v>386</v>
      </c>
      <c r="C112" s="3"/>
      <c r="D112" s="26" t="s">
        <v>453</v>
      </c>
      <c r="E112" s="81"/>
      <c r="F112" s="81"/>
      <c r="G112" s="81"/>
      <c r="H112" s="81"/>
      <c r="I112" s="81"/>
      <c r="J112" s="81"/>
      <c r="K112" s="81"/>
      <c r="L112" s="81"/>
      <c r="M112" s="81"/>
      <c r="N112" s="81"/>
      <c r="O112" s="81"/>
      <c r="P112" s="81"/>
      <c r="Q112" s="171">
        <f>SUM(E112:P112)</f>
        <v>0</v>
      </c>
      <c r="R112" s="171"/>
      <c r="S112" s="157"/>
      <c r="T112" s="40">
        <f t="shared" si="17"/>
        <v>0</v>
      </c>
    </row>
    <row r="113" spans="1:20" s="84" customFormat="1" ht="24.95" customHeight="1">
      <c r="A113" s="3" t="s">
        <v>471</v>
      </c>
      <c r="B113" s="3" t="s">
        <v>386</v>
      </c>
      <c r="C113" s="3"/>
      <c r="D113" s="26" t="s">
        <v>455</v>
      </c>
      <c r="E113" s="81"/>
      <c r="F113" s="81"/>
      <c r="G113" s="81"/>
      <c r="H113" s="81"/>
      <c r="I113" s="81"/>
      <c r="J113" s="81"/>
      <c r="K113" s="81"/>
      <c r="L113" s="81"/>
      <c r="M113" s="81"/>
      <c r="N113" s="81"/>
      <c r="O113" s="81"/>
      <c r="P113" s="81"/>
      <c r="Q113" s="171">
        <f t="shared" ref="Q113:Q116" si="19">SUM(E113:P113)</f>
        <v>0</v>
      </c>
      <c r="R113" s="171"/>
      <c r="S113" s="157"/>
      <c r="T113" s="40">
        <f t="shared" si="17"/>
        <v>0</v>
      </c>
    </row>
    <row r="114" spans="1:20" s="84" customFormat="1" ht="24.95" customHeight="1">
      <c r="A114" s="3" t="s">
        <v>472</v>
      </c>
      <c r="B114" s="3" t="s">
        <v>386</v>
      </c>
      <c r="C114" s="3"/>
      <c r="D114" s="26" t="s">
        <v>459</v>
      </c>
      <c r="E114" s="81"/>
      <c r="F114" s="81"/>
      <c r="G114" s="81"/>
      <c r="H114" s="81"/>
      <c r="I114" s="81"/>
      <c r="J114" s="81"/>
      <c r="K114" s="81"/>
      <c r="L114" s="81"/>
      <c r="M114" s="81"/>
      <c r="N114" s="81"/>
      <c r="O114" s="81"/>
      <c r="P114" s="81"/>
      <c r="Q114" s="171">
        <f t="shared" si="19"/>
        <v>0</v>
      </c>
      <c r="R114" s="171"/>
      <c r="S114" s="157"/>
      <c r="T114" s="40">
        <f t="shared" si="17"/>
        <v>0</v>
      </c>
    </row>
    <row r="115" spans="1:20" s="84" customFormat="1" ht="24.95" customHeight="1">
      <c r="A115" s="3" t="s">
        <v>473</v>
      </c>
      <c r="B115" s="3" t="s">
        <v>386</v>
      </c>
      <c r="C115" s="3"/>
      <c r="D115" s="26" t="s">
        <v>457</v>
      </c>
      <c r="E115" s="81"/>
      <c r="F115" s="81"/>
      <c r="G115" s="81"/>
      <c r="H115" s="81"/>
      <c r="I115" s="81"/>
      <c r="J115" s="81"/>
      <c r="K115" s="81"/>
      <c r="L115" s="81"/>
      <c r="M115" s="81"/>
      <c r="N115" s="81"/>
      <c r="O115" s="81"/>
      <c r="P115" s="81"/>
      <c r="Q115" s="171">
        <f t="shared" si="19"/>
        <v>0</v>
      </c>
      <c r="R115" s="171"/>
      <c r="S115" s="157"/>
      <c r="T115" s="40">
        <f t="shared" si="17"/>
        <v>0</v>
      </c>
    </row>
    <row r="116" spans="1:20" s="84" customFormat="1" ht="24.95" customHeight="1">
      <c r="A116" s="3" t="s">
        <v>474</v>
      </c>
      <c r="B116" s="3" t="s">
        <v>386</v>
      </c>
      <c r="C116" s="3"/>
      <c r="D116" s="26" t="s">
        <v>461</v>
      </c>
      <c r="E116" s="81">
        <v>0</v>
      </c>
      <c r="F116" s="81">
        <v>0</v>
      </c>
      <c r="G116" s="81">
        <v>0</v>
      </c>
      <c r="H116" s="81">
        <v>0</v>
      </c>
      <c r="I116" s="81">
        <v>0</v>
      </c>
      <c r="J116" s="81">
        <v>0</v>
      </c>
      <c r="K116" s="81">
        <v>0</v>
      </c>
      <c r="L116" s="81">
        <v>0</v>
      </c>
      <c r="M116" s="81">
        <v>0</v>
      </c>
      <c r="N116" s="81">
        <v>0</v>
      </c>
      <c r="O116" s="81">
        <v>0</v>
      </c>
      <c r="P116" s="81">
        <v>0</v>
      </c>
      <c r="Q116" s="171">
        <f t="shared" si="19"/>
        <v>0</v>
      </c>
      <c r="R116" s="171"/>
      <c r="S116" s="157"/>
      <c r="T116" s="40">
        <f t="shared" si="17"/>
        <v>0</v>
      </c>
    </row>
    <row r="117" spans="1:20" s="84" customFormat="1" ht="24.95" customHeight="1">
      <c r="A117" s="3"/>
      <c r="B117" s="3"/>
      <c r="C117" s="3"/>
      <c r="D117" s="19" t="s">
        <v>439</v>
      </c>
      <c r="E117" s="169">
        <f>SUM(E112:E116)</f>
        <v>0</v>
      </c>
      <c r="F117" s="169">
        <f t="shared" ref="F117:Q117" si="20">SUM(F112:F116)</f>
        <v>0</v>
      </c>
      <c r="G117" s="169">
        <f t="shared" si="20"/>
        <v>0</v>
      </c>
      <c r="H117" s="169">
        <f t="shared" si="20"/>
        <v>0</v>
      </c>
      <c r="I117" s="169">
        <f t="shared" si="20"/>
        <v>0</v>
      </c>
      <c r="J117" s="169">
        <f t="shared" si="20"/>
        <v>0</v>
      </c>
      <c r="K117" s="169">
        <f t="shared" si="20"/>
        <v>0</v>
      </c>
      <c r="L117" s="169">
        <f t="shared" si="20"/>
        <v>0</v>
      </c>
      <c r="M117" s="169">
        <f t="shared" si="20"/>
        <v>0</v>
      </c>
      <c r="N117" s="169">
        <f t="shared" si="20"/>
        <v>0</v>
      </c>
      <c r="O117" s="169">
        <f t="shared" si="20"/>
        <v>0</v>
      </c>
      <c r="P117" s="169">
        <f t="shared" si="20"/>
        <v>0</v>
      </c>
      <c r="Q117" s="169">
        <f t="shared" si="20"/>
        <v>0</v>
      </c>
      <c r="R117" s="169"/>
      <c r="S117" s="157"/>
      <c r="T117" s="40">
        <f t="shared" si="17"/>
        <v>0</v>
      </c>
    </row>
    <row r="118" spans="1:20" s="84" customFormat="1" ht="24.95" customHeight="1">
      <c r="A118" s="3"/>
      <c r="B118" s="3"/>
      <c r="C118" s="3"/>
      <c r="D118" s="3"/>
      <c r="E118" s="3"/>
      <c r="F118" s="3"/>
      <c r="G118" s="3"/>
      <c r="H118" s="3"/>
      <c r="I118" s="3"/>
      <c r="J118" s="3"/>
      <c r="K118" s="3"/>
      <c r="L118" s="161"/>
      <c r="S118" s="157"/>
      <c r="T118" s="40"/>
    </row>
    <row r="119" spans="1:20" s="84" customFormat="1" ht="24.95" customHeight="1">
      <c r="A119" s="3"/>
      <c r="B119" s="3"/>
      <c r="C119" s="3"/>
      <c r="D119" s="19" t="s">
        <v>440</v>
      </c>
      <c r="E119" s="3"/>
      <c r="F119" s="3"/>
      <c r="G119" s="3"/>
      <c r="H119" s="3"/>
      <c r="I119" s="3"/>
      <c r="J119" s="3"/>
      <c r="K119" s="3"/>
      <c r="L119" s="161"/>
      <c r="S119" s="157"/>
      <c r="T119" s="40"/>
    </row>
    <row r="120" spans="1:20" s="84" customFormat="1" ht="24.95" customHeight="1">
      <c r="A120" s="3"/>
      <c r="B120" s="3"/>
      <c r="C120" s="3"/>
      <c r="D120" s="26" t="s">
        <v>453</v>
      </c>
      <c r="E120" s="61">
        <f t="shared" ref="E120:Q120" si="21">IF(E112=0,0,ROUND(E12/E112,2))</f>
        <v>0</v>
      </c>
      <c r="F120" s="61">
        <f t="shared" si="21"/>
        <v>0</v>
      </c>
      <c r="G120" s="61">
        <f t="shared" si="21"/>
        <v>0</v>
      </c>
      <c r="H120" s="61">
        <f t="shared" si="21"/>
        <v>0</v>
      </c>
      <c r="I120" s="61">
        <f t="shared" si="21"/>
        <v>0</v>
      </c>
      <c r="J120" s="61">
        <f t="shared" si="21"/>
        <v>0</v>
      </c>
      <c r="K120" s="61">
        <f t="shared" si="21"/>
        <v>0</v>
      </c>
      <c r="L120" s="61">
        <f t="shared" si="21"/>
        <v>0</v>
      </c>
      <c r="M120" s="61">
        <f t="shared" ref="M120:P124" si="22">IF(M112=0,0,ROUND(M12/M112,2))</f>
        <v>0</v>
      </c>
      <c r="N120" s="61">
        <f t="shared" si="22"/>
        <v>0</v>
      </c>
      <c r="O120" s="61">
        <f t="shared" si="22"/>
        <v>0</v>
      </c>
      <c r="P120" s="61">
        <f t="shared" si="22"/>
        <v>0</v>
      </c>
      <c r="Q120" s="61">
        <f t="shared" si="21"/>
        <v>0</v>
      </c>
      <c r="R120" s="172"/>
      <c r="S120" s="157"/>
      <c r="T120" s="40">
        <f t="shared" si="17"/>
        <v>0</v>
      </c>
    </row>
    <row r="121" spans="1:20" s="84" customFormat="1" ht="24.95" customHeight="1">
      <c r="A121" s="3"/>
      <c r="B121" s="3"/>
      <c r="C121" s="3"/>
      <c r="D121" s="26" t="s">
        <v>455</v>
      </c>
      <c r="E121" s="61">
        <f t="shared" ref="E121:Q121" si="23">IF(E113=0,0,ROUND(E13/E113,2))</f>
        <v>0</v>
      </c>
      <c r="F121" s="61">
        <f t="shared" si="23"/>
        <v>0</v>
      </c>
      <c r="G121" s="61">
        <f t="shared" si="23"/>
        <v>0</v>
      </c>
      <c r="H121" s="61">
        <f t="shared" si="23"/>
        <v>0</v>
      </c>
      <c r="I121" s="61">
        <f t="shared" si="23"/>
        <v>0</v>
      </c>
      <c r="J121" s="61">
        <f t="shared" si="23"/>
        <v>0</v>
      </c>
      <c r="K121" s="61">
        <f t="shared" si="23"/>
        <v>0</v>
      </c>
      <c r="L121" s="61">
        <f t="shared" si="23"/>
        <v>0</v>
      </c>
      <c r="M121" s="61">
        <f t="shared" si="22"/>
        <v>0</v>
      </c>
      <c r="N121" s="61">
        <f t="shared" si="22"/>
        <v>0</v>
      </c>
      <c r="O121" s="61">
        <f t="shared" si="22"/>
        <v>0</v>
      </c>
      <c r="P121" s="61">
        <f t="shared" si="22"/>
        <v>0</v>
      </c>
      <c r="Q121" s="61">
        <f t="shared" si="23"/>
        <v>0</v>
      </c>
      <c r="R121" s="172"/>
      <c r="S121" s="157"/>
      <c r="T121" s="40">
        <f t="shared" si="17"/>
        <v>0</v>
      </c>
    </row>
    <row r="122" spans="1:20" s="84" customFormat="1" ht="24.95" customHeight="1">
      <c r="A122" s="3"/>
      <c r="B122" s="3"/>
      <c r="C122" s="3"/>
      <c r="D122" s="26" t="s">
        <v>459</v>
      </c>
      <c r="E122" s="61">
        <f t="shared" ref="E122:Q122" si="24">IF(E114=0,0,ROUND(E14/E114,2))</f>
        <v>0</v>
      </c>
      <c r="F122" s="61">
        <f t="shared" si="24"/>
        <v>0</v>
      </c>
      <c r="G122" s="61">
        <f t="shared" si="24"/>
        <v>0</v>
      </c>
      <c r="H122" s="61">
        <f t="shared" si="24"/>
        <v>0</v>
      </c>
      <c r="I122" s="61">
        <f t="shared" si="24"/>
        <v>0</v>
      </c>
      <c r="J122" s="61">
        <f t="shared" si="24"/>
        <v>0</v>
      </c>
      <c r="K122" s="61">
        <f t="shared" si="24"/>
        <v>0</v>
      </c>
      <c r="L122" s="61">
        <f t="shared" si="24"/>
        <v>0</v>
      </c>
      <c r="M122" s="61">
        <f t="shared" si="22"/>
        <v>0</v>
      </c>
      <c r="N122" s="61">
        <f t="shared" si="22"/>
        <v>0</v>
      </c>
      <c r="O122" s="61">
        <f t="shared" si="22"/>
        <v>0</v>
      </c>
      <c r="P122" s="61">
        <f t="shared" si="22"/>
        <v>0</v>
      </c>
      <c r="Q122" s="61">
        <f t="shared" si="24"/>
        <v>0</v>
      </c>
      <c r="R122" s="172"/>
      <c r="S122" s="157"/>
      <c r="T122" s="40">
        <f t="shared" si="17"/>
        <v>0</v>
      </c>
    </row>
    <row r="123" spans="1:20" s="84" customFormat="1" ht="24.95" customHeight="1">
      <c r="A123" s="3"/>
      <c r="B123" s="3"/>
      <c r="C123" s="3"/>
      <c r="D123" s="26" t="s">
        <v>457</v>
      </c>
      <c r="E123" s="61">
        <f t="shared" ref="E123:Q123" si="25">IF(E115=0,0,ROUND(E15/E115,2))</f>
        <v>0</v>
      </c>
      <c r="F123" s="61">
        <f t="shared" si="25"/>
        <v>0</v>
      </c>
      <c r="G123" s="61">
        <f t="shared" si="25"/>
        <v>0</v>
      </c>
      <c r="H123" s="61">
        <f t="shared" si="25"/>
        <v>0</v>
      </c>
      <c r="I123" s="61">
        <f t="shared" si="25"/>
        <v>0</v>
      </c>
      <c r="J123" s="61">
        <f t="shared" si="25"/>
        <v>0</v>
      </c>
      <c r="K123" s="61">
        <f t="shared" si="25"/>
        <v>0</v>
      </c>
      <c r="L123" s="61">
        <f t="shared" si="25"/>
        <v>0</v>
      </c>
      <c r="M123" s="61">
        <f t="shared" si="22"/>
        <v>0</v>
      </c>
      <c r="N123" s="61">
        <f t="shared" si="22"/>
        <v>0</v>
      </c>
      <c r="O123" s="61">
        <f t="shared" si="22"/>
        <v>0</v>
      </c>
      <c r="P123" s="61">
        <f t="shared" si="22"/>
        <v>0</v>
      </c>
      <c r="Q123" s="61">
        <f t="shared" si="25"/>
        <v>0</v>
      </c>
      <c r="R123" s="172"/>
      <c r="S123" s="157"/>
      <c r="T123" s="40">
        <f t="shared" si="17"/>
        <v>0</v>
      </c>
    </row>
    <row r="124" spans="1:20" s="84" customFormat="1" ht="24.95" customHeight="1">
      <c r="A124" s="3"/>
      <c r="B124" s="3"/>
      <c r="C124" s="3"/>
      <c r="D124" s="26" t="s">
        <v>461</v>
      </c>
      <c r="E124" s="61">
        <f t="shared" ref="E124:Q124" si="26">IF(E116=0,0,ROUND(E16/E116,2))</f>
        <v>0</v>
      </c>
      <c r="F124" s="61">
        <f t="shared" si="26"/>
        <v>0</v>
      </c>
      <c r="G124" s="61">
        <f t="shared" si="26"/>
        <v>0</v>
      </c>
      <c r="H124" s="61">
        <f t="shared" si="26"/>
        <v>0</v>
      </c>
      <c r="I124" s="61">
        <f t="shared" si="26"/>
        <v>0</v>
      </c>
      <c r="J124" s="61">
        <f t="shared" si="26"/>
        <v>0</v>
      </c>
      <c r="K124" s="61">
        <f t="shared" si="26"/>
        <v>0</v>
      </c>
      <c r="L124" s="61">
        <f t="shared" si="26"/>
        <v>0</v>
      </c>
      <c r="M124" s="61">
        <f t="shared" si="22"/>
        <v>0</v>
      </c>
      <c r="N124" s="61">
        <f t="shared" si="22"/>
        <v>0</v>
      </c>
      <c r="O124" s="61">
        <f t="shared" si="22"/>
        <v>0</v>
      </c>
      <c r="P124" s="61">
        <f t="shared" si="22"/>
        <v>0</v>
      </c>
      <c r="Q124" s="61">
        <f t="shared" si="26"/>
        <v>0</v>
      </c>
      <c r="R124" s="172"/>
      <c r="S124" s="157"/>
      <c r="T124" s="40">
        <f t="shared" si="17"/>
        <v>0</v>
      </c>
    </row>
    <row r="125" spans="1:20" s="84" customFormat="1" ht="24.95" customHeight="1">
      <c r="A125" s="3"/>
      <c r="B125" s="3"/>
      <c r="C125" s="3"/>
      <c r="D125" s="19" t="s">
        <v>442</v>
      </c>
      <c r="E125" s="170">
        <f>IF(E117=0,0,ROUND(E17/E117,2))</f>
        <v>0</v>
      </c>
      <c r="F125" s="170">
        <f t="shared" ref="F125:Q125" si="27">IF(F117=0,0,ROUND(F17/F117,2))</f>
        <v>0</v>
      </c>
      <c r="G125" s="170">
        <f t="shared" si="27"/>
        <v>0</v>
      </c>
      <c r="H125" s="170">
        <f t="shared" si="27"/>
        <v>0</v>
      </c>
      <c r="I125" s="170">
        <f t="shared" si="27"/>
        <v>0</v>
      </c>
      <c r="J125" s="170">
        <f t="shared" si="27"/>
        <v>0</v>
      </c>
      <c r="K125" s="170">
        <f t="shared" si="27"/>
        <v>0</v>
      </c>
      <c r="L125" s="170">
        <f t="shared" si="27"/>
        <v>0</v>
      </c>
      <c r="M125" s="170">
        <f t="shared" si="27"/>
        <v>0</v>
      </c>
      <c r="N125" s="170">
        <f t="shared" si="27"/>
        <v>0</v>
      </c>
      <c r="O125" s="170">
        <f t="shared" si="27"/>
        <v>0</v>
      </c>
      <c r="P125" s="170">
        <f t="shared" si="27"/>
        <v>0</v>
      </c>
      <c r="Q125" s="170">
        <f t="shared" si="27"/>
        <v>0</v>
      </c>
      <c r="R125" s="173"/>
      <c r="S125" s="157"/>
      <c r="T125" s="40">
        <f t="shared" si="17"/>
        <v>0</v>
      </c>
    </row>
    <row r="126" spans="1:20" s="84" customFormat="1" ht="24.95" customHeight="1">
      <c r="A126" s="3"/>
      <c r="B126" s="3"/>
      <c r="C126" s="3"/>
      <c r="D126" s="3"/>
      <c r="E126" s="3"/>
      <c r="F126" s="3"/>
      <c r="G126" s="3"/>
      <c r="H126" s="3"/>
      <c r="I126" s="3"/>
      <c r="J126" s="3"/>
      <c r="K126" s="3"/>
      <c r="L126" s="161"/>
      <c r="S126" s="157"/>
      <c r="T126" s="40"/>
    </row>
    <row r="127" spans="1:20" s="84" customFormat="1" ht="24.95" customHeight="1">
      <c r="A127" s="3"/>
      <c r="B127" s="3"/>
      <c r="C127" s="3"/>
      <c r="D127" s="19" t="s">
        <v>443</v>
      </c>
      <c r="E127" s="160">
        <f>IF(E117=0,0,ROUND((E34+E36+E108)/E117,2))</f>
        <v>0</v>
      </c>
      <c r="F127" s="160">
        <f t="shared" ref="F127:Q127" si="28">IF(F117=0,0,ROUND((F34+F36+F108)/F117,2))</f>
        <v>0</v>
      </c>
      <c r="G127" s="160">
        <f t="shared" si="28"/>
        <v>0</v>
      </c>
      <c r="H127" s="160">
        <f t="shared" si="28"/>
        <v>0</v>
      </c>
      <c r="I127" s="160">
        <f t="shared" si="28"/>
        <v>0</v>
      </c>
      <c r="J127" s="160">
        <f t="shared" si="28"/>
        <v>0</v>
      </c>
      <c r="K127" s="160">
        <f t="shared" si="28"/>
        <v>0</v>
      </c>
      <c r="L127" s="160">
        <f t="shared" si="28"/>
        <v>0</v>
      </c>
      <c r="M127" s="160">
        <f t="shared" si="28"/>
        <v>0</v>
      </c>
      <c r="N127" s="160">
        <f t="shared" si="28"/>
        <v>0</v>
      </c>
      <c r="O127" s="160">
        <f t="shared" si="28"/>
        <v>0</v>
      </c>
      <c r="P127" s="160">
        <f t="shared" si="28"/>
        <v>0</v>
      </c>
      <c r="Q127" s="160">
        <f t="shared" si="28"/>
        <v>0</v>
      </c>
      <c r="R127" s="160"/>
      <c r="S127" s="157"/>
      <c r="T127" s="40">
        <f>-IF(Q127-S127=0,0,(Q127-S127)/S127)</f>
        <v>0</v>
      </c>
    </row>
    <row r="128" spans="1:20" s="84" customFormat="1" ht="24.95" customHeight="1">
      <c r="A128" s="3"/>
      <c r="B128" s="3"/>
      <c r="C128" s="3"/>
      <c r="D128" s="3"/>
      <c r="E128" s="3"/>
      <c r="F128" s="3"/>
      <c r="G128" s="3"/>
      <c r="H128" s="3"/>
      <c r="I128" s="3"/>
      <c r="J128" s="3"/>
      <c r="K128" s="3"/>
      <c r="L128" s="161"/>
      <c r="S128" s="157"/>
      <c r="T128" s="40"/>
    </row>
    <row r="129" spans="1:20" s="84" customFormat="1" ht="24.95" customHeight="1">
      <c r="A129" s="3"/>
      <c r="B129" s="3"/>
      <c r="C129" s="3"/>
      <c r="D129" s="19" t="s">
        <v>293</v>
      </c>
      <c r="E129" s="3"/>
      <c r="F129" s="3"/>
      <c r="G129" s="3"/>
      <c r="H129" s="3"/>
      <c r="I129" s="3"/>
      <c r="J129" s="3"/>
      <c r="K129" s="3"/>
      <c r="L129" s="161"/>
      <c r="S129" s="157"/>
      <c r="T129" s="40"/>
    </row>
    <row r="130" spans="1:20" s="84" customFormat="1" ht="24.95" customHeight="1">
      <c r="A130" s="3"/>
      <c r="B130" s="3"/>
      <c r="C130" s="3"/>
      <c r="D130" s="19" t="s">
        <v>444</v>
      </c>
      <c r="E130" s="3"/>
      <c r="F130" s="3"/>
      <c r="G130" s="3"/>
      <c r="H130" s="3"/>
      <c r="I130" s="3"/>
      <c r="J130" s="3"/>
      <c r="K130" s="3"/>
      <c r="L130" s="161"/>
      <c r="S130" s="157"/>
      <c r="T130" s="40"/>
    </row>
    <row r="131" spans="1:20" s="84" customFormat="1" ht="24.95" customHeight="1">
      <c r="A131" s="3" t="s">
        <v>295</v>
      </c>
      <c r="B131" s="3" t="s">
        <v>386</v>
      </c>
      <c r="C131" s="3"/>
      <c r="D131" s="3" t="s">
        <v>297</v>
      </c>
      <c r="E131" s="142">
        <f>Summary!E$362+Summary!E$697</f>
        <v>0</v>
      </c>
      <c r="F131" s="142">
        <f>Summary!F$362+Summary!F$697</f>
        <v>0</v>
      </c>
      <c r="G131" s="142">
        <f>Summary!G$362+Summary!G$697</f>
        <v>0</v>
      </c>
      <c r="H131" s="142">
        <f>Summary!H$362+Summary!H$697</f>
        <v>0</v>
      </c>
      <c r="I131" s="142">
        <f>Summary!I$362+Summary!I$697</f>
        <v>0</v>
      </c>
      <c r="J131" s="142">
        <f>Summary!J$362+Summary!J$697</f>
        <v>0</v>
      </c>
      <c r="K131" s="142">
        <f>Summary!K$362+Summary!K$697</f>
        <v>0</v>
      </c>
      <c r="L131" s="142">
        <f>Summary!L$362+Summary!L$697</f>
        <v>0</v>
      </c>
      <c r="M131" s="142">
        <f>Summary!M$362+Summary!M$697</f>
        <v>0</v>
      </c>
      <c r="N131" s="142">
        <f>Summary!N$362+Summary!N$697</f>
        <v>0</v>
      </c>
      <c r="O131" s="142">
        <f>Summary!O$362+Summary!O$697</f>
        <v>0</v>
      </c>
      <c r="P131" s="142">
        <f>Summary!P$362+Summary!P$697</f>
        <v>0</v>
      </c>
      <c r="Q131" s="142">
        <f>SUM(E131:P131)</f>
        <v>0</v>
      </c>
      <c r="R131" s="142" t="e">
        <f>Q131/$Q$117</f>
        <v>#DIV/0!</v>
      </c>
      <c r="S131" s="157"/>
      <c r="T131" s="40">
        <f>-IF(Q131-S131=0,0,(Q131-S131)/S131)</f>
        <v>0</v>
      </c>
    </row>
    <row r="132" spans="1:20" s="84" customFormat="1" ht="24.95" customHeight="1">
      <c r="A132" s="50" t="s">
        <v>298</v>
      </c>
      <c r="B132" s="3" t="s">
        <v>386</v>
      </c>
      <c r="C132" s="3"/>
      <c r="D132" s="3" t="s">
        <v>447</v>
      </c>
      <c r="E132" s="61">
        <f>Summary!E$363</f>
        <v>0</v>
      </c>
      <c r="F132" s="61">
        <f>Summary!F$363</f>
        <v>0</v>
      </c>
      <c r="G132" s="61">
        <f>Summary!G$363</f>
        <v>0</v>
      </c>
      <c r="H132" s="61">
        <f>Summary!H$363</f>
        <v>0</v>
      </c>
      <c r="I132" s="61">
        <f>Summary!I$363</f>
        <v>0</v>
      </c>
      <c r="J132" s="61">
        <f>Summary!J$363</f>
        <v>0</v>
      </c>
      <c r="K132" s="61">
        <f>Summary!K$363</f>
        <v>0</v>
      </c>
      <c r="L132" s="61">
        <f>Summary!L$363</f>
        <v>0</v>
      </c>
      <c r="M132" s="61">
        <f>Summary!M$363</f>
        <v>0</v>
      </c>
      <c r="N132" s="61">
        <f>Summary!N$363</f>
        <v>0</v>
      </c>
      <c r="O132" s="61">
        <f>Summary!O$363</f>
        <v>0</v>
      </c>
      <c r="P132" s="61">
        <f>Summary!P$363</f>
        <v>0</v>
      </c>
      <c r="Q132" s="142">
        <f t="shared" ref="Q132:Q133" si="29">SUM(E132:P132)</f>
        <v>0</v>
      </c>
      <c r="R132" s="142" t="e">
        <f>Q132/$Q$117</f>
        <v>#DIV/0!</v>
      </c>
      <c r="S132" s="157"/>
      <c r="T132" s="40">
        <f t="shared" ref="T132:T163" si="30">-IF(Q132-S132=0,0,(Q132-S132)/S132)</f>
        <v>0</v>
      </c>
    </row>
    <row r="133" spans="1:20" s="84" customFormat="1" ht="24.95" customHeight="1">
      <c r="A133" s="50" t="s">
        <v>298</v>
      </c>
      <c r="B133" s="3" t="s">
        <v>386</v>
      </c>
      <c r="C133" s="3"/>
      <c r="D133" s="3" t="s">
        <v>449</v>
      </c>
      <c r="E133" s="61">
        <f>Summary!E$698</f>
        <v>0</v>
      </c>
      <c r="F133" s="61">
        <f>Summary!F$698</f>
        <v>0</v>
      </c>
      <c r="G133" s="61">
        <f>Summary!G$698</f>
        <v>0</v>
      </c>
      <c r="H133" s="61">
        <f>Summary!H$698</f>
        <v>0</v>
      </c>
      <c r="I133" s="61">
        <f>Summary!I$698</f>
        <v>0</v>
      </c>
      <c r="J133" s="61">
        <f>Summary!J$698</f>
        <v>0</v>
      </c>
      <c r="K133" s="61">
        <f>Summary!K$698</f>
        <v>0</v>
      </c>
      <c r="L133" s="61">
        <f>Summary!L$698</f>
        <v>0</v>
      </c>
      <c r="M133" s="61">
        <f>Summary!M$698</f>
        <v>0</v>
      </c>
      <c r="N133" s="61">
        <f>Summary!N$698</f>
        <v>0</v>
      </c>
      <c r="O133" s="61">
        <f>Summary!O$698</f>
        <v>0</v>
      </c>
      <c r="P133" s="61">
        <f>Summary!P$698</f>
        <v>0</v>
      </c>
      <c r="Q133" s="142">
        <f t="shared" si="29"/>
        <v>0</v>
      </c>
      <c r="R133" s="142" t="e">
        <f>Q133/$Q$117</f>
        <v>#DIV/0!</v>
      </c>
      <c r="S133" s="157"/>
      <c r="T133" s="40">
        <f t="shared" si="30"/>
        <v>0</v>
      </c>
    </row>
    <row r="134" spans="1:20" s="84" customFormat="1" ht="24.95" customHeight="1">
      <c r="A134" s="3"/>
      <c r="B134" s="3"/>
      <c r="C134" s="3"/>
      <c r="D134" s="19" t="s">
        <v>450</v>
      </c>
      <c r="E134" s="160">
        <f>SUM(E131:E133)</f>
        <v>0</v>
      </c>
      <c r="F134" s="160">
        <f t="shared" ref="F134:P134" si="31">SUM(F131:F133)</f>
        <v>0</v>
      </c>
      <c r="G134" s="160">
        <f t="shared" si="31"/>
        <v>0</v>
      </c>
      <c r="H134" s="160">
        <f t="shared" si="31"/>
        <v>0</v>
      </c>
      <c r="I134" s="160">
        <f t="shared" si="31"/>
        <v>0</v>
      </c>
      <c r="J134" s="160">
        <f t="shared" si="31"/>
        <v>0</v>
      </c>
      <c r="K134" s="160">
        <f t="shared" si="31"/>
        <v>0</v>
      </c>
      <c r="L134" s="160">
        <f t="shared" si="31"/>
        <v>0</v>
      </c>
      <c r="M134" s="160">
        <f t="shared" si="31"/>
        <v>0</v>
      </c>
      <c r="N134" s="160">
        <f t="shared" si="31"/>
        <v>0</v>
      </c>
      <c r="O134" s="160">
        <f t="shared" si="31"/>
        <v>0</v>
      </c>
      <c r="P134" s="160">
        <f t="shared" si="31"/>
        <v>0</v>
      </c>
      <c r="Q134" s="160">
        <f t="shared" ref="Q134" si="32">SUM(Q131:Q133)</f>
        <v>0</v>
      </c>
      <c r="R134" s="142" t="e">
        <f>Q134/$Q$117</f>
        <v>#DIV/0!</v>
      </c>
      <c r="S134" s="157"/>
      <c r="T134" s="40">
        <f t="shared" si="30"/>
        <v>0</v>
      </c>
    </row>
    <row r="135" spans="1:20" s="84" customFormat="1" ht="24.95" customHeight="1">
      <c r="A135" s="3"/>
      <c r="B135" s="3"/>
      <c r="C135" s="3"/>
      <c r="D135" s="3"/>
      <c r="E135" s="3"/>
      <c r="F135" s="3"/>
      <c r="G135" s="3"/>
      <c r="H135" s="3"/>
      <c r="I135" s="3"/>
      <c r="J135" s="3"/>
      <c r="K135" s="3"/>
      <c r="L135" s="161"/>
      <c r="M135" s="161"/>
      <c r="S135" s="157"/>
      <c r="T135" s="40"/>
    </row>
    <row r="136" spans="1:20" s="84" customFormat="1" ht="24.95" customHeight="1">
      <c r="A136" s="3" t="s">
        <v>306</v>
      </c>
      <c r="B136" s="3" t="s">
        <v>386</v>
      </c>
      <c r="C136" s="3"/>
      <c r="D136" s="26" t="s">
        <v>307</v>
      </c>
      <c r="E136" s="61">
        <f>Summary!E$364+Summary!E$699</f>
        <v>0</v>
      </c>
      <c r="F136" s="61">
        <f>Summary!F$364+Summary!F$699</f>
        <v>0</v>
      </c>
      <c r="G136" s="61">
        <f>Summary!G$364+Summary!G$699</f>
        <v>0</v>
      </c>
      <c r="H136" s="61">
        <f>Summary!H$364+Summary!H$699</f>
        <v>0</v>
      </c>
      <c r="I136" s="61">
        <f>Summary!I$364+Summary!I$699</f>
        <v>0</v>
      </c>
      <c r="J136" s="61">
        <f>Summary!J$364+Summary!J$699</f>
        <v>0</v>
      </c>
      <c r="K136" s="61">
        <f>Summary!K$364+Summary!K$699</f>
        <v>0</v>
      </c>
      <c r="L136" s="61">
        <f>Summary!L$364+Summary!L$699</f>
        <v>0</v>
      </c>
      <c r="M136" s="61">
        <f>Summary!M$364+Summary!M$699</f>
        <v>0</v>
      </c>
      <c r="N136" s="61">
        <f>Summary!N$364+Summary!N$699</f>
        <v>0</v>
      </c>
      <c r="O136" s="61">
        <f>Summary!O$364+Summary!O$699</f>
        <v>0</v>
      </c>
      <c r="P136" s="61">
        <f>Summary!P$364+Summary!P$699</f>
        <v>0</v>
      </c>
      <c r="Q136" s="142">
        <f>SUM(E136:P136)</f>
        <v>0</v>
      </c>
      <c r="R136" s="142" t="e">
        <f t="shared" ref="R136:R141" si="33">Q136/$Q$117</f>
        <v>#DIV/0!</v>
      </c>
      <c r="S136" s="157"/>
      <c r="T136" s="40">
        <f t="shared" si="30"/>
        <v>0</v>
      </c>
    </row>
    <row r="137" spans="1:20" s="84" customFormat="1" ht="24.95" customHeight="1">
      <c r="A137" s="3" t="s">
        <v>308</v>
      </c>
      <c r="B137" s="3" t="s">
        <v>386</v>
      </c>
      <c r="C137" s="3"/>
      <c r="D137" s="26" t="s">
        <v>309</v>
      </c>
      <c r="E137" s="61">
        <f>Summary!E$700+Summary!E$365</f>
        <v>0</v>
      </c>
      <c r="F137" s="61">
        <f>Summary!F$700+Summary!F$365</f>
        <v>0</v>
      </c>
      <c r="G137" s="61">
        <f>Summary!G$700+Summary!G$365</f>
        <v>0</v>
      </c>
      <c r="H137" s="61">
        <f>Summary!H$700+Summary!H$365</f>
        <v>0</v>
      </c>
      <c r="I137" s="61">
        <f>Summary!I$700+Summary!I$365</f>
        <v>0</v>
      </c>
      <c r="J137" s="61">
        <f>Summary!J$700+Summary!J$365</f>
        <v>0</v>
      </c>
      <c r="K137" s="61">
        <f>Summary!K$700+Summary!K$365</f>
        <v>0</v>
      </c>
      <c r="L137" s="61">
        <f>Summary!L$700+Summary!L$365</f>
        <v>0</v>
      </c>
      <c r="M137" s="61">
        <f>Summary!M$700+Summary!M$365</f>
        <v>0</v>
      </c>
      <c r="N137" s="61">
        <f>Summary!N$700+Summary!N$365</f>
        <v>0</v>
      </c>
      <c r="O137" s="61">
        <f>Summary!O$700+Summary!O$365</f>
        <v>0</v>
      </c>
      <c r="P137" s="61">
        <f>Summary!P$700+Summary!P$365</f>
        <v>0</v>
      </c>
      <c r="Q137" s="142">
        <f t="shared" ref="Q137:Q140" si="34">SUM(E137:P137)</f>
        <v>0</v>
      </c>
      <c r="R137" s="142" t="e">
        <f t="shared" si="33"/>
        <v>#DIV/0!</v>
      </c>
      <c r="S137" s="157"/>
      <c r="T137" s="40">
        <f t="shared" si="30"/>
        <v>0</v>
      </c>
    </row>
    <row r="138" spans="1:20" s="84" customFormat="1" ht="24.95" customHeight="1">
      <c r="A138" s="3" t="s">
        <v>310</v>
      </c>
      <c r="B138" s="3" t="s">
        <v>386</v>
      </c>
      <c r="C138" s="3"/>
      <c r="D138" s="26" t="s">
        <v>311</v>
      </c>
      <c r="E138" s="61">
        <f>Summary!E$366+Summary!E$701</f>
        <v>0</v>
      </c>
      <c r="F138" s="61">
        <f>Summary!F$366+Summary!F$701</f>
        <v>0</v>
      </c>
      <c r="G138" s="61">
        <f>Summary!G$366+Summary!G$701</f>
        <v>0</v>
      </c>
      <c r="H138" s="61">
        <f>Summary!H$366+Summary!H$701</f>
        <v>0</v>
      </c>
      <c r="I138" s="61">
        <f>Summary!I$366+Summary!I$701</f>
        <v>0</v>
      </c>
      <c r="J138" s="61">
        <f>Summary!J$366+Summary!J$701</f>
        <v>0</v>
      </c>
      <c r="K138" s="61">
        <f>Summary!K$366+Summary!K$701</f>
        <v>0</v>
      </c>
      <c r="L138" s="61">
        <f>Summary!L$366+Summary!L$701</f>
        <v>0</v>
      </c>
      <c r="M138" s="61">
        <f>Summary!M$366+Summary!M$701</f>
        <v>0</v>
      </c>
      <c r="N138" s="61">
        <f>Summary!N$366+Summary!N$701</f>
        <v>0</v>
      </c>
      <c r="O138" s="61">
        <f>Summary!O$366+Summary!O$701</f>
        <v>0</v>
      </c>
      <c r="P138" s="61">
        <f>Summary!P$366+Summary!P$701</f>
        <v>0</v>
      </c>
      <c r="Q138" s="142">
        <f t="shared" si="34"/>
        <v>0</v>
      </c>
      <c r="R138" s="142" t="e">
        <f t="shared" si="33"/>
        <v>#DIV/0!</v>
      </c>
      <c r="S138" s="157"/>
      <c r="T138" s="40">
        <f t="shared" si="30"/>
        <v>0</v>
      </c>
    </row>
    <row r="139" spans="1:20" s="84" customFormat="1" ht="24.95" customHeight="1">
      <c r="A139" s="3" t="s">
        <v>312</v>
      </c>
      <c r="B139" s="3" t="s">
        <v>386</v>
      </c>
      <c r="C139" s="3"/>
      <c r="D139" s="26" t="s">
        <v>313</v>
      </c>
      <c r="E139" s="61">
        <f>Summary!E$367+Summary!E$702</f>
        <v>0</v>
      </c>
      <c r="F139" s="61">
        <f>Summary!F$367+Summary!F$702</f>
        <v>0</v>
      </c>
      <c r="G139" s="61">
        <f>Summary!G$367+Summary!G$702</f>
        <v>0</v>
      </c>
      <c r="H139" s="61">
        <f>Summary!H$367+Summary!H$702</f>
        <v>0</v>
      </c>
      <c r="I139" s="61">
        <f>Summary!I$367+Summary!I$702</f>
        <v>0</v>
      </c>
      <c r="J139" s="61">
        <f>Summary!J$367+Summary!J$702</f>
        <v>0</v>
      </c>
      <c r="K139" s="61">
        <f>Summary!K$367+Summary!K$702</f>
        <v>0</v>
      </c>
      <c r="L139" s="61">
        <f>Summary!L$367+Summary!L$702</f>
        <v>0</v>
      </c>
      <c r="M139" s="61">
        <f>Summary!M$367+Summary!M$702</f>
        <v>0</v>
      </c>
      <c r="N139" s="61">
        <f>Summary!N$367+Summary!N$702</f>
        <v>0</v>
      </c>
      <c r="O139" s="61">
        <f>Summary!O$367+Summary!O$702</f>
        <v>0</v>
      </c>
      <c r="P139" s="61">
        <f>Summary!P$367+Summary!P$702</f>
        <v>0</v>
      </c>
      <c r="Q139" s="142">
        <f t="shared" si="34"/>
        <v>0</v>
      </c>
      <c r="R139" s="142" t="e">
        <f t="shared" si="33"/>
        <v>#DIV/0!</v>
      </c>
      <c r="S139" s="157"/>
      <c r="T139" s="40">
        <f t="shared" si="30"/>
        <v>0</v>
      </c>
    </row>
    <row r="140" spans="1:20" s="84" customFormat="1" ht="24.95" customHeight="1">
      <c r="A140" s="3" t="s">
        <v>314</v>
      </c>
      <c r="B140" s="3" t="s">
        <v>386</v>
      </c>
      <c r="C140" s="3"/>
      <c r="D140" s="26" t="s">
        <v>315</v>
      </c>
      <c r="E140" s="61">
        <f>Summary!E$368+Summary!E$703</f>
        <v>0</v>
      </c>
      <c r="F140" s="61">
        <f>Summary!F$368+Summary!F$703</f>
        <v>0</v>
      </c>
      <c r="G140" s="61">
        <f>Summary!G$368+Summary!G$703</f>
        <v>0</v>
      </c>
      <c r="H140" s="61">
        <f>Summary!H$368+Summary!H$703</f>
        <v>0</v>
      </c>
      <c r="I140" s="61">
        <f>Summary!I$368+Summary!I$703</f>
        <v>0</v>
      </c>
      <c r="J140" s="61">
        <f>Summary!J$368+Summary!J$703</f>
        <v>0</v>
      </c>
      <c r="K140" s="61">
        <f>Summary!K$368+Summary!K$703</f>
        <v>0</v>
      </c>
      <c r="L140" s="61">
        <f>Summary!L$368+Summary!L$703</f>
        <v>0</v>
      </c>
      <c r="M140" s="61">
        <f>Summary!M$368+Summary!M$703</f>
        <v>0</v>
      </c>
      <c r="N140" s="61">
        <f>Summary!N$368+Summary!N$703</f>
        <v>0</v>
      </c>
      <c r="O140" s="61">
        <f>Summary!O$368+Summary!O$703</f>
        <v>0</v>
      </c>
      <c r="P140" s="61">
        <f>Summary!P$368+Summary!P$703</f>
        <v>0</v>
      </c>
      <c r="Q140" s="142">
        <f t="shared" si="34"/>
        <v>0</v>
      </c>
      <c r="R140" s="142" t="e">
        <f t="shared" si="33"/>
        <v>#DIV/0!</v>
      </c>
      <c r="S140" s="157"/>
      <c r="T140" s="40">
        <f t="shared" si="30"/>
        <v>0</v>
      </c>
    </row>
    <row r="141" spans="1:20" s="84" customFormat="1" ht="24.95" customHeight="1">
      <c r="A141" s="3"/>
      <c r="B141" s="3"/>
      <c r="C141" s="3"/>
      <c r="D141" s="19" t="s">
        <v>316</v>
      </c>
      <c r="E141" s="160">
        <f>SUM(E136:E140)</f>
        <v>0</v>
      </c>
      <c r="F141" s="160">
        <f t="shared" ref="F141:Q141" si="35">SUM(F136:F140)</f>
        <v>0</v>
      </c>
      <c r="G141" s="160">
        <f t="shared" si="35"/>
        <v>0</v>
      </c>
      <c r="H141" s="160">
        <f t="shared" si="35"/>
        <v>0</v>
      </c>
      <c r="I141" s="160">
        <f t="shared" si="35"/>
        <v>0</v>
      </c>
      <c r="J141" s="160">
        <f t="shared" si="35"/>
        <v>0</v>
      </c>
      <c r="K141" s="160">
        <f t="shared" si="35"/>
        <v>0</v>
      </c>
      <c r="L141" s="160">
        <f t="shared" si="35"/>
        <v>0</v>
      </c>
      <c r="M141" s="160">
        <f t="shared" si="35"/>
        <v>0</v>
      </c>
      <c r="N141" s="160">
        <f t="shared" si="35"/>
        <v>0</v>
      </c>
      <c r="O141" s="160">
        <f t="shared" si="35"/>
        <v>0</v>
      </c>
      <c r="P141" s="160">
        <f t="shared" si="35"/>
        <v>0</v>
      </c>
      <c r="Q141" s="160">
        <f t="shared" si="35"/>
        <v>0</v>
      </c>
      <c r="R141" s="142" t="e">
        <f t="shared" si="33"/>
        <v>#DIV/0!</v>
      </c>
      <c r="S141" s="157"/>
      <c r="T141" s="40">
        <f t="shared" si="30"/>
        <v>0</v>
      </c>
    </row>
    <row r="142" spans="1:20" s="84" customFormat="1" ht="24.95" customHeight="1">
      <c r="A142" s="3"/>
      <c r="B142" s="3"/>
      <c r="C142" s="3"/>
      <c r="D142" s="3"/>
      <c r="E142" s="3"/>
      <c r="F142" s="3"/>
      <c r="G142" s="3"/>
      <c r="H142" s="3"/>
      <c r="I142" s="3"/>
      <c r="J142" s="3"/>
      <c r="K142" s="3"/>
      <c r="L142" s="161"/>
      <c r="M142" s="161"/>
      <c r="S142" s="157"/>
      <c r="T142" s="40"/>
    </row>
    <row r="143" spans="1:20" s="84" customFormat="1" ht="24.95" customHeight="1">
      <c r="A143" s="3" t="s">
        <v>317</v>
      </c>
      <c r="B143" s="3" t="s">
        <v>386</v>
      </c>
      <c r="C143" s="3"/>
      <c r="D143" s="26" t="s">
        <v>318</v>
      </c>
      <c r="E143" s="61">
        <f>Summary!E$705+Summary!E$370</f>
        <v>0</v>
      </c>
      <c r="F143" s="61">
        <f>Summary!F$705+Summary!F$370</f>
        <v>0</v>
      </c>
      <c r="G143" s="61">
        <f>Summary!G$705+Summary!G$370</f>
        <v>0</v>
      </c>
      <c r="H143" s="61">
        <f>Summary!H$705+Summary!H$370</f>
        <v>0</v>
      </c>
      <c r="I143" s="61">
        <f>Summary!I$705+Summary!I$370</f>
        <v>0</v>
      </c>
      <c r="J143" s="61">
        <f>Summary!J$705+Summary!J$370</f>
        <v>0</v>
      </c>
      <c r="K143" s="61">
        <f>Summary!K$705+Summary!K$370</f>
        <v>0</v>
      </c>
      <c r="L143" s="61">
        <f>Summary!L$705+Summary!L$370</f>
        <v>0</v>
      </c>
      <c r="M143" s="61">
        <f>Summary!M$705+Summary!M$370</f>
        <v>0</v>
      </c>
      <c r="N143" s="61">
        <f>Summary!N$705+Summary!N$370</f>
        <v>0</v>
      </c>
      <c r="O143" s="61">
        <f>Summary!O$705+Summary!O$370</f>
        <v>0</v>
      </c>
      <c r="P143" s="61">
        <f>Summary!P$705+Summary!P$370</f>
        <v>0</v>
      </c>
      <c r="Q143" s="142">
        <f>SUM(E143:P143)</f>
        <v>0</v>
      </c>
      <c r="R143" s="142" t="e">
        <f t="shared" ref="R143:R151" si="36">Q143/$Q$117</f>
        <v>#DIV/0!</v>
      </c>
      <c r="S143" s="157"/>
      <c r="T143" s="40">
        <f t="shared" si="30"/>
        <v>0</v>
      </c>
    </row>
    <row r="144" spans="1:20" s="84" customFormat="1" ht="24.95" customHeight="1">
      <c r="A144" s="3" t="s">
        <v>319</v>
      </c>
      <c r="B144" s="3" t="s">
        <v>386</v>
      </c>
      <c r="C144" s="3"/>
      <c r="D144" s="26" t="s">
        <v>320</v>
      </c>
      <c r="E144" s="61">
        <f>Summary!E$706+Summary!E$371</f>
        <v>0</v>
      </c>
      <c r="F144" s="61">
        <f>Summary!F$706+Summary!F$371</f>
        <v>0</v>
      </c>
      <c r="G144" s="61">
        <f>Summary!G$706+Summary!G$371</f>
        <v>0</v>
      </c>
      <c r="H144" s="61">
        <f>Summary!H$706+Summary!H$371</f>
        <v>0</v>
      </c>
      <c r="I144" s="61">
        <f>Summary!I$706+Summary!I$371</f>
        <v>0</v>
      </c>
      <c r="J144" s="61">
        <f>Summary!J$706+Summary!J$371</f>
        <v>0</v>
      </c>
      <c r="K144" s="61">
        <f>Summary!K$706+Summary!K$371</f>
        <v>0</v>
      </c>
      <c r="L144" s="61">
        <f>Summary!L$706+Summary!L$371</f>
        <v>0</v>
      </c>
      <c r="M144" s="61">
        <f>Summary!M$706+Summary!M$371</f>
        <v>0</v>
      </c>
      <c r="N144" s="61">
        <f>Summary!N$706+Summary!N$371</f>
        <v>0</v>
      </c>
      <c r="O144" s="61">
        <f>Summary!O$706+Summary!O$371</f>
        <v>0</v>
      </c>
      <c r="P144" s="61">
        <f>Summary!P$706+Summary!P$371</f>
        <v>0</v>
      </c>
      <c r="Q144" s="142">
        <f t="shared" ref="Q144:Q150" si="37">SUM(E144:P144)</f>
        <v>0</v>
      </c>
      <c r="R144" s="142" t="e">
        <f t="shared" si="36"/>
        <v>#DIV/0!</v>
      </c>
      <c r="S144" s="157"/>
      <c r="T144" s="40">
        <f t="shared" si="30"/>
        <v>0</v>
      </c>
    </row>
    <row r="145" spans="1:20" s="84" customFormat="1" ht="24.95" customHeight="1">
      <c r="A145" s="3" t="s">
        <v>321</v>
      </c>
      <c r="B145" s="3" t="s">
        <v>386</v>
      </c>
      <c r="C145" s="3"/>
      <c r="D145" s="26" t="s">
        <v>322</v>
      </c>
      <c r="E145" s="61">
        <f>Summary!E$707+Summary!E$372</f>
        <v>0</v>
      </c>
      <c r="F145" s="61">
        <f>Summary!F$707+Summary!F$372</f>
        <v>0</v>
      </c>
      <c r="G145" s="61">
        <f>Summary!G$707+Summary!G$372</f>
        <v>0</v>
      </c>
      <c r="H145" s="61">
        <f>Summary!H$707+Summary!H$372</f>
        <v>0</v>
      </c>
      <c r="I145" s="61">
        <f>Summary!I$707+Summary!I$372</f>
        <v>0</v>
      </c>
      <c r="J145" s="61">
        <f>Summary!J$707+Summary!J$372</f>
        <v>0</v>
      </c>
      <c r="K145" s="61">
        <f>Summary!K$707+Summary!K$372</f>
        <v>0</v>
      </c>
      <c r="L145" s="61">
        <f>Summary!L$707+Summary!L$372</f>
        <v>0</v>
      </c>
      <c r="M145" s="61">
        <f>Summary!M$707+Summary!M$372</f>
        <v>0</v>
      </c>
      <c r="N145" s="61">
        <f>Summary!N$707+Summary!N$372</f>
        <v>0</v>
      </c>
      <c r="O145" s="61">
        <f>Summary!O$707+Summary!O$372</f>
        <v>0</v>
      </c>
      <c r="P145" s="61">
        <f>Summary!P$707+Summary!P$372</f>
        <v>0</v>
      </c>
      <c r="Q145" s="142">
        <f t="shared" si="37"/>
        <v>0</v>
      </c>
      <c r="R145" s="142" t="e">
        <f t="shared" si="36"/>
        <v>#DIV/0!</v>
      </c>
      <c r="S145" s="157"/>
      <c r="T145" s="40">
        <f t="shared" si="30"/>
        <v>0</v>
      </c>
    </row>
    <row r="146" spans="1:20" s="84" customFormat="1" ht="24.95" customHeight="1">
      <c r="A146" s="3" t="s">
        <v>323</v>
      </c>
      <c r="B146" s="3" t="s">
        <v>386</v>
      </c>
      <c r="C146" s="3"/>
      <c r="D146" s="26" t="s">
        <v>324</v>
      </c>
      <c r="E146" s="61">
        <f>Summary!E$708+Summary!E$373</f>
        <v>0</v>
      </c>
      <c r="F146" s="61">
        <f>Summary!F$708+Summary!F$373</f>
        <v>0</v>
      </c>
      <c r="G146" s="61">
        <f>Summary!G$708+Summary!G$373</f>
        <v>0</v>
      </c>
      <c r="H146" s="61">
        <f>Summary!H$708+Summary!H$373</f>
        <v>0</v>
      </c>
      <c r="I146" s="61">
        <f>Summary!I$708+Summary!I$373</f>
        <v>0</v>
      </c>
      <c r="J146" s="61">
        <f>Summary!J$708+Summary!J$373</f>
        <v>0</v>
      </c>
      <c r="K146" s="61">
        <f>Summary!K$708+Summary!K$373</f>
        <v>0</v>
      </c>
      <c r="L146" s="61">
        <f>Summary!L$708+Summary!L$373</f>
        <v>0</v>
      </c>
      <c r="M146" s="61">
        <f>Summary!M$708+Summary!M$373</f>
        <v>0</v>
      </c>
      <c r="N146" s="61">
        <f>Summary!N$708+Summary!N$373</f>
        <v>0</v>
      </c>
      <c r="O146" s="61">
        <f>Summary!O$708+Summary!O$373</f>
        <v>0</v>
      </c>
      <c r="P146" s="61">
        <f>Summary!P$708+Summary!P$373</f>
        <v>0</v>
      </c>
      <c r="Q146" s="142">
        <f t="shared" si="37"/>
        <v>0</v>
      </c>
      <c r="R146" s="142" t="e">
        <f t="shared" si="36"/>
        <v>#DIV/0!</v>
      </c>
      <c r="S146" s="157"/>
      <c r="T146" s="40">
        <f t="shared" si="30"/>
        <v>0</v>
      </c>
    </row>
    <row r="147" spans="1:20" s="84" customFormat="1" ht="24.95" customHeight="1">
      <c r="A147" s="3" t="s">
        <v>325</v>
      </c>
      <c r="B147" s="3" t="s">
        <v>386</v>
      </c>
      <c r="C147" s="3"/>
      <c r="D147" s="26" t="s">
        <v>326</v>
      </c>
      <c r="E147" s="61">
        <f>Summary!E$709+Summary!E$374</f>
        <v>0</v>
      </c>
      <c r="F147" s="61">
        <f>Summary!F$709+Summary!F$374</f>
        <v>0</v>
      </c>
      <c r="G147" s="61">
        <f>Summary!G$709+Summary!G$374</f>
        <v>0</v>
      </c>
      <c r="H147" s="61">
        <f>Summary!H$709+Summary!H$374</f>
        <v>0</v>
      </c>
      <c r="I147" s="61">
        <f>Summary!I$709+Summary!I$374</f>
        <v>0</v>
      </c>
      <c r="J147" s="61">
        <f>Summary!J$709+Summary!J$374</f>
        <v>0</v>
      </c>
      <c r="K147" s="61">
        <f>Summary!K$709+Summary!K$374</f>
        <v>0</v>
      </c>
      <c r="L147" s="61">
        <f>Summary!L$709+Summary!L$374</f>
        <v>0</v>
      </c>
      <c r="M147" s="61">
        <f>Summary!M$709+Summary!M$374</f>
        <v>0</v>
      </c>
      <c r="N147" s="61">
        <f>Summary!N$709+Summary!N$374</f>
        <v>0</v>
      </c>
      <c r="O147" s="61">
        <f>Summary!O$709+Summary!O$374</f>
        <v>0</v>
      </c>
      <c r="P147" s="61">
        <f>Summary!P$709+Summary!P$374</f>
        <v>0</v>
      </c>
      <c r="Q147" s="142">
        <f t="shared" si="37"/>
        <v>0</v>
      </c>
      <c r="R147" s="142" t="e">
        <f t="shared" si="36"/>
        <v>#DIV/0!</v>
      </c>
      <c r="S147" s="157"/>
      <c r="T147" s="40">
        <f t="shared" si="30"/>
        <v>0</v>
      </c>
    </row>
    <row r="148" spans="1:20" s="84" customFormat="1" ht="24.95" customHeight="1">
      <c r="A148" s="3" t="s">
        <v>327</v>
      </c>
      <c r="B148" s="3" t="s">
        <v>386</v>
      </c>
      <c r="C148" s="3"/>
      <c r="D148" s="26" t="s">
        <v>328</v>
      </c>
      <c r="E148" s="61">
        <f>Summary!E$710+Summary!E$375</f>
        <v>0</v>
      </c>
      <c r="F148" s="61">
        <f>Summary!F$710+Summary!F$375</f>
        <v>0</v>
      </c>
      <c r="G148" s="61">
        <f>Summary!G$710+Summary!G$375</f>
        <v>0</v>
      </c>
      <c r="H148" s="61">
        <f>Summary!H$710+Summary!H$375</f>
        <v>0</v>
      </c>
      <c r="I148" s="61">
        <f>Summary!I$710+Summary!I$375</f>
        <v>0</v>
      </c>
      <c r="J148" s="61">
        <f>Summary!J$710+Summary!J$375</f>
        <v>0</v>
      </c>
      <c r="K148" s="61">
        <f>Summary!K$710+Summary!K$375</f>
        <v>0</v>
      </c>
      <c r="L148" s="61">
        <f>Summary!L$710+Summary!L$375</f>
        <v>0</v>
      </c>
      <c r="M148" s="61">
        <f>Summary!M$710+Summary!M$375</f>
        <v>0</v>
      </c>
      <c r="N148" s="61">
        <f>Summary!N$710+Summary!N$375</f>
        <v>0</v>
      </c>
      <c r="O148" s="61">
        <f>Summary!O$710+Summary!O$375</f>
        <v>0</v>
      </c>
      <c r="P148" s="61">
        <f>Summary!P$710+Summary!P$375</f>
        <v>0</v>
      </c>
      <c r="Q148" s="142">
        <f t="shared" si="37"/>
        <v>0</v>
      </c>
      <c r="R148" s="142" t="e">
        <f t="shared" si="36"/>
        <v>#DIV/0!</v>
      </c>
      <c r="S148" s="157"/>
      <c r="T148" s="40">
        <f t="shared" si="30"/>
        <v>0</v>
      </c>
    </row>
    <row r="149" spans="1:20" s="84" customFormat="1" ht="24.95" customHeight="1">
      <c r="A149" s="3" t="s">
        <v>329</v>
      </c>
      <c r="B149" s="3" t="s">
        <v>415</v>
      </c>
      <c r="C149" s="3"/>
      <c r="D149" s="26" t="s">
        <v>330</v>
      </c>
      <c r="E149" s="61">
        <v>0</v>
      </c>
      <c r="F149" s="63">
        <v>0</v>
      </c>
      <c r="G149" s="63">
        <v>0</v>
      </c>
      <c r="H149" s="63">
        <v>0</v>
      </c>
      <c r="I149" s="63">
        <v>0</v>
      </c>
      <c r="J149" s="61">
        <v>0</v>
      </c>
      <c r="K149" s="61">
        <v>0</v>
      </c>
      <c r="L149" s="61">
        <v>0</v>
      </c>
      <c r="M149" s="61">
        <v>0</v>
      </c>
      <c r="N149" s="142">
        <v>0</v>
      </c>
      <c r="O149" s="142">
        <v>0</v>
      </c>
      <c r="P149" s="142">
        <v>0</v>
      </c>
      <c r="Q149" s="142">
        <f t="shared" si="37"/>
        <v>0</v>
      </c>
      <c r="R149" s="142" t="e">
        <f t="shared" si="36"/>
        <v>#DIV/0!</v>
      </c>
      <c r="S149" s="157"/>
      <c r="T149" s="40">
        <f t="shared" si="30"/>
        <v>0</v>
      </c>
    </row>
    <row r="150" spans="1:20" s="84" customFormat="1" ht="24.95" customHeight="1">
      <c r="A150" s="3" t="s">
        <v>331</v>
      </c>
      <c r="B150" s="3" t="s">
        <v>415</v>
      </c>
      <c r="C150" s="3"/>
      <c r="D150" s="26" t="s">
        <v>332</v>
      </c>
      <c r="E150" s="61">
        <v>0</v>
      </c>
      <c r="F150" s="63">
        <v>0</v>
      </c>
      <c r="G150" s="63">
        <v>0</v>
      </c>
      <c r="H150" s="63">
        <v>0</v>
      </c>
      <c r="I150" s="63">
        <v>0</v>
      </c>
      <c r="J150" s="61">
        <v>0</v>
      </c>
      <c r="K150" s="61">
        <v>0</v>
      </c>
      <c r="L150" s="61">
        <v>0</v>
      </c>
      <c r="M150" s="61">
        <v>0</v>
      </c>
      <c r="N150" s="142">
        <v>0</v>
      </c>
      <c r="O150" s="142">
        <v>0</v>
      </c>
      <c r="P150" s="142">
        <v>0</v>
      </c>
      <c r="Q150" s="142">
        <f t="shared" si="37"/>
        <v>0</v>
      </c>
      <c r="R150" s="142" t="e">
        <f t="shared" si="36"/>
        <v>#DIV/0!</v>
      </c>
      <c r="S150" s="157"/>
      <c r="T150" s="40">
        <f t="shared" si="30"/>
        <v>0</v>
      </c>
    </row>
    <row r="151" spans="1:20" s="84" customFormat="1" ht="24.95" customHeight="1">
      <c r="A151" s="3"/>
      <c r="B151" s="3"/>
      <c r="C151" s="3"/>
      <c r="D151" s="19" t="s">
        <v>333</v>
      </c>
      <c r="E151" s="160">
        <f>SUM(E143:E150)</f>
        <v>0</v>
      </c>
      <c r="F151" s="160">
        <f t="shared" ref="F151:Q151" si="38">SUM(F143:F150)</f>
        <v>0</v>
      </c>
      <c r="G151" s="160">
        <f t="shared" si="38"/>
        <v>0</v>
      </c>
      <c r="H151" s="160">
        <f t="shared" si="38"/>
        <v>0</v>
      </c>
      <c r="I151" s="160">
        <f t="shared" si="38"/>
        <v>0</v>
      </c>
      <c r="J151" s="160">
        <f t="shared" si="38"/>
        <v>0</v>
      </c>
      <c r="K151" s="160">
        <f t="shared" si="38"/>
        <v>0</v>
      </c>
      <c r="L151" s="160">
        <f t="shared" si="38"/>
        <v>0</v>
      </c>
      <c r="M151" s="160">
        <f t="shared" si="38"/>
        <v>0</v>
      </c>
      <c r="N151" s="160">
        <f t="shared" si="38"/>
        <v>0</v>
      </c>
      <c r="O151" s="160">
        <f t="shared" si="38"/>
        <v>0</v>
      </c>
      <c r="P151" s="160">
        <f t="shared" si="38"/>
        <v>0</v>
      </c>
      <c r="Q151" s="160">
        <f t="shared" si="38"/>
        <v>0</v>
      </c>
      <c r="R151" s="142" t="e">
        <f t="shared" si="36"/>
        <v>#DIV/0!</v>
      </c>
      <c r="S151" s="157"/>
      <c r="T151" s="40">
        <f t="shared" si="30"/>
        <v>0</v>
      </c>
    </row>
    <row r="152" spans="1:20" s="84" customFormat="1" ht="24.95" customHeight="1">
      <c r="A152" s="3"/>
      <c r="B152" s="3"/>
      <c r="C152" s="3"/>
      <c r="D152" s="3"/>
      <c r="E152" s="3"/>
      <c r="F152" s="3"/>
      <c r="G152" s="3"/>
      <c r="H152" s="3"/>
      <c r="I152" s="3"/>
      <c r="J152" s="3"/>
      <c r="K152" s="3"/>
      <c r="L152" s="161"/>
      <c r="M152" s="161"/>
      <c r="S152" s="157"/>
      <c r="T152" s="40"/>
    </row>
    <row r="153" spans="1:20" s="84" customFormat="1" ht="24.95" hidden="1" customHeight="1">
      <c r="A153" s="3" t="s">
        <v>334</v>
      </c>
      <c r="B153" s="3" t="s">
        <v>415</v>
      </c>
      <c r="C153" s="3"/>
      <c r="D153" s="26" t="s">
        <v>335</v>
      </c>
      <c r="E153" s="61">
        <v>0</v>
      </c>
      <c r="F153" s="63">
        <v>0</v>
      </c>
      <c r="G153" s="63">
        <v>0</v>
      </c>
      <c r="H153" s="63">
        <v>0</v>
      </c>
      <c r="I153" s="63">
        <v>0</v>
      </c>
      <c r="J153" s="61">
        <v>0</v>
      </c>
      <c r="K153" s="61">
        <v>0</v>
      </c>
      <c r="L153" s="61">
        <v>0</v>
      </c>
      <c r="M153" s="61">
        <v>0</v>
      </c>
      <c r="N153" s="142">
        <v>0</v>
      </c>
      <c r="O153" s="142">
        <v>0</v>
      </c>
      <c r="P153" s="142">
        <v>0</v>
      </c>
      <c r="Q153" s="142">
        <f>SUM(E153:P153)</f>
        <v>0</v>
      </c>
      <c r="R153" s="142" t="e">
        <f t="shared" ref="R153:R161" si="39">Q153/$Q$117</f>
        <v>#DIV/0!</v>
      </c>
      <c r="S153" s="157"/>
      <c r="T153" s="40">
        <f t="shared" si="30"/>
        <v>0</v>
      </c>
    </row>
    <row r="154" spans="1:20" s="84" customFormat="1" ht="24.95" hidden="1" customHeight="1">
      <c r="A154" s="3" t="s">
        <v>336</v>
      </c>
      <c r="B154" s="3" t="s">
        <v>415</v>
      </c>
      <c r="C154" s="3"/>
      <c r="D154" s="3" t="s">
        <v>337</v>
      </c>
      <c r="E154" s="61">
        <v>0</v>
      </c>
      <c r="F154" s="63">
        <v>0</v>
      </c>
      <c r="G154" s="63">
        <v>0</v>
      </c>
      <c r="H154" s="63">
        <v>0</v>
      </c>
      <c r="I154" s="63">
        <v>0</v>
      </c>
      <c r="J154" s="61">
        <v>0</v>
      </c>
      <c r="K154" s="61">
        <v>0</v>
      </c>
      <c r="L154" s="61">
        <v>0</v>
      </c>
      <c r="M154" s="61">
        <v>0</v>
      </c>
      <c r="N154" s="142">
        <v>0</v>
      </c>
      <c r="O154" s="142">
        <v>0</v>
      </c>
      <c r="P154" s="142">
        <v>0</v>
      </c>
      <c r="Q154" s="142">
        <f t="shared" ref="Q154:Q159" si="40">SUM(E154:P154)</f>
        <v>0</v>
      </c>
      <c r="R154" s="142" t="e">
        <f t="shared" si="39"/>
        <v>#DIV/0!</v>
      </c>
      <c r="S154" s="157"/>
      <c r="T154" s="40">
        <f t="shared" si="30"/>
        <v>0</v>
      </c>
    </row>
    <row r="155" spans="1:20" s="84" customFormat="1" ht="24.95" hidden="1" customHeight="1">
      <c r="A155" s="3" t="s">
        <v>338</v>
      </c>
      <c r="B155" s="3" t="s">
        <v>415</v>
      </c>
      <c r="C155" s="3"/>
      <c r="D155" s="26" t="s">
        <v>339</v>
      </c>
      <c r="E155" s="61">
        <v>0</v>
      </c>
      <c r="F155" s="63">
        <v>0</v>
      </c>
      <c r="G155" s="63">
        <v>0</v>
      </c>
      <c r="H155" s="63">
        <v>0</v>
      </c>
      <c r="I155" s="63">
        <v>0</v>
      </c>
      <c r="J155" s="61">
        <v>0</v>
      </c>
      <c r="K155" s="61">
        <v>0</v>
      </c>
      <c r="L155" s="61">
        <v>0</v>
      </c>
      <c r="M155" s="61">
        <v>0</v>
      </c>
      <c r="N155" s="142">
        <v>0</v>
      </c>
      <c r="O155" s="142">
        <v>0</v>
      </c>
      <c r="P155" s="142">
        <v>0</v>
      </c>
      <c r="Q155" s="142">
        <f t="shared" si="40"/>
        <v>0</v>
      </c>
      <c r="R155" s="142" t="e">
        <f t="shared" si="39"/>
        <v>#DIV/0!</v>
      </c>
      <c r="S155" s="157"/>
      <c r="T155" s="40">
        <f t="shared" si="30"/>
        <v>0</v>
      </c>
    </row>
    <row r="156" spans="1:20" s="84" customFormat="1" ht="24.95" hidden="1" customHeight="1">
      <c r="A156" s="3" t="s">
        <v>340</v>
      </c>
      <c r="B156" s="3" t="s">
        <v>415</v>
      </c>
      <c r="C156" s="3"/>
      <c r="D156" s="26" t="s">
        <v>341</v>
      </c>
      <c r="E156" s="61">
        <v>0</v>
      </c>
      <c r="F156" s="63">
        <v>0</v>
      </c>
      <c r="G156" s="63">
        <v>0</v>
      </c>
      <c r="H156" s="63">
        <v>0</v>
      </c>
      <c r="I156" s="63">
        <v>0</v>
      </c>
      <c r="J156" s="61">
        <v>0</v>
      </c>
      <c r="K156" s="61">
        <v>0</v>
      </c>
      <c r="L156" s="61">
        <v>0</v>
      </c>
      <c r="M156" s="61">
        <v>0</v>
      </c>
      <c r="N156" s="142">
        <v>0</v>
      </c>
      <c r="O156" s="142">
        <v>0</v>
      </c>
      <c r="P156" s="142">
        <v>0</v>
      </c>
      <c r="Q156" s="142">
        <f t="shared" si="40"/>
        <v>0</v>
      </c>
      <c r="R156" s="142" t="e">
        <f t="shared" si="39"/>
        <v>#DIV/0!</v>
      </c>
      <c r="S156" s="157"/>
      <c r="T156" s="40">
        <f t="shared" si="30"/>
        <v>0</v>
      </c>
    </row>
    <row r="157" spans="1:20" s="84" customFormat="1" ht="24.95" customHeight="1">
      <c r="A157" s="3" t="s">
        <v>342</v>
      </c>
      <c r="B157" s="3" t="s">
        <v>386</v>
      </c>
      <c r="C157" s="3"/>
      <c r="D157" s="26" t="s">
        <v>343</v>
      </c>
      <c r="E157" s="61">
        <f>Summary!E$377+Summary!E$712</f>
        <v>0</v>
      </c>
      <c r="F157" s="61">
        <f>Summary!F$377+Summary!F$712</f>
        <v>0</v>
      </c>
      <c r="G157" s="61">
        <f>Summary!G$377+Summary!G$712</f>
        <v>0</v>
      </c>
      <c r="H157" s="61">
        <f>Summary!H$377+Summary!H$712</f>
        <v>0</v>
      </c>
      <c r="I157" s="61">
        <f>Summary!I$377+Summary!I$712</f>
        <v>0</v>
      </c>
      <c r="J157" s="61">
        <f>Summary!J$377+Summary!J$712</f>
        <v>0</v>
      </c>
      <c r="K157" s="61">
        <f>Summary!K$377+Summary!K$712</f>
        <v>0</v>
      </c>
      <c r="L157" s="61">
        <f>Summary!L$377+Summary!L$712</f>
        <v>0</v>
      </c>
      <c r="M157" s="61">
        <f>Summary!M$377+Summary!M$712</f>
        <v>0</v>
      </c>
      <c r="N157" s="61">
        <f>Summary!N$377+Summary!N$712</f>
        <v>0</v>
      </c>
      <c r="O157" s="61">
        <f>Summary!O$377+Summary!O$712</f>
        <v>0</v>
      </c>
      <c r="P157" s="61">
        <f>Summary!P$377+Summary!P$712</f>
        <v>0</v>
      </c>
      <c r="Q157" s="142">
        <f t="shared" si="40"/>
        <v>0</v>
      </c>
      <c r="R157" s="142" t="e">
        <f t="shared" si="39"/>
        <v>#DIV/0!</v>
      </c>
      <c r="S157" s="157"/>
      <c r="T157" s="40">
        <f t="shared" si="30"/>
        <v>0</v>
      </c>
    </row>
    <row r="158" spans="1:20" s="84" customFormat="1" ht="24.95" hidden="1" customHeight="1">
      <c r="A158" s="3" t="s">
        <v>344</v>
      </c>
      <c r="B158" s="3" t="s">
        <v>386</v>
      </c>
      <c r="C158" s="3"/>
      <c r="D158" s="26" t="s">
        <v>345</v>
      </c>
      <c r="E158" s="61">
        <f>Summary!E$378+Summary!E$713</f>
        <v>0</v>
      </c>
      <c r="F158" s="61">
        <f>Summary!F$378+Summary!F$713</f>
        <v>0</v>
      </c>
      <c r="G158" s="61">
        <f>Summary!G$378+Summary!G$713</f>
        <v>0</v>
      </c>
      <c r="H158" s="61">
        <f>Summary!H$378+Summary!H$713</f>
        <v>0</v>
      </c>
      <c r="I158" s="61">
        <f>Summary!I$378+Summary!I$713</f>
        <v>0</v>
      </c>
      <c r="J158" s="61">
        <f>Summary!J$378+Summary!J$713</f>
        <v>0</v>
      </c>
      <c r="K158" s="61">
        <f>Summary!K$378+Summary!K$713</f>
        <v>0</v>
      </c>
      <c r="L158" s="61">
        <f>Summary!L$378+Summary!L$713</f>
        <v>0</v>
      </c>
      <c r="M158" s="61">
        <f>Summary!M$378+Summary!M$713</f>
        <v>0</v>
      </c>
      <c r="N158" s="61">
        <f>Summary!N$378+Summary!N$713</f>
        <v>0</v>
      </c>
      <c r="O158" s="61">
        <f>Summary!O$378+Summary!O$713</f>
        <v>0</v>
      </c>
      <c r="P158" s="61">
        <f>Summary!P$378+Summary!P$713</f>
        <v>0</v>
      </c>
      <c r="Q158" s="142">
        <f t="shared" si="40"/>
        <v>0</v>
      </c>
      <c r="R158" s="142" t="e">
        <f t="shared" si="39"/>
        <v>#DIV/0!</v>
      </c>
      <c r="S158" s="157"/>
      <c r="T158" s="40">
        <f t="shared" si="30"/>
        <v>0</v>
      </c>
    </row>
    <row r="159" spans="1:20" s="84" customFormat="1" ht="24.95" customHeight="1">
      <c r="A159" s="3" t="s">
        <v>346</v>
      </c>
      <c r="B159" s="3" t="s">
        <v>386</v>
      </c>
      <c r="C159" s="3"/>
      <c r="D159" s="26" t="s">
        <v>347</v>
      </c>
      <c r="E159" s="61">
        <f>Summary!E$379+Summary!E$714</f>
        <v>0</v>
      </c>
      <c r="F159" s="61">
        <f>Summary!F$379+Summary!F$714</f>
        <v>0</v>
      </c>
      <c r="G159" s="61">
        <f>Summary!G$379+Summary!G$714</f>
        <v>0</v>
      </c>
      <c r="H159" s="61">
        <f>Summary!H$379+Summary!H$714</f>
        <v>0</v>
      </c>
      <c r="I159" s="61">
        <f>Summary!I$379+Summary!I$714</f>
        <v>0</v>
      </c>
      <c r="J159" s="61">
        <f>Summary!J$379+Summary!J$714</f>
        <v>0</v>
      </c>
      <c r="K159" s="61">
        <f>Summary!K$379+Summary!K$714</f>
        <v>0</v>
      </c>
      <c r="L159" s="61">
        <f>Summary!L$379+Summary!L$714</f>
        <v>0</v>
      </c>
      <c r="M159" s="61">
        <f>Summary!M$379+Summary!M$714</f>
        <v>0</v>
      </c>
      <c r="N159" s="61">
        <f>Summary!N$379+Summary!N$714</f>
        <v>0</v>
      </c>
      <c r="O159" s="61">
        <f>Summary!O$379+Summary!O$714</f>
        <v>0</v>
      </c>
      <c r="P159" s="61">
        <f>Summary!P$379+Summary!P$714</f>
        <v>0</v>
      </c>
      <c r="Q159" s="142">
        <f t="shared" si="40"/>
        <v>0</v>
      </c>
      <c r="R159" s="142" t="e">
        <f t="shared" si="39"/>
        <v>#DIV/0!</v>
      </c>
      <c r="S159" s="157"/>
      <c r="T159" s="40">
        <f t="shared" si="30"/>
        <v>0</v>
      </c>
    </row>
    <row r="160" spans="1:20" s="84" customFormat="1" ht="24.95" customHeight="1">
      <c r="A160" s="3"/>
      <c r="B160" s="3"/>
      <c r="C160" s="3"/>
      <c r="D160" s="19" t="s">
        <v>348</v>
      </c>
      <c r="E160" s="160">
        <f>SUM(E153:E159)</f>
        <v>0</v>
      </c>
      <c r="F160" s="160">
        <f t="shared" ref="F160:Q160" si="41">SUM(F153:F159)</f>
        <v>0</v>
      </c>
      <c r="G160" s="160">
        <f t="shared" si="41"/>
        <v>0</v>
      </c>
      <c r="H160" s="160">
        <f t="shared" si="41"/>
        <v>0</v>
      </c>
      <c r="I160" s="160">
        <f t="shared" si="41"/>
        <v>0</v>
      </c>
      <c r="J160" s="160">
        <f t="shared" si="41"/>
        <v>0</v>
      </c>
      <c r="K160" s="160">
        <f t="shared" si="41"/>
        <v>0</v>
      </c>
      <c r="L160" s="160">
        <f t="shared" si="41"/>
        <v>0</v>
      </c>
      <c r="M160" s="160">
        <f t="shared" si="41"/>
        <v>0</v>
      </c>
      <c r="N160" s="160">
        <f t="shared" si="41"/>
        <v>0</v>
      </c>
      <c r="O160" s="160">
        <f t="shared" si="41"/>
        <v>0</v>
      </c>
      <c r="P160" s="160">
        <f t="shared" si="41"/>
        <v>0</v>
      </c>
      <c r="Q160" s="160">
        <f t="shared" si="41"/>
        <v>0</v>
      </c>
      <c r="R160" s="142" t="e">
        <f t="shared" si="39"/>
        <v>#DIV/0!</v>
      </c>
      <c r="S160" s="157"/>
      <c r="T160" s="40">
        <f t="shared" si="30"/>
        <v>0</v>
      </c>
    </row>
    <row r="161" spans="1:20" s="84" customFormat="1" ht="24.95" customHeight="1">
      <c r="A161" s="3"/>
      <c r="B161" s="3"/>
      <c r="C161" s="3"/>
      <c r="D161" s="19" t="s">
        <v>349</v>
      </c>
      <c r="E161" s="160">
        <f>E134+E141+E151+E160</f>
        <v>0</v>
      </c>
      <c r="F161" s="160">
        <f t="shared" ref="F161:Q161" si="42">F134+F141+F151+F160</f>
        <v>0</v>
      </c>
      <c r="G161" s="160">
        <f t="shared" si="42"/>
        <v>0</v>
      </c>
      <c r="H161" s="160">
        <f t="shared" si="42"/>
        <v>0</v>
      </c>
      <c r="I161" s="160">
        <f t="shared" si="42"/>
        <v>0</v>
      </c>
      <c r="J161" s="160">
        <f t="shared" si="42"/>
        <v>0</v>
      </c>
      <c r="K161" s="160">
        <f t="shared" si="42"/>
        <v>0</v>
      </c>
      <c r="L161" s="160">
        <f t="shared" si="42"/>
        <v>0</v>
      </c>
      <c r="M161" s="160">
        <f t="shared" si="42"/>
        <v>0</v>
      </c>
      <c r="N161" s="160">
        <f t="shared" si="42"/>
        <v>0</v>
      </c>
      <c r="O161" s="160">
        <f t="shared" si="42"/>
        <v>0</v>
      </c>
      <c r="P161" s="160">
        <f t="shared" si="42"/>
        <v>0</v>
      </c>
      <c r="Q161" s="160">
        <f t="shared" si="42"/>
        <v>0</v>
      </c>
      <c r="R161" s="142" t="e">
        <f t="shared" si="39"/>
        <v>#DIV/0!</v>
      </c>
      <c r="S161" s="157"/>
      <c r="T161" s="40">
        <f t="shared" si="30"/>
        <v>0</v>
      </c>
    </row>
    <row r="162" spans="1:20" s="42" customFormat="1" ht="24.95" customHeight="1">
      <c r="L162" s="161"/>
      <c r="S162" s="157"/>
      <c r="T162" s="40"/>
    </row>
    <row r="163" spans="1:20" s="84" customFormat="1" ht="24.95" customHeight="1">
      <c r="A163" s="3" t="s">
        <v>105</v>
      </c>
      <c r="B163" s="3" t="s">
        <v>386</v>
      </c>
      <c r="C163" s="3"/>
      <c r="D163" s="19" t="s">
        <v>352</v>
      </c>
      <c r="E163" s="68">
        <f>Summary!E$687+Summary!E$352</f>
        <v>0</v>
      </c>
      <c r="F163" s="68">
        <f>Summary!F$687+Summary!F$352</f>
        <v>0</v>
      </c>
      <c r="G163" s="68">
        <f>Summary!G$687+Summary!G$352</f>
        <v>0</v>
      </c>
      <c r="H163" s="68">
        <f>Summary!H$687+Summary!H$352</f>
        <v>0</v>
      </c>
      <c r="I163" s="68">
        <f>Summary!I$687+Summary!I$352</f>
        <v>0</v>
      </c>
      <c r="J163" s="68">
        <f>Summary!J$687+Summary!J$352</f>
        <v>0</v>
      </c>
      <c r="K163" s="68">
        <f>Summary!K$687+Summary!K$352</f>
        <v>0</v>
      </c>
      <c r="L163" s="68">
        <f>Summary!L$687+Summary!L$352</f>
        <v>0</v>
      </c>
      <c r="M163" s="68">
        <f>Summary!M$687+Summary!M$352</f>
        <v>0</v>
      </c>
      <c r="N163" s="68">
        <f>Summary!N$687+Summary!N$352</f>
        <v>0</v>
      </c>
      <c r="O163" s="68">
        <f>Summary!O$687+Summary!O$352</f>
        <v>0</v>
      </c>
      <c r="P163" s="68">
        <f>Summary!P$687+Summary!P$352</f>
        <v>0</v>
      </c>
      <c r="Q163" s="166">
        <f>SUM(E163:P163)/12</f>
        <v>0</v>
      </c>
      <c r="R163" s="167"/>
      <c r="S163" s="157"/>
      <c r="T163" s="40">
        <f t="shared" si="30"/>
        <v>0</v>
      </c>
    </row>
  </sheetData>
  <phoneticPr fontId="57" type="noConversion"/>
  <dataValidations count="54">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5=-331377.43_x000d__x000a_" sqref="I18:I19">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3710_x000d__x000a_" sqref="M32">
      <formula1>0</formula1>
      <formula2>300</formula2>
    </dataValidation>
    <dataValidation type="textLength" errorStyle="information" allowBlank="1" showInputMessage="1" showErrorMessage="1" error="XLBVal:6=623590.56_x000d__x000a_" sqref="E14:P14">
      <formula1>0</formula1>
      <formula2>300</formula2>
    </dataValidation>
    <dataValidation type="textLength" errorStyle="information" allowBlank="1" showInputMessage="1" showErrorMessage="1" error="XLBVal:6=209604.31_x000d__x000a_" sqref="E27:P27">
      <formula1>0</formula1>
      <formula2>300</formula2>
    </dataValidation>
    <dataValidation type="textLength" errorStyle="information" allowBlank="1" showInputMessage="1" showErrorMessage="1" error="XLBVal:6=32547.5_x000d__x000a_" sqref="H32">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5=15426.66_x000d__x000a_" sqref="I35 I37:I38">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5=2443234.73_x000d__x000a_" sqref="E29:E30 H29:H30">
      <formula1>0</formula1>
      <formula2>300</formula2>
    </dataValidation>
    <dataValidation type="textLength" errorStyle="information" allowBlank="1" showInputMessage="1" showErrorMessage="1" error="XLBVal:5=1285238.57_x000d__x000a_" sqref="F17:G17 I17:R17 E25:R25 E34:R34 R36 E17:E19 H17:H19">
      <formula1>0</formula1>
      <formula2>300</formula2>
    </dataValidation>
    <dataValidation type="textLength" errorStyle="information" allowBlank="1" showInputMessage="1" showErrorMessage="1" error="XLBVal:6=514.58_x000d__x000a_" sqref="E26:P26 E106:P106">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21065.12_x000d__x000a_" sqref="E32">
      <formula1>0</formula1>
      <formula2>300</formula2>
    </dataValidation>
    <dataValidation type="textLength" errorStyle="information" allowBlank="1" showInputMessage="1" showErrorMessage="1" error="XLBVal:6=-6300_x000d__x000a_" sqref="N32:P32">
      <formula1>0</formula1>
      <formula2>300</formula2>
    </dataValidation>
    <dataValidation type="textLength" errorStyle="information" allowBlank="1" showInputMessage="1" showErrorMessage="1" error="XLBVal:6=12414.93_x000d__x000a_" sqref="F32">
      <formula1>0</formula1>
      <formula2>300</formula2>
    </dataValidation>
    <dataValidation type="textLength" errorStyle="information" allowBlank="1" showInputMessage="1" showErrorMessage="1" error="XLBVal:6=25196619_x000d__x000a_" sqref="Q31:Q33">
      <formula1>0</formula1>
      <formula2>300</formula2>
    </dataValidation>
    <dataValidation type="textLength" errorStyle="information" allowBlank="1" showInputMessage="1" showErrorMessage="1" error="XLBVal:6=29793_x000d__x000a_" sqref="G32">
      <formula1>0</formula1>
      <formula2>300</formula2>
    </dataValidation>
    <dataValidation type="textLength" errorStyle="information" allowBlank="1" showInputMessage="1" showErrorMessage="1" error="XLBVal:6=31883_x000d__x000a_" sqref="I32">
      <formula1>0</formula1>
      <formula2>300</formula2>
    </dataValidation>
    <dataValidation type="textLength" errorStyle="information" allowBlank="1" showInputMessage="1" showErrorMessage="1" error="XLBVal:6=132_x000d__x000a_" sqref="E163:P163">
      <formula1>0</formula1>
      <formula2>300</formula2>
    </dataValidation>
    <dataValidation type="textLength" errorStyle="information" allowBlank="1" showInputMessage="1" showErrorMessage="1" error="XLBVal:6=31354_x000d__x000a_" sqref="J32:L32">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E33:P33 E35:G35 E108:Q108 E117:R117 E131:R131 E136:P136 R163 F37:F38 Q39:Q95 Q99:Q107 Q132:Q133 Q153:Q159 R26:R27 R31:R33 R39:R108 R132:R134 R136:R141 R143:R151 R153:R161 E15:P16 E115:P116 E149:P150 E20:R24 E55:P65 E67:P93 Q12:R16 Q112:R116 E153:P156 E39:P53 E96:Q98 E99:P105">
      <formula1>0</formula1>
      <formula2>300</formula2>
    </dataValidation>
    <dataValidation type="textLength" errorStyle="information" allowBlank="1" showInputMessage="1" showErrorMessage="1" error="XLBVal:5=0_x000d__x000a_" sqref="H35 F18:F19 F29:F30">
      <formula1>0</formula1>
      <formula2>300</formula2>
    </dataValidation>
    <dataValidation type="textLength" errorStyle="information" allowBlank="1" showInputMessage="1" showErrorMessage="1" error="XLBVal:6=82302.23_x000d__x000a_" sqref="E143:P148">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699_x000d__x000a_" sqref="E114:P114">
      <formula1>0</formula1>
      <formula2>300</formula2>
    </dataValidation>
    <dataValidation type="textLength" errorStyle="information" allowBlank="1" showInputMessage="1" showErrorMessage="1" error="XLBVal:6=7331.48_x000d__x000a_" sqref="E54:P54 E66:P66">
      <formula1>0</formula1>
      <formula2>300</formula2>
    </dataValidation>
    <dataValidation type="textLength" errorStyle="information" allowBlank="1" showInputMessage="1" showErrorMessage="1" error="XLBVal:6=95446.45_x000d__x000a_" sqref="E137:P137">
      <formula1>0</formula1>
      <formula2>300</formula2>
    </dataValidation>
    <dataValidation type="textLength" errorStyle="information" allowBlank="1" showInputMessage="1" showErrorMessage="1" error="XLBVal:6=1254.81_x000d__x000a_" sqref="E94:P94">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1545_x000d__x000a_" sqref="E95:P95">
      <formula1>0</formula1>
      <formula2>300</formula2>
    </dataValidation>
    <dataValidation type="textLength" errorStyle="information" allowBlank="1" showInputMessage="1" showErrorMessage="1" error="XLBVal:6=108592.14_x000d__x000a_" sqref="E107:P107">
      <formula1>0</formula1>
      <formula2>300</formula2>
    </dataValidation>
    <dataValidation type="textLength" errorStyle="information" allowBlank="1" showInputMessage="1" showErrorMessage="1" error="XLBVal:6=0_x000d__x000a_" sqref="E109:R109">
      <formula1>0</formula1>
      <formula2>300</formula2>
    </dataValidation>
    <dataValidation type="textLength" errorStyle="information" allowBlank="1" showInputMessage="1" showErrorMessage="1" error="XLBVal:6=21902.24_x000d__x000a_" sqref="E157:P159">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sqref="E118:I118 F126:I126 F127:R127 H135:I135 H142:I142 H152:I152 E162:I162 E120:E130 F128:I130 F120:R125">
      <formula1>0</formula1>
      <formula2>300</formula2>
    </dataValidation>
    <dataValidation type="textLength" errorStyle="information" allowBlank="1" showInputMessage="1" showErrorMessage="1" error="XLBVal:5=-279047.98_x000d__x000a_" sqref="I29:I30">
      <formula1>0</formula1>
      <formula2>300</formula2>
    </dataValidation>
    <dataValidation type="textLength" errorStyle="information" allowBlank="1" showInputMessage="1" showErrorMessage="1" error="XLBVal:6=3678_x000d__x000a_" sqref="E152:G152">
      <formula1>0</formula1>
      <formula2>300</formula2>
    </dataValidation>
    <dataValidation type="textLength" errorStyle="information" allowBlank="1" showInputMessage="1" showErrorMessage="1" error="XLBVal:6=3780_x000d__x000a_" sqref="Q163">
      <formula1>0</formula1>
      <formula2>300</formula2>
    </dataValidation>
    <dataValidation type="textLength" errorStyle="information" allowBlank="1" showInputMessage="1" showErrorMessage="1" error="XLBVal:6=6688509.16_x000d__x000a_" sqref="E37:E38">
      <formula1>0</formula1>
      <formula2>300</formula2>
    </dataValidation>
    <dataValidation type="textLength" errorStyle="information" allowBlank="1" showInputMessage="1" showErrorMessage="1" error="XLBVal:5=1616616_x000d__x000a_" sqref="G18:G19">
      <formula1>0</formula1>
      <formula2>300</formula2>
    </dataValidation>
    <dataValidation type="textLength" errorStyle="information" allowBlank="1" showInputMessage="1" showErrorMessage="1" error="XLBVal:5=3384188.86_x000d__x000a_" sqref="G29:G30">
      <formula1>0</formula1>
      <formula2>300</formula2>
    </dataValidation>
    <dataValidation type="textLength" errorStyle="information" allowBlank="1" showInputMessage="1" showErrorMessage="1" error="XLBVal:6=6595485.04_x000d__x000a_" sqref="G37:G38">
      <formula1>0</formula1>
      <formula2>300</formula2>
    </dataValidation>
    <dataValidation type="textLength" errorStyle="information" allowBlank="1" showInputMessage="1" showErrorMessage="1" error="XLBVal:5=-2586288.67_x000d__x000a_" sqref="H37:H38">
      <formula1>0</formula1>
      <formula2>300</formula2>
    </dataValidation>
    <dataValidation type="textLength" errorStyle="information" allowBlank="1" showInputMessage="1" showErrorMessage="1" error="XLBVal:6=995082_x000d__x000a_" sqref="Q136:Q140">
      <formula1>0</formula1>
      <formula2>300</formula2>
    </dataValidation>
    <dataValidation type="textLength" errorStyle="information" allowBlank="1" showInputMessage="1" showErrorMessage="1" error="XLBVal:6=2660698_x000d__x000a_" sqref="Q143:Q150">
      <formula1>0</formula1>
      <formula2>300</formula2>
    </dataValidation>
    <dataValidation type="textLength" errorStyle="information" allowBlank="1" showInputMessage="1" showErrorMessage="1" error="XLBVal:6=21090_x000d__x000a_" sqref="E138:P140">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T163"/>
  <sheetViews>
    <sheetView topLeftCell="D1" zoomScale="50" zoomScaleNormal="50" zoomScaleSheetLayoutView="40" workbookViewId="0">
      <pane xSplit="1" ySplit="10" topLeftCell="E11" activePane="bottomRight" state="frozen"/>
      <selection pane="topRight"/>
      <selection pane="bottomLeft"/>
      <selection pane="bottomRight" activeCell="E11" sqref="E11"/>
    </sheetView>
  </sheetViews>
  <sheetFormatPr defaultColWidth="8.875" defaultRowHeight="26.25" customHeight="1" outlineLevelRow="1" outlineLevelCol="1"/>
  <cols>
    <col min="1" max="3" width="15.5" style="5" hidden="1" customWidth="1" outlineLevel="1"/>
    <col min="4" max="4" width="72.5" style="6" customWidth="1" collapsed="1"/>
    <col min="5" max="9" width="19.875" style="7" customWidth="1"/>
    <col min="10" max="11" width="19.875" style="148" customWidth="1"/>
    <col min="12" max="12" width="19.875" style="5" customWidth="1"/>
    <col min="13" max="16" width="19.875" style="148" customWidth="1"/>
    <col min="17" max="17" width="34.5" style="148" customWidth="1"/>
    <col min="18" max="18" width="14.5" style="148" customWidth="1"/>
    <col min="19" max="19" width="22.5" style="149" customWidth="1"/>
    <col min="20" max="20" width="22.5" style="148" customWidth="1"/>
    <col min="21" max="16384" width="8.875" style="148"/>
  </cols>
  <sheetData>
    <row r="1" spans="1:20" s="1" customFormat="1" ht="15" customHeight="1" outlineLevel="1">
      <c r="E1" s="9"/>
      <c r="F1" s="9"/>
      <c r="G1" s="9"/>
      <c r="H1" s="9"/>
      <c r="I1" s="9"/>
      <c r="J1" s="9"/>
      <c r="K1" s="9"/>
      <c r="L1" s="9"/>
      <c r="M1" s="9"/>
      <c r="N1" s="9"/>
      <c r="O1" s="9"/>
      <c r="P1" s="9"/>
      <c r="Q1" s="9"/>
      <c r="R1" s="9"/>
      <c r="S1" s="32"/>
    </row>
    <row r="2" spans="1:20" s="1" customFormat="1" ht="15" customHeight="1" outlineLevel="1">
      <c r="E2" s="9"/>
      <c r="F2" s="9"/>
      <c r="G2" s="9"/>
      <c r="H2" s="9"/>
      <c r="I2" s="9"/>
      <c r="J2" s="9"/>
      <c r="K2" s="9"/>
      <c r="L2" s="9"/>
      <c r="M2" s="9"/>
      <c r="N2" s="9"/>
      <c r="O2" s="9"/>
      <c r="P2" s="9"/>
      <c r="Q2" s="9"/>
      <c r="R2" s="9"/>
      <c r="S2" s="32"/>
    </row>
    <row r="3" spans="1:20" s="1" customFormat="1" ht="15" customHeight="1" outlineLevel="1">
      <c r="E3" s="9"/>
      <c r="F3" s="9"/>
      <c r="G3" s="9"/>
      <c r="H3" s="9"/>
      <c r="I3" s="9"/>
      <c r="J3" s="9"/>
      <c r="K3" s="9"/>
      <c r="L3" s="9"/>
      <c r="M3" s="9"/>
      <c r="N3" s="9"/>
      <c r="O3" s="9"/>
      <c r="P3" s="9"/>
      <c r="Q3" s="9"/>
      <c r="R3" s="9"/>
      <c r="S3" s="32"/>
    </row>
    <row r="4" spans="1:20" s="147" customFormat="1" ht="24.95" customHeight="1">
      <c r="D4" s="10" t="str">
        <f>Summary!$D$4</f>
        <v>Hotel Budget Report</v>
      </c>
      <c r="E4" s="150"/>
      <c r="F4" s="150"/>
      <c r="G4" s="151"/>
      <c r="H4" s="152"/>
      <c r="I4" s="152"/>
      <c r="L4" s="2"/>
      <c r="S4" s="156"/>
    </row>
    <row r="5" spans="1:20" s="147" customFormat="1" ht="24.95" customHeight="1">
      <c r="D5" s="10" t="str">
        <f>Summary!$D$5</f>
        <v>酒店预算报表</v>
      </c>
      <c r="E5" s="150"/>
      <c r="F5" s="150"/>
      <c r="G5" s="151"/>
      <c r="H5" s="152"/>
      <c r="I5" s="152"/>
      <c r="L5" s="2"/>
      <c r="S5" s="156"/>
    </row>
    <row r="6" spans="1:20" s="147" customFormat="1" ht="24.95" customHeight="1">
      <c r="D6" s="10" t="s">
        <v>477</v>
      </c>
      <c r="E6" s="152"/>
      <c r="F6" s="152"/>
      <c r="G6" s="152"/>
      <c r="H6" s="152"/>
      <c r="I6" s="152"/>
      <c r="L6" s="2"/>
      <c r="S6" s="156"/>
    </row>
    <row r="7" spans="1:20" s="147" customFormat="1" ht="24.95" customHeight="1">
      <c r="D7" s="15" t="str">
        <f>Summary!D7</f>
        <v>2025</v>
      </c>
      <c r="E7" s="152"/>
      <c r="F7" s="152"/>
      <c r="G7" s="152"/>
      <c r="H7" s="152"/>
      <c r="I7" s="152"/>
      <c r="L7" s="2"/>
      <c r="S7" s="15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S9" s="15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378</v>
      </c>
      <c r="E11" s="76"/>
      <c r="F11" s="76"/>
      <c r="G11" s="76"/>
      <c r="H11" s="77"/>
      <c r="I11" s="77"/>
      <c r="J11" s="3"/>
      <c r="K11" s="155"/>
      <c r="L11" s="155"/>
      <c r="M11" s="155"/>
      <c r="S11" s="157"/>
    </row>
    <row r="12" spans="1:20" s="84" customFormat="1" ht="24.95" customHeight="1">
      <c r="A12" s="50" t="s">
        <v>452</v>
      </c>
      <c r="B12" s="3" t="s">
        <v>388</v>
      </c>
      <c r="C12" s="3"/>
      <c r="D12" s="26" t="s">
        <v>453</v>
      </c>
      <c r="E12" s="155"/>
      <c r="F12" s="155"/>
      <c r="G12" s="155"/>
      <c r="H12" s="155"/>
      <c r="I12" s="155"/>
      <c r="J12" s="155"/>
      <c r="K12" s="155"/>
      <c r="L12" s="155"/>
      <c r="M12" s="155"/>
      <c r="N12" s="155"/>
      <c r="O12" s="155"/>
      <c r="P12" s="155"/>
      <c r="Q12" s="155">
        <f>SUM(E12:P12)</f>
        <v>0</v>
      </c>
      <c r="R12" s="155"/>
      <c r="S12" s="157"/>
      <c r="T12" s="40">
        <f>IF(Q12-S12=0,0,(Q12-S12)/S12)</f>
        <v>0</v>
      </c>
    </row>
    <row r="13" spans="1:20" s="84" customFormat="1" ht="24.95" customHeight="1">
      <c r="A13" s="50" t="s">
        <v>454</v>
      </c>
      <c r="B13" s="3" t="s">
        <v>388</v>
      </c>
      <c r="C13" s="3"/>
      <c r="D13" s="26" t="s">
        <v>455</v>
      </c>
      <c r="E13" s="63"/>
      <c r="F13" s="63"/>
      <c r="G13" s="63"/>
      <c r="H13" s="63"/>
      <c r="I13" s="63"/>
      <c r="J13" s="63"/>
      <c r="K13" s="63"/>
      <c r="L13" s="63"/>
      <c r="M13" s="63"/>
      <c r="N13" s="63"/>
      <c r="O13" s="63"/>
      <c r="P13" s="63"/>
      <c r="Q13" s="142">
        <f>SUM(E13:P13)</f>
        <v>0</v>
      </c>
      <c r="R13" s="142"/>
      <c r="S13" s="157"/>
      <c r="T13" s="40">
        <f t="shared" ref="T13:T28" si="0">IF(Q13-S13=0,0,(Q13-S13)/S13)</f>
        <v>0</v>
      </c>
    </row>
    <row r="14" spans="1:20" s="84" customFormat="1" ht="24.95" customHeight="1">
      <c r="A14" s="50" t="s">
        <v>456</v>
      </c>
      <c r="B14" s="3" t="s">
        <v>388</v>
      </c>
      <c r="C14" s="3"/>
      <c r="D14" s="26" t="s">
        <v>459</v>
      </c>
      <c r="E14" s="63"/>
      <c r="F14" s="63"/>
      <c r="G14" s="63"/>
      <c r="H14" s="63"/>
      <c r="I14" s="63"/>
      <c r="J14" s="63"/>
      <c r="K14" s="63"/>
      <c r="L14" s="63"/>
      <c r="M14" s="63"/>
      <c r="N14" s="63"/>
      <c r="O14" s="63"/>
      <c r="P14" s="63"/>
      <c r="Q14" s="142">
        <f>SUM(E14:P14)</f>
        <v>0</v>
      </c>
      <c r="R14" s="142"/>
      <c r="S14" s="157"/>
      <c r="T14" s="40">
        <f t="shared" si="0"/>
        <v>0</v>
      </c>
    </row>
    <row r="15" spans="1:20" s="84" customFormat="1" ht="24.95" customHeight="1">
      <c r="A15" s="50" t="s">
        <v>458</v>
      </c>
      <c r="B15" s="3" t="s">
        <v>388</v>
      </c>
      <c r="C15" s="3"/>
      <c r="D15" s="26" t="s">
        <v>457</v>
      </c>
      <c r="E15" s="63"/>
      <c r="F15" s="63"/>
      <c r="G15" s="63"/>
      <c r="H15" s="63"/>
      <c r="I15" s="63"/>
      <c r="J15" s="63"/>
      <c r="K15" s="63"/>
      <c r="L15" s="63"/>
      <c r="M15" s="63"/>
      <c r="N15" s="63"/>
      <c r="O15" s="63"/>
      <c r="P15" s="63"/>
      <c r="Q15" s="142">
        <f>SUM(E15:P15)</f>
        <v>0</v>
      </c>
      <c r="R15" s="142"/>
      <c r="S15" s="157"/>
      <c r="T15" s="40">
        <f t="shared" si="0"/>
        <v>0</v>
      </c>
    </row>
    <row r="16" spans="1:20" s="84" customFormat="1" ht="24.95" customHeight="1">
      <c r="A16" s="50" t="s">
        <v>460</v>
      </c>
      <c r="B16" s="3" t="s">
        <v>388</v>
      </c>
      <c r="C16" s="3"/>
      <c r="D16" s="26" t="s">
        <v>461</v>
      </c>
      <c r="E16" s="63"/>
      <c r="F16" s="63"/>
      <c r="G16" s="63"/>
      <c r="H16" s="63"/>
      <c r="I16" s="63"/>
      <c r="J16" s="63"/>
      <c r="K16" s="63"/>
      <c r="L16" s="63"/>
      <c r="M16" s="63"/>
      <c r="N16" s="63"/>
      <c r="O16" s="63"/>
      <c r="P16" s="63"/>
      <c r="Q16" s="142">
        <f>SUM(E16:P16)</f>
        <v>0</v>
      </c>
      <c r="R16" s="142"/>
      <c r="S16" s="157"/>
      <c r="T16" s="40">
        <f t="shared" si="0"/>
        <v>0</v>
      </c>
    </row>
    <row r="17" spans="1:20" s="84" customFormat="1" ht="24.95" customHeight="1">
      <c r="A17" s="3"/>
      <c r="B17" s="3"/>
      <c r="C17" s="3"/>
      <c r="D17" s="21" t="s">
        <v>409</v>
      </c>
      <c r="E17" s="45">
        <f>SUM(E12:E16)</f>
        <v>0</v>
      </c>
      <c r="F17" s="45">
        <f t="shared" ref="F17:Q17" si="1">SUM(F12:F16)</f>
        <v>0</v>
      </c>
      <c r="G17" s="45">
        <f t="shared" si="1"/>
        <v>0</v>
      </c>
      <c r="H17" s="45">
        <f t="shared" si="1"/>
        <v>0</v>
      </c>
      <c r="I17" s="45">
        <f t="shared" si="1"/>
        <v>0</v>
      </c>
      <c r="J17" s="45">
        <f t="shared" si="1"/>
        <v>0</v>
      </c>
      <c r="K17" s="45">
        <f t="shared" si="1"/>
        <v>0</v>
      </c>
      <c r="L17" s="45">
        <f t="shared" si="1"/>
        <v>0</v>
      </c>
      <c r="M17" s="45">
        <f t="shared" si="1"/>
        <v>0</v>
      </c>
      <c r="N17" s="45">
        <f t="shared" si="1"/>
        <v>0</v>
      </c>
      <c r="O17" s="45">
        <f t="shared" si="1"/>
        <v>0</v>
      </c>
      <c r="P17" s="45">
        <f t="shared" si="1"/>
        <v>0</v>
      </c>
      <c r="Q17" s="45">
        <f t="shared" si="1"/>
        <v>0</v>
      </c>
      <c r="R17" s="45"/>
      <c r="S17" s="157"/>
      <c r="T17" s="40">
        <f t="shared" si="0"/>
        <v>0</v>
      </c>
    </row>
    <row r="18" spans="1:20" s="84" customFormat="1" ht="24.95" customHeight="1">
      <c r="A18" s="3"/>
      <c r="B18" s="3"/>
      <c r="C18" s="3"/>
      <c r="D18" s="26"/>
      <c r="E18" s="113"/>
      <c r="F18" s="24"/>
      <c r="G18" s="113"/>
      <c r="H18" s="25"/>
      <c r="I18" s="25"/>
      <c r="J18" s="3"/>
      <c r="K18" s="3"/>
      <c r="L18" s="161"/>
      <c r="S18" s="157"/>
      <c r="T18" s="40"/>
    </row>
    <row r="19" spans="1:20" s="84" customFormat="1" ht="24.95" customHeight="1">
      <c r="A19" s="3"/>
      <c r="B19" s="3"/>
      <c r="C19" s="3"/>
      <c r="D19" s="21" t="s">
        <v>410</v>
      </c>
      <c r="E19" s="113"/>
      <c r="F19" s="63"/>
      <c r="G19" s="63"/>
      <c r="H19" s="63"/>
      <c r="I19" s="63"/>
      <c r="J19" s="3"/>
      <c r="K19" s="3"/>
      <c r="L19" s="161"/>
      <c r="S19" s="157"/>
      <c r="T19" s="40"/>
    </row>
    <row r="20" spans="1:20" s="84" customFormat="1" ht="24.95" customHeight="1">
      <c r="A20" s="50" t="s">
        <v>462</v>
      </c>
      <c r="B20" s="3" t="s">
        <v>388</v>
      </c>
      <c r="C20" s="3"/>
      <c r="D20" s="26" t="s">
        <v>453</v>
      </c>
      <c r="E20" s="63">
        <v>0</v>
      </c>
      <c r="F20" s="63">
        <v>0</v>
      </c>
      <c r="G20" s="63">
        <v>0</v>
      </c>
      <c r="H20" s="63">
        <v>0</v>
      </c>
      <c r="I20" s="63">
        <v>0</v>
      </c>
      <c r="J20" s="63">
        <v>0</v>
      </c>
      <c r="K20" s="63">
        <v>0</v>
      </c>
      <c r="L20" s="63">
        <v>0</v>
      </c>
      <c r="M20" s="63">
        <v>0</v>
      </c>
      <c r="N20" s="63">
        <v>0</v>
      </c>
      <c r="O20" s="63">
        <v>0</v>
      </c>
      <c r="P20" s="63">
        <v>0</v>
      </c>
      <c r="Q20" s="142">
        <f>SUM(E20:P20)</f>
        <v>0</v>
      </c>
      <c r="R20" s="142"/>
      <c r="S20" s="157"/>
      <c r="T20" s="40">
        <f t="shared" si="0"/>
        <v>0</v>
      </c>
    </row>
    <row r="21" spans="1:20" s="84" customFormat="1" ht="24.95" customHeight="1">
      <c r="A21" s="50" t="s">
        <v>463</v>
      </c>
      <c r="B21" s="3" t="s">
        <v>388</v>
      </c>
      <c r="C21" s="3"/>
      <c r="D21" s="26" t="s">
        <v>455</v>
      </c>
      <c r="E21" s="63"/>
      <c r="F21" s="63"/>
      <c r="G21" s="63"/>
      <c r="H21" s="63"/>
      <c r="I21" s="63"/>
      <c r="J21" s="63"/>
      <c r="K21" s="63"/>
      <c r="L21" s="63"/>
      <c r="M21" s="63"/>
      <c r="N21" s="63"/>
      <c r="O21" s="63"/>
      <c r="P21" s="63"/>
      <c r="Q21" s="142">
        <f>SUM(E21:P21)</f>
        <v>0</v>
      </c>
      <c r="R21" s="142"/>
      <c r="S21" s="157"/>
      <c r="T21" s="40">
        <f t="shared" si="0"/>
        <v>0</v>
      </c>
    </row>
    <row r="22" spans="1:20" s="84" customFormat="1" ht="24.95" customHeight="1">
      <c r="A22" s="50" t="s">
        <v>464</v>
      </c>
      <c r="B22" s="3" t="s">
        <v>388</v>
      </c>
      <c r="C22" s="3"/>
      <c r="D22" s="26" t="s">
        <v>459</v>
      </c>
      <c r="E22" s="63"/>
      <c r="F22" s="63"/>
      <c r="G22" s="63"/>
      <c r="H22" s="63"/>
      <c r="I22" s="63"/>
      <c r="J22" s="63"/>
      <c r="K22" s="63"/>
      <c r="L22" s="63"/>
      <c r="M22" s="63"/>
      <c r="N22" s="63"/>
      <c r="O22" s="63"/>
      <c r="P22" s="63"/>
      <c r="Q22" s="142">
        <f>SUM(E22:P22)</f>
        <v>0</v>
      </c>
      <c r="R22" s="142"/>
      <c r="S22" s="157"/>
      <c r="T22" s="40">
        <f t="shared" si="0"/>
        <v>0</v>
      </c>
    </row>
    <row r="23" spans="1:20" s="84" customFormat="1" ht="24.95" customHeight="1">
      <c r="A23" s="50" t="s">
        <v>465</v>
      </c>
      <c r="B23" s="3" t="s">
        <v>388</v>
      </c>
      <c r="C23" s="3"/>
      <c r="D23" s="26" t="s">
        <v>457</v>
      </c>
      <c r="E23" s="63"/>
      <c r="F23" s="63"/>
      <c r="G23" s="63"/>
      <c r="H23" s="63"/>
      <c r="I23" s="63"/>
      <c r="J23" s="63"/>
      <c r="K23" s="63"/>
      <c r="L23" s="63"/>
      <c r="M23" s="63"/>
      <c r="N23" s="63"/>
      <c r="O23" s="63"/>
      <c r="P23" s="63"/>
      <c r="Q23" s="142">
        <f>SUM(E23:P23)</f>
        <v>0</v>
      </c>
      <c r="R23" s="142"/>
      <c r="S23" s="157"/>
      <c r="T23" s="40">
        <f t="shared" si="0"/>
        <v>0</v>
      </c>
    </row>
    <row r="24" spans="1:20" s="84" customFormat="1" ht="24.95" customHeight="1">
      <c r="A24" s="50" t="s">
        <v>466</v>
      </c>
      <c r="B24" s="3" t="s">
        <v>388</v>
      </c>
      <c r="C24" s="3"/>
      <c r="D24" s="26" t="s">
        <v>461</v>
      </c>
      <c r="E24" s="63">
        <v>0</v>
      </c>
      <c r="F24" s="63">
        <v>0</v>
      </c>
      <c r="G24" s="63">
        <v>0</v>
      </c>
      <c r="H24" s="63">
        <v>0</v>
      </c>
      <c r="I24" s="63">
        <v>0</v>
      </c>
      <c r="J24" s="63">
        <v>0</v>
      </c>
      <c r="K24" s="63">
        <v>0</v>
      </c>
      <c r="L24" s="63">
        <v>0</v>
      </c>
      <c r="M24" s="63">
        <v>0</v>
      </c>
      <c r="N24" s="63">
        <v>0</v>
      </c>
      <c r="O24" s="63">
        <v>0</v>
      </c>
      <c r="P24" s="63">
        <v>0</v>
      </c>
      <c r="Q24" s="142">
        <f>SUM(E24:P24)</f>
        <v>0</v>
      </c>
      <c r="R24" s="142"/>
      <c r="S24" s="157"/>
      <c r="T24" s="40">
        <f t="shared" si="0"/>
        <v>0</v>
      </c>
    </row>
    <row r="25" spans="1:20" s="84" customFormat="1" ht="24.75" customHeight="1">
      <c r="A25" s="3"/>
      <c r="B25" s="3"/>
      <c r="C25" s="3"/>
      <c r="D25" s="21" t="s">
        <v>413</v>
      </c>
      <c r="E25" s="45">
        <f>SUM(E20:E24)</f>
        <v>0</v>
      </c>
      <c r="F25" s="45">
        <f t="shared" ref="F25:Q25" si="2">SUM(F20:F24)</f>
        <v>0</v>
      </c>
      <c r="G25" s="45">
        <f t="shared" si="2"/>
        <v>0</v>
      </c>
      <c r="H25" s="45">
        <f t="shared" si="2"/>
        <v>0</v>
      </c>
      <c r="I25" s="45">
        <f t="shared" si="2"/>
        <v>0</v>
      </c>
      <c r="J25" s="45">
        <f t="shared" si="2"/>
        <v>0</v>
      </c>
      <c r="K25" s="45">
        <f t="shared" si="2"/>
        <v>0</v>
      </c>
      <c r="L25" s="45">
        <f t="shared" si="2"/>
        <v>0</v>
      </c>
      <c r="M25" s="45">
        <f t="shared" si="2"/>
        <v>0</v>
      </c>
      <c r="N25" s="45">
        <f t="shared" si="2"/>
        <v>0</v>
      </c>
      <c r="O25" s="45">
        <f t="shared" si="2"/>
        <v>0</v>
      </c>
      <c r="P25" s="45">
        <f t="shared" si="2"/>
        <v>0</v>
      </c>
      <c r="Q25" s="45">
        <f t="shared" si="2"/>
        <v>0</v>
      </c>
      <c r="R25" s="45"/>
      <c r="S25" s="157"/>
      <c r="T25" s="40">
        <f t="shared" si="0"/>
        <v>0</v>
      </c>
    </row>
    <row r="26" spans="1:20" s="84" customFormat="1" ht="24.95" customHeight="1">
      <c r="A26" s="50" t="s">
        <v>419</v>
      </c>
      <c r="B26" s="3" t="s">
        <v>388</v>
      </c>
      <c r="C26" s="3"/>
      <c r="D26" s="26" t="s">
        <v>420</v>
      </c>
      <c r="E26" s="63"/>
      <c r="F26" s="63"/>
      <c r="G26" s="63"/>
      <c r="H26" s="63"/>
      <c r="I26" s="63"/>
      <c r="J26" s="63">
        <v>0</v>
      </c>
      <c r="K26" s="63">
        <v>0</v>
      </c>
      <c r="L26" s="63">
        <v>0</v>
      </c>
      <c r="M26" s="63">
        <v>0</v>
      </c>
      <c r="N26" s="63">
        <v>0</v>
      </c>
      <c r="O26" s="63">
        <v>0</v>
      </c>
      <c r="P26" s="63">
        <v>0</v>
      </c>
      <c r="Q26" s="142">
        <f>SUM(E26:P26)</f>
        <v>0</v>
      </c>
      <c r="R26" s="142"/>
      <c r="S26" s="157"/>
      <c r="T26" s="40">
        <f>IF(S26&lt;&gt;0,(Q26-S26)/S26,1)</f>
        <v>1</v>
      </c>
    </row>
    <row r="27" spans="1:20" s="84" customFormat="1" ht="24.95" customHeight="1">
      <c r="A27" s="50" t="s">
        <v>126</v>
      </c>
      <c r="B27" s="3" t="s">
        <v>388</v>
      </c>
      <c r="C27" s="3"/>
      <c r="D27" s="26" t="s">
        <v>421</v>
      </c>
      <c r="E27" s="63">
        <f>+(E17+E25)*0.1</f>
        <v>0</v>
      </c>
      <c r="F27" s="63">
        <f t="shared" ref="F27:P27" si="3">+(F17+F25)*0.1</f>
        <v>0</v>
      </c>
      <c r="G27" s="63">
        <f t="shared" si="3"/>
        <v>0</v>
      </c>
      <c r="H27" s="63">
        <f t="shared" si="3"/>
        <v>0</v>
      </c>
      <c r="I27" s="63">
        <f t="shared" si="3"/>
        <v>0</v>
      </c>
      <c r="J27" s="63">
        <f t="shared" si="3"/>
        <v>0</v>
      </c>
      <c r="K27" s="63">
        <f t="shared" si="3"/>
        <v>0</v>
      </c>
      <c r="L27" s="63">
        <f t="shared" si="3"/>
        <v>0</v>
      </c>
      <c r="M27" s="63">
        <f t="shared" si="3"/>
        <v>0</v>
      </c>
      <c r="N27" s="27">
        <f t="shared" si="3"/>
        <v>0</v>
      </c>
      <c r="O27" s="27">
        <f t="shared" si="3"/>
        <v>0</v>
      </c>
      <c r="P27" s="27">
        <f t="shared" si="3"/>
        <v>0</v>
      </c>
      <c r="Q27" s="142">
        <f>SUM(E27:P27)</f>
        <v>0</v>
      </c>
      <c r="R27" s="142"/>
      <c r="S27" s="157"/>
      <c r="T27" s="40">
        <f t="shared" si="0"/>
        <v>0</v>
      </c>
    </row>
    <row r="28" spans="1:20" s="84" customFormat="1" ht="24.95" customHeight="1">
      <c r="A28" s="50"/>
      <c r="B28" s="3"/>
      <c r="C28" s="3"/>
      <c r="D28" s="21" t="s">
        <v>422</v>
      </c>
      <c r="E28" s="45">
        <f>E17+E25+E26+E27</f>
        <v>0</v>
      </c>
      <c r="F28" s="45">
        <f t="shared" ref="F28:Q28" si="4">F17+F25+F26+F27</f>
        <v>0</v>
      </c>
      <c r="G28" s="45">
        <f t="shared" si="4"/>
        <v>0</v>
      </c>
      <c r="H28" s="45">
        <f t="shared" si="4"/>
        <v>0</v>
      </c>
      <c r="I28" s="45">
        <f t="shared" si="4"/>
        <v>0</v>
      </c>
      <c r="J28" s="45">
        <f t="shared" si="4"/>
        <v>0</v>
      </c>
      <c r="K28" s="45">
        <f t="shared" si="4"/>
        <v>0</v>
      </c>
      <c r="L28" s="45">
        <f t="shared" si="4"/>
        <v>0</v>
      </c>
      <c r="M28" s="45">
        <f t="shared" si="4"/>
        <v>0</v>
      </c>
      <c r="N28" s="45">
        <f t="shared" si="4"/>
        <v>0</v>
      </c>
      <c r="O28" s="45">
        <f t="shared" si="4"/>
        <v>0</v>
      </c>
      <c r="P28" s="45">
        <f t="shared" si="4"/>
        <v>0</v>
      </c>
      <c r="Q28" s="45">
        <f t="shared" si="4"/>
        <v>0</v>
      </c>
      <c r="R28" s="45"/>
      <c r="S28" s="157"/>
      <c r="T28" s="40">
        <f t="shared" si="0"/>
        <v>0</v>
      </c>
    </row>
    <row r="29" spans="1:20" s="84" customFormat="1" ht="24.95" customHeight="1">
      <c r="A29" s="50"/>
      <c r="B29" s="3"/>
      <c r="C29" s="3"/>
      <c r="D29" s="26"/>
      <c r="E29" s="63"/>
      <c r="F29" s="63"/>
      <c r="G29" s="63"/>
      <c r="H29" s="63"/>
      <c r="I29" s="63"/>
      <c r="J29" s="3"/>
      <c r="K29" s="3"/>
      <c r="L29" s="161"/>
      <c r="S29" s="157"/>
      <c r="T29" s="40"/>
    </row>
    <row r="30" spans="1:20" s="84" customFormat="1" ht="24.95" customHeight="1">
      <c r="A30" s="50"/>
      <c r="B30" s="3"/>
      <c r="C30" s="3"/>
      <c r="D30" s="21" t="s">
        <v>423</v>
      </c>
      <c r="E30" s="63"/>
      <c r="F30" s="63"/>
      <c r="G30" s="63"/>
      <c r="H30" s="63"/>
      <c r="I30" s="63"/>
      <c r="J30" s="3"/>
      <c r="K30" s="3"/>
      <c r="L30" s="161"/>
      <c r="S30" s="157"/>
      <c r="T30" s="40"/>
    </row>
    <row r="31" spans="1:20" s="84" customFormat="1" ht="24.95" customHeight="1">
      <c r="A31" s="50" t="s">
        <v>424</v>
      </c>
      <c r="B31" s="3" t="s">
        <v>388</v>
      </c>
      <c r="C31" s="3"/>
      <c r="D31" s="26" t="s">
        <v>425</v>
      </c>
      <c r="E31" s="63">
        <f>E17*36.4%</f>
        <v>0</v>
      </c>
      <c r="F31" s="63">
        <f>F17*37.1%</f>
        <v>0</v>
      </c>
      <c r="G31" s="63">
        <f>G17*35.5%</f>
        <v>0</v>
      </c>
      <c r="H31" s="63">
        <f>H17*35.88%</f>
        <v>0</v>
      </c>
      <c r="I31" s="63">
        <f>I17*36.43%</f>
        <v>0</v>
      </c>
      <c r="J31" s="63">
        <f>J17*36.7%</f>
        <v>0</v>
      </c>
      <c r="K31" s="63">
        <f>K17*36.56%</f>
        <v>0</v>
      </c>
      <c r="L31" s="63">
        <f>L17*37%</f>
        <v>0</v>
      </c>
      <c r="M31" s="63">
        <f>M17*36%</f>
        <v>0</v>
      </c>
      <c r="N31" s="63">
        <f>N17*34.4%</f>
        <v>0</v>
      </c>
      <c r="O31" s="63">
        <f>O17*36.5%</f>
        <v>0</v>
      </c>
      <c r="P31" s="63">
        <f>P17*35%</f>
        <v>0</v>
      </c>
      <c r="Q31" s="142">
        <f>SUM(E31:P31)</f>
        <v>0</v>
      </c>
      <c r="R31" s="168" t="e">
        <f>Q31/Q17</f>
        <v>#DIV/0!</v>
      </c>
      <c r="S31" s="157"/>
      <c r="T31" s="40">
        <f>-IF(Q31-S31=0,0,(Q31-S31)/S31)</f>
        <v>0</v>
      </c>
    </row>
    <row r="32" spans="1:20" s="84" customFormat="1" ht="24.75" customHeight="1">
      <c r="A32" s="3" t="s">
        <v>426</v>
      </c>
      <c r="B32" s="3" t="s">
        <v>388</v>
      </c>
      <c r="C32" s="3"/>
      <c r="D32" s="26" t="s">
        <v>427</v>
      </c>
      <c r="E32" s="63">
        <f>E25*19.5%</f>
        <v>0</v>
      </c>
      <c r="F32" s="63">
        <f>F25*19.5%</f>
        <v>0</v>
      </c>
      <c r="G32" s="63">
        <f>G25*21.5%</f>
        <v>0</v>
      </c>
      <c r="H32" s="63">
        <f>H25*17.5%</f>
        <v>0</v>
      </c>
      <c r="I32" s="63">
        <f>I25*17.5%</f>
        <v>0</v>
      </c>
      <c r="J32" s="63">
        <f>J25*18.5%</f>
        <v>0</v>
      </c>
      <c r="K32" s="63">
        <f>K25*17.5%</f>
        <v>0</v>
      </c>
      <c r="L32" s="63">
        <f>L25*18%</f>
        <v>0</v>
      </c>
      <c r="M32" s="63">
        <f>M25*17.5%</f>
        <v>0</v>
      </c>
      <c r="N32" s="63">
        <f>N25*17.5%</f>
        <v>0</v>
      </c>
      <c r="O32" s="63">
        <f>O25*17.5%</f>
        <v>0</v>
      </c>
      <c r="P32" s="63">
        <f>P25*19.5%</f>
        <v>0</v>
      </c>
      <c r="Q32" s="142">
        <f>SUM(E32:P32)</f>
        <v>0</v>
      </c>
      <c r="R32" s="168" t="e">
        <f>Q32/Q25</f>
        <v>#DIV/0!</v>
      </c>
      <c r="S32" s="157"/>
      <c r="T32" s="40">
        <f t="shared" ref="T32:T95" si="5">-IF(Q32-S32=0,0,(Q32-S32)/S32)</f>
        <v>0</v>
      </c>
    </row>
    <row r="33" spans="1:20" s="84" customFormat="1" ht="24.95" customHeight="1">
      <c r="A33" s="3" t="s">
        <v>467</v>
      </c>
      <c r="B33" s="3" t="s">
        <v>388</v>
      </c>
      <c r="C33" s="3"/>
      <c r="D33" s="26" t="s">
        <v>431</v>
      </c>
      <c r="E33" s="63"/>
      <c r="F33" s="63"/>
      <c r="G33" s="63"/>
      <c r="H33" s="63"/>
      <c r="I33" s="63"/>
      <c r="J33" s="61"/>
      <c r="K33" s="61"/>
      <c r="L33" s="61"/>
      <c r="M33" s="27">
        <v>0</v>
      </c>
      <c r="N33" s="27">
        <v>0</v>
      </c>
      <c r="O33" s="27">
        <v>0</v>
      </c>
      <c r="P33" s="27">
        <v>0</v>
      </c>
      <c r="Q33" s="142">
        <f>SUM(E33:P33)</f>
        <v>0</v>
      </c>
      <c r="R33" s="168" t="e">
        <f>Q33/Q26</f>
        <v>#DIV/0!</v>
      </c>
      <c r="S33" s="157"/>
      <c r="T33" s="40">
        <f t="shared" si="5"/>
        <v>0</v>
      </c>
    </row>
    <row r="34" spans="1:20" s="84" customFormat="1" ht="24.95" customHeight="1">
      <c r="A34" s="3"/>
      <c r="B34" s="3"/>
      <c r="C34" s="3"/>
      <c r="D34" s="21" t="s">
        <v>432</v>
      </c>
      <c r="E34" s="45">
        <f t="shared" ref="E34:P34" si="6">+SUM(E31:E33)</f>
        <v>0</v>
      </c>
      <c r="F34" s="45">
        <f t="shared" si="6"/>
        <v>0</v>
      </c>
      <c r="G34" s="45">
        <f t="shared" si="6"/>
        <v>0</v>
      </c>
      <c r="H34" s="45">
        <f t="shared" si="6"/>
        <v>0</v>
      </c>
      <c r="I34" s="45">
        <f t="shared" si="6"/>
        <v>0</v>
      </c>
      <c r="J34" s="45">
        <f t="shared" si="6"/>
        <v>0</v>
      </c>
      <c r="K34" s="45">
        <f t="shared" si="6"/>
        <v>0</v>
      </c>
      <c r="L34" s="45">
        <f t="shared" si="6"/>
        <v>0</v>
      </c>
      <c r="M34" s="45">
        <f t="shared" si="6"/>
        <v>0</v>
      </c>
      <c r="N34" s="45">
        <f t="shared" si="6"/>
        <v>0</v>
      </c>
      <c r="O34" s="45">
        <f t="shared" si="6"/>
        <v>0</v>
      </c>
      <c r="P34" s="45">
        <f t="shared" si="6"/>
        <v>0</v>
      </c>
      <c r="Q34" s="45">
        <f>SUM(Q31:Q33)</f>
        <v>0</v>
      </c>
      <c r="R34" s="158" t="e">
        <f>Q34/$Q$28</f>
        <v>#DIV/0!</v>
      </c>
      <c r="S34" s="157"/>
      <c r="T34" s="40">
        <f t="shared" si="5"/>
        <v>0</v>
      </c>
    </row>
    <row r="35" spans="1:20" s="84" customFormat="1" ht="24.95" customHeight="1">
      <c r="A35" s="3"/>
      <c r="B35" s="3"/>
      <c r="C35" s="3"/>
      <c r="D35" s="26"/>
      <c r="E35" s="63"/>
      <c r="F35" s="63"/>
      <c r="G35" s="63"/>
      <c r="H35" s="63"/>
      <c r="I35" s="63"/>
      <c r="J35" s="3"/>
      <c r="K35" s="3"/>
      <c r="L35" s="161"/>
      <c r="Q35" s="159"/>
      <c r="S35" s="157"/>
      <c r="T35" s="40"/>
    </row>
    <row r="36" spans="1:20" s="84" customFormat="1" ht="24.95" customHeight="1">
      <c r="A36" s="3" t="s">
        <v>103</v>
      </c>
      <c r="B36" s="3" t="s">
        <v>388</v>
      </c>
      <c r="C36" s="3"/>
      <c r="D36" s="21" t="s">
        <v>137</v>
      </c>
      <c r="E36" s="45">
        <f>+E161</f>
        <v>0</v>
      </c>
      <c r="F36" s="45">
        <f t="shared" ref="F36:P36" si="7">+F161</f>
        <v>0</v>
      </c>
      <c r="G36" s="45">
        <f t="shared" si="7"/>
        <v>0</v>
      </c>
      <c r="H36" s="45">
        <f t="shared" si="7"/>
        <v>0</v>
      </c>
      <c r="I36" s="45">
        <f t="shared" si="7"/>
        <v>0</v>
      </c>
      <c r="J36" s="45">
        <f t="shared" si="7"/>
        <v>0</v>
      </c>
      <c r="K36" s="45">
        <f t="shared" si="7"/>
        <v>0</v>
      </c>
      <c r="L36" s="45">
        <f t="shared" si="7"/>
        <v>0</v>
      </c>
      <c r="M36" s="45">
        <f t="shared" si="7"/>
        <v>0</v>
      </c>
      <c r="N36" s="45">
        <f t="shared" si="7"/>
        <v>0</v>
      </c>
      <c r="O36" s="45">
        <f t="shared" si="7"/>
        <v>0</v>
      </c>
      <c r="P36" s="45">
        <f t="shared" si="7"/>
        <v>0</v>
      </c>
      <c r="Q36" s="45">
        <f>SUM(E36:P36)</f>
        <v>0</v>
      </c>
      <c r="R36" s="158" t="e">
        <f>Q36/$Q$28</f>
        <v>#DIV/0!</v>
      </c>
      <c r="S36" s="157"/>
      <c r="T36" s="40">
        <f t="shared" si="5"/>
        <v>0</v>
      </c>
    </row>
    <row r="37" spans="1:20" s="84" customFormat="1" ht="24.95" customHeight="1">
      <c r="A37" s="3"/>
      <c r="B37" s="3"/>
      <c r="C37" s="3"/>
      <c r="D37" s="26"/>
      <c r="E37" s="63"/>
      <c r="F37" s="63"/>
      <c r="G37" s="63"/>
      <c r="H37" s="63"/>
      <c r="I37" s="63"/>
      <c r="J37" s="3"/>
      <c r="K37" s="3"/>
      <c r="L37" s="161"/>
      <c r="S37" s="157"/>
      <c r="T37" s="40"/>
    </row>
    <row r="38" spans="1:20" s="84" customFormat="1" ht="24.75" customHeight="1">
      <c r="A38" s="3"/>
      <c r="B38" s="3"/>
      <c r="C38" s="3"/>
      <c r="D38" s="21" t="s">
        <v>138</v>
      </c>
      <c r="E38" s="63"/>
      <c r="F38" s="63"/>
      <c r="G38" s="63"/>
      <c r="H38" s="63"/>
      <c r="I38" s="63"/>
      <c r="J38" s="3"/>
      <c r="K38" s="3"/>
      <c r="L38" s="161"/>
      <c r="R38" s="34" t="s">
        <v>433</v>
      </c>
      <c r="S38" s="157"/>
      <c r="T38" s="40"/>
    </row>
    <row r="39" spans="1:20" s="84" customFormat="1" ht="24.95" hidden="1" customHeight="1">
      <c r="A39" s="3" t="s">
        <v>140</v>
      </c>
      <c r="B39" s="3" t="s">
        <v>388</v>
      </c>
      <c r="C39" s="3"/>
      <c r="D39" s="26" t="s">
        <v>141</v>
      </c>
      <c r="E39" s="63">
        <v>0</v>
      </c>
      <c r="F39" s="63">
        <v>0</v>
      </c>
      <c r="G39" s="63">
        <v>0</v>
      </c>
      <c r="H39" s="63">
        <v>0</v>
      </c>
      <c r="I39" s="63">
        <v>0</v>
      </c>
      <c r="J39" s="63">
        <v>0</v>
      </c>
      <c r="K39" s="63">
        <v>0</v>
      </c>
      <c r="L39" s="63">
        <v>0</v>
      </c>
      <c r="M39" s="63">
        <v>0</v>
      </c>
      <c r="N39" s="63">
        <v>0</v>
      </c>
      <c r="O39" s="63">
        <v>0</v>
      </c>
      <c r="P39" s="63">
        <v>0</v>
      </c>
      <c r="Q39" s="142">
        <f>SUM(E39:P39)</f>
        <v>0</v>
      </c>
      <c r="R39" s="142" t="e">
        <f>Q39/$Q$117</f>
        <v>#DIV/0!</v>
      </c>
      <c r="S39" s="157"/>
      <c r="T39" s="40">
        <f t="shared" si="5"/>
        <v>0</v>
      </c>
    </row>
    <row r="40" spans="1:20" s="84" customFormat="1" ht="24.95" hidden="1" customHeight="1">
      <c r="A40" s="3" t="s">
        <v>142</v>
      </c>
      <c r="B40" s="3" t="s">
        <v>388</v>
      </c>
      <c r="C40" s="3"/>
      <c r="D40" s="26" t="s">
        <v>143</v>
      </c>
      <c r="E40" s="63">
        <v>0</v>
      </c>
      <c r="F40" s="63">
        <v>0</v>
      </c>
      <c r="G40" s="63">
        <v>0</v>
      </c>
      <c r="H40" s="63">
        <v>0</v>
      </c>
      <c r="I40" s="63">
        <v>0</v>
      </c>
      <c r="J40" s="63">
        <v>0</v>
      </c>
      <c r="K40" s="63">
        <v>0</v>
      </c>
      <c r="L40" s="63">
        <v>0</v>
      </c>
      <c r="M40" s="63">
        <v>0</v>
      </c>
      <c r="N40" s="63">
        <v>0</v>
      </c>
      <c r="O40" s="63">
        <v>0</v>
      </c>
      <c r="P40" s="63">
        <v>0</v>
      </c>
      <c r="Q40" s="142">
        <f t="shared" ref="Q40:Q103" si="8">SUM(E40:P40)</f>
        <v>0</v>
      </c>
      <c r="R40" s="142" t="e">
        <f t="shared" ref="R40:R103" si="9">Q40/$Q$117</f>
        <v>#DIV/0!</v>
      </c>
      <c r="S40" s="157"/>
      <c r="T40" s="40">
        <f t="shared" si="5"/>
        <v>0</v>
      </c>
    </row>
    <row r="41" spans="1:20" s="84" customFormat="1" ht="24.95" hidden="1" customHeight="1">
      <c r="A41" s="3" t="s">
        <v>144</v>
      </c>
      <c r="B41" s="3" t="s">
        <v>388</v>
      </c>
      <c r="C41" s="3"/>
      <c r="D41" s="26" t="s">
        <v>145</v>
      </c>
      <c r="E41" s="63">
        <v>0</v>
      </c>
      <c r="F41" s="63">
        <v>0</v>
      </c>
      <c r="G41" s="63">
        <v>0</v>
      </c>
      <c r="H41" s="63">
        <v>0</v>
      </c>
      <c r="I41" s="63">
        <v>0</v>
      </c>
      <c r="J41" s="63">
        <v>0</v>
      </c>
      <c r="K41" s="63">
        <v>0</v>
      </c>
      <c r="L41" s="63">
        <v>0</v>
      </c>
      <c r="M41" s="63">
        <v>0</v>
      </c>
      <c r="N41" s="63">
        <v>0</v>
      </c>
      <c r="O41" s="63">
        <v>0</v>
      </c>
      <c r="P41" s="63">
        <v>0</v>
      </c>
      <c r="Q41" s="142">
        <f t="shared" si="8"/>
        <v>0</v>
      </c>
      <c r="R41" s="142" t="e">
        <f t="shared" si="9"/>
        <v>#DIV/0!</v>
      </c>
      <c r="S41" s="157"/>
      <c r="T41" s="40">
        <f t="shared" si="5"/>
        <v>0</v>
      </c>
    </row>
    <row r="42" spans="1:20" s="84" customFormat="1" ht="24.95" hidden="1" customHeight="1">
      <c r="A42" s="3" t="s">
        <v>146</v>
      </c>
      <c r="B42" s="3" t="s">
        <v>388</v>
      </c>
      <c r="C42" s="3"/>
      <c r="D42" s="26" t="s">
        <v>147</v>
      </c>
      <c r="E42" s="63">
        <v>0</v>
      </c>
      <c r="F42" s="63">
        <v>0</v>
      </c>
      <c r="G42" s="63">
        <v>0</v>
      </c>
      <c r="H42" s="63">
        <v>0</v>
      </c>
      <c r="I42" s="63">
        <v>0</v>
      </c>
      <c r="J42" s="63">
        <v>0</v>
      </c>
      <c r="K42" s="63">
        <v>0</v>
      </c>
      <c r="L42" s="63">
        <v>0</v>
      </c>
      <c r="M42" s="63">
        <v>0</v>
      </c>
      <c r="N42" s="63">
        <v>0</v>
      </c>
      <c r="O42" s="63">
        <v>0</v>
      </c>
      <c r="P42" s="63">
        <v>0</v>
      </c>
      <c r="Q42" s="142">
        <f t="shared" si="8"/>
        <v>0</v>
      </c>
      <c r="R42" s="142" t="e">
        <f t="shared" si="9"/>
        <v>#DIV/0!</v>
      </c>
      <c r="S42" s="157"/>
      <c r="T42" s="40">
        <f t="shared" si="5"/>
        <v>0</v>
      </c>
    </row>
    <row r="43" spans="1:20" s="84" customFormat="1" ht="24.95" hidden="1" customHeight="1">
      <c r="A43" s="3" t="s">
        <v>148</v>
      </c>
      <c r="B43" s="3" t="s">
        <v>388</v>
      </c>
      <c r="C43" s="3"/>
      <c r="D43" s="26" t="s">
        <v>149</v>
      </c>
      <c r="E43" s="63">
        <v>0</v>
      </c>
      <c r="F43" s="63">
        <v>0</v>
      </c>
      <c r="G43" s="63">
        <v>0</v>
      </c>
      <c r="H43" s="63">
        <v>0</v>
      </c>
      <c r="I43" s="63">
        <v>0</v>
      </c>
      <c r="J43" s="63">
        <v>0</v>
      </c>
      <c r="K43" s="63">
        <v>0</v>
      </c>
      <c r="L43" s="63">
        <v>0</v>
      </c>
      <c r="M43" s="63">
        <v>0</v>
      </c>
      <c r="N43" s="63">
        <v>0</v>
      </c>
      <c r="O43" s="63">
        <v>0</v>
      </c>
      <c r="P43" s="63">
        <v>0</v>
      </c>
      <c r="Q43" s="142">
        <f t="shared" si="8"/>
        <v>0</v>
      </c>
      <c r="R43" s="142" t="e">
        <f t="shared" si="9"/>
        <v>#DIV/0!</v>
      </c>
      <c r="S43" s="157"/>
      <c r="T43" s="40">
        <f t="shared" si="5"/>
        <v>0</v>
      </c>
    </row>
    <row r="44" spans="1:20" s="84" customFormat="1" ht="24.95" hidden="1" customHeight="1">
      <c r="A44" s="3" t="s">
        <v>150</v>
      </c>
      <c r="B44" s="3" t="s">
        <v>388</v>
      </c>
      <c r="C44" s="3"/>
      <c r="D44" s="26" t="s">
        <v>151</v>
      </c>
      <c r="E44" s="63">
        <v>0</v>
      </c>
      <c r="F44" s="63">
        <v>0</v>
      </c>
      <c r="G44" s="63">
        <v>0</v>
      </c>
      <c r="H44" s="63">
        <v>0</v>
      </c>
      <c r="I44" s="63">
        <v>0</v>
      </c>
      <c r="J44" s="63">
        <v>0</v>
      </c>
      <c r="K44" s="63">
        <v>0</v>
      </c>
      <c r="L44" s="63">
        <v>0</v>
      </c>
      <c r="M44" s="63">
        <v>0</v>
      </c>
      <c r="N44" s="63">
        <v>0</v>
      </c>
      <c r="O44" s="63">
        <v>0</v>
      </c>
      <c r="P44" s="63">
        <v>0</v>
      </c>
      <c r="Q44" s="142">
        <f t="shared" si="8"/>
        <v>0</v>
      </c>
      <c r="R44" s="142" t="e">
        <f t="shared" si="9"/>
        <v>#DIV/0!</v>
      </c>
      <c r="S44" s="157"/>
      <c r="T44" s="40">
        <f t="shared" si="5"/>
        <v>0</v>
      </c>
    </row>
    <row r="45" spans="1:20" s="84" customFormat="1" ht="24.95" hidden="1" customHeight="1">
      <c r="A45" s="3" t="s">
        <v>152</v>
      </c>
      <c r="B45" s="3" t="s">
        <v>388</v>
      </c>
      <c r="C45" s="3"/>
      <c r="D45" s="26" t="s">
        <v>153</v>
      </c>
      <c r="E45" s="63">
        <v>0</v>
      </c>
      <c r="F45" s="63">
        <v>0</v>
      </c>
      <c r="G45" s="63">
        <v>0</v>
      </c>
      <c r="H45" s="63">
        <v>0</v>
      </c>
      <c r="I45" s="63">
        <v>0</v>
      </c>
      <c r="J45" s="63">
        <v>0</v>
      </c>
      <c r="K45" s="63">
        <v>0</v>
      </c>
      <c r="L45" s="63">
        <v>0</v>
      </c>
      <c r="M45" s="63">
        <v>0</v>
      </c>
      <c r="N45" s="63">
        <v>0</v>
      </c>
      <c r="O45" s="63">
        <v>0</v>
      </c>
      <c r="P45" s="63">
        <v>0</v>
      </c>
      <c r="Q45" s="142">
        <f t="shared" si="8"/>
        <v>0</v>
      </c>
      <c r="R45" s="142" t="e">
        <f t="shared" si="9"/>
        <v>#DIV/0!</v>
      </c>
      <c r="S45" s="157"/>
      <c r="T45" s="40">
        <f t="shared" si="5"/>
        <v>0</v>
      </c>
    </row>
    <row r="46" spans="1:20" s="84" customFormat="1" ht="24.95" hidden="1" customHeight="1">
      <c r="A46" s="3" t="s">
        <v>154</v>
      </c>
      <c r="B46" s="3" t="s">
        <v>388</v>
      </c>
      <c r="C46" s="3"/>
      <c r="D46" s="26" t="s">
        <v>155</v>
      </c>
      <c r="E46" s="63">
        <v>0</v>
      </c>
      <c r="F46" s="63">
        <v>0</v>
      </c>
      <c r="G46" s="63">
        <v>0</v>
      </c>
      <c r="H46" s="63">
        <v>0</v>
      </c>
      <c r="I46" s="63">
        <v>0</v>
      </c>
      <c r="J46" s="63">
        <v>0</v>
      </c>
      <c r="K46" s="63">
        <v>0</v>
      </c>
      <c r="L46" s="63">
        <v>0</v>
      </c>
      <c r="M46" s="63">
        <v>0</v>
      </c>
      <c r="N46" s="63">
        <v>0</v>
      </c>
      <c r="O46" s="63">
        <v>0</v>
      </c>
      <c r="P46" s="63">
        <v>0</v>
      </c>
      <c r="Q46" s="142">
        <f t="shared" si="8"/>
        <v>0</v>
      </c>
      <c r="R46" s="142" t="e">
        <f t="shared" si="9"/>
        <v>#DIV/0!</v>
      </c>
      <c r="S46" s="157"/>
      <c r="T46" s="40">
        <f t="shared" si="5"/>
        <v>0</v>
      </c>
    </row>
    <row r="47" spans="1:20" s="84" customFormat="1" ht="24.95" customHeight="1">
      <c r="A47" s="3" t="s">
        <v>156</v>
      </c>
      <c r="B47" s="3" t="s">
        <v>388</v>
      </c>
      <c r="C47" s="3"/>
      <c r="D47" s="26" t="s">
        <v>157</v>
      </c>
      <c r="E47" s="63"/>
      <c r="F47" s="63"/>
      <c r="G47" s="63"/>
      <c r="H47" s="63"/>
      <c r="I47" s="63"/>
      <c r="J47" s="63"/>
      <c r="K47" s="63"/>
      <c r="L47" s="63"/>
      <c r="M47" s="63"/>
      <c r="N47" s="63"/>
      <c r="O47" s="63"/>
      <c r="P47" s="63"/>
      <c r="Q47" s="142">
        <f t="shared" si="8"/>
        <v>0</v>
      </c>
      <c r="R47" s="142" t="e">
        <f t="shared" si="9"/>
        <v>#DIV/0!</v>
      </c>
      <c r="S47" s="157"/>
      <c r="T47" s="40">
        <f t="shared" si="5"/>
        <v>0</v>
      </c>
    </row>
    <row r="48" spans="1:20" s="84" customFormat="1" ht="24.95" customHeight="1">
      <c r="A48" s="3" t="s">
        <v>158</v>
      </c>
      <c r="B48" s="3" t="s">
        <v>388</v>
      </c>
      <c r="C48" s="3"/>
      <c r="D48" s="26" t="s">
        <v>159</v>
      </c>
      <c r="E48" s="63"/>
      <c r="F48" s="63"/>
      <c r="G48" s="63"/>
      <c r="H48" s="63"/>
      <c r="I48" s="63"/>
      <c r="J48" s="63"/>
      <c r="K48" s="63"/>
      <c r="L48" s="63"/>
      <c r="M48" s="63"/>
      <c r="N48" s="63"/>
      <c r="O48" s="63"/>
      <c r="P48" s="63"/>
      <c r="Q48" s="142">
        <f t="shared" si="8"/>
        <v>0</v>
      </c>
      <c r="R48" s="142" t="e">
        <f t="shared" si="9"/>
        <v>#DIV/0!</v>
      </c>
      <c r="S48" s="157"/>
      <c r="T48" s="40">
        <f t="shared" si="5"/>
        <v>0</v>
      </c>
    </row>
    <row r="49" spans="1:20" s="84" customFormat="1" ht="24.95" hidden="1" customHeight="1">
      <c r="A49" s="3" t="s">
        <v>160</v>
      </c>
      <c r="B49" s="3" t="s">
        <v>388</v>
      </c>
      <c r="C49" s="3"/>
      <c r="D49" s="26" t="s">
        <v>161</v>
      </c>
      <c r="E49" s="63"/>
      <c r="F49" s="63"/>
      <c r="G49" s="63"/>
      <c r="H49" s="63"/>
      <c r="I49" s="63"/>
      <c r="J49" s="63"/>
      <c r="K49" s="63"/>
      <c r="L49" s="63"/>
      <c r="M49" s="63"/>
      <c r="N49" s="63"/>
      <c r="O49" s="63"/>
      <c r="P49" s="63"/>
      <c r="Q49" s="142">
        <f t="shared" si="8"/>
        <v>0</v>
      </c>
      <c r="R49" s="142" t="e">
        <f t="shared" si="9"/>
        <v>#DIV/0!</v>
      </c>
      <c r="S49" s="157"/>
      <c r="T49" s="40">
        <f t="shared" si="5"/>
        <v>0</v>
      </c>
    </row>
    <row r="50" spans="1:20" s="84" customFormat="1" ht="24.95" customHeight="1">
      <c r="A50" s="3" t="s">
        <v>162</v>
      </c>
      <c r="B50" s="3" t="s">
        <v>388</v>
      </c>
      <c r="C50" s="3"/>
      <c r="D50" s="26" t="s">
        <v>163</v>
      </c>
      <c r="E50" s="63"/>
      <c r="F50" s="63"/>
      <c r="G50" s="63"/>
      <c r="H50" s="63"/>
      <c r="I50" s="63"/>
      <c r="J50" s="63"/>
      <c r="K50" s="63"/>
      <c r="L50" s="63"/>
      <c r="M50" s="63"/>
      <c r="N50" s="63"/>
      <c r="O50" s="63"/>
      <c r="P50" s="63"/>
      <c r="Q50" s="142">
        <f t="shared" si="8"/>
        <v>0</v>
      </c>
      <c r="R50" s="142" t="e">
        <f t="shared" si="9"/>
        <v>#DIV/0!</v>
      </c>
      <c r="S50" s="157"/>
      <c r="T50" s="40"/>
    </row>
    <row r="51" spans="1:20" s="84" customFormat="1" ht="24.95" hidden="1" customHeight="1">
      <c r="A51" s="3" t="s">
        <v>164</v>
      </c>
      <c r="B51" s="3" t="s">
        <v>388</v>
      </c>
      <c r="C51" s="3"/>
      <c r="D51" s="26" t="s">
        <v>165</v>
      </c>
      <c r="E51" s="63">
        <v>0</v>
      </c>
      <c r="F51" s="63">
        <v>0</v>
      </c>
      <c r="G51" s="63">
        <v>0</v>
      </c>
      <c r="H51" s="63">
        <v>0</v>
      </c>
      <c r="I51" s="63">
        <v>0</v>
      </c>
      <c r="J51" s="63">
        <v>0</v>
      </c>
      <c r="K51" s="63">
        <v>0</v>
      </c>
      <c r="L51" s="63">
        <v>0</v>
      </c>
      <c r="M51" s="63">
        <v>0</v>
      </c>
      <c r="N51" s="63">
        <v>0</v>
      </c>
      <c r="O51" s="63">
        <v>0</v>
      </c>
      <c r="P51" s="63">
        <v>0</v>
      </c>
      <c r="Q51" s="142">
        <f t="shared" si="8"/>
        <v>0</v>
      </c>
      <c r="R51" s="142" t="e">
        <f t="shared" si="9"/>
        <v>#DIV/0!</v>
      </c>
      <c r="S51" s="157"/>
      <c r="T51" s="40">
        <f t="shared" si="5"/>
        <v>0</v>
      </c>
    </row>
    <row r="52" spans="1:20" s="84" customFormat="1" ht="24.95" hidden="1" customHeight="1">
      <c r="A52" s="3" t="s">
        <v>166</v>
      </c>
      <c r="B52" s="3" t="s">
        <v>388</v>
      </c>
      <c r="C52" s="3"/>
      <c r="D52" s="26" t="s">
        <v>167</v>
      </c>
      <c r="E52" s="63">
        <v>0</v>
      </c>
      <c r="F52" s="63">
        <v>0</v>
      </c>
      <c r="G52" s="63">
        <v>0</v>
      </c>
      <c r="H52" s="63">
        <v>0</v>
      </c>
      <c r="I52" s="63">
        <v>0</v>
      </c>
      <c r="J52" s="63">
        <v>0</v>
      </c>
      <c r="K52" s="63">
        <v>0</v>
      </c>
      <c r="L52" s="63">
        <v>0</v>
      </c>
      <c r="M52" s="63">
        <v>0</v>
      </c>
      <c r="N52" s="63">
        <v>0</v>
      </c>
      <c r="O52" s="63">
        <v>0</v>
      </c>
      <c r="P52" s="63">
        <v>0</v>
      </c>
      <c r="Q52" s="142">
        <f t="shared" si="8"/>
        <v>0</v>
      </c>
      <c r="R52" s="142" t="e">
        <f t="shared" si="9"/>
        <v>#DIV/0!</v>
      </c>
      <c r="S52" s="157"/>
      <c r="T52" s="40">
        <f t="shared" si="5"/>
        <v>0</v>
      </c>
    </row>
    <row r="53" spans="1:20" s="84" customFormat="1" ht="24.95" hidden="1" customHeight="1">
      <c r="A53" s="3" t="s">
        <v>168</v>
      </c>
      <c r="B53" s="3" t="s">
        <v>388</v>
      </c>
      <c r="C53" s="3"/>
      <c r="D53" s="26" t="s">
        <v>169</v>
      </c>
      <c r="E53" s="63">
        <v>0</v>
      </c>
      <c r="F53" s="63">
        <v>0</v>
      </c>
      <c r="G53" s="63">
        <v>0</v>
      </c>
      <c r="H53" s="63">
        <v>0</v>
      </c>
      <c r="I53" s="63">
        <v>0</v>
      </c>
      <c r="J53" s="63">
        <v>0</v>
      </c>
      <c r="K53" s="63">
        <v>0</v>
      </c>
      <c r="L53" s="63">
        <v>0</v>
      </c>
      <c r="M53" s="63">
        <v>0</v>
      </c>
      <c r="N53" s="63">
        <v>0</v>
      </c>
      <c r="O53" s="63">
        <v>0</v>
      </c>
      <c r="P53" s="63">
        <v>0</v>
      </c>
      <c r="Q53" s="142">
        <f t="shared" si="8"/>
        <v>0</v>
      </c>
      <c r="R53" s="142" t="e">
        <f t="shared" si="9"/>
        <v>#DIV/0!</v>
      </c>
      <c r="S53" s="157"/>
      <c r="T53" s="40">
        <f t="shared" si="5"/>
        <v>0</v>
      </c>
    </row>
    <row r="54" spans="1:20" s="84" customFormat="1" ht="24.95" customHeight="1">
      <c r="A54" s="3" t="s">
        <v>170</v>
      </c>
      <c r="B54" s="3" t="s">
        <v>388</v>
      </c>
      <c r="C54" s="3"/>
      <c r="D54" s="26" t="s">
        <v>171</v>
      </c>
      <c r="E54" s="63">
        <f>E117*0.27</f>
        <v>0</v>
      </c>
      <c r="F54" s="63">
        <f t="shared" ref="F54:P54" si="10">F117*0.27</f>
        <v>0</v>
      </c>
      <c r="G54" s="63">
        <f t="shared" si="10"/>
        <v>0</v>
      </c>
      <c r="H54" s="63">
        <f t="shared" si="10"/>
        <v>0</v>
      </c>
      <c r="I54" s="63">
        <f t="shared" si="10"/>
        <v>0</v>
      </c>
      <c r="J54" s="63">
        <f t="shared" si="10"/>
        <v>0</v>
      </c>
      <c r="K54" s="63">
        <f t="shared" si="10"/>
        <v>0</v>
      </c>
      <c r="L54" s="63">
        <f t="shared" si="10"/>
        <v>0</v>
      </c>
      <c r="M54" s="63">
        <f t="shared" si="10"/>
        <v>0</v>
      </c>
      <c r="N54" s="63">
        <f t="shared" si="10"/>
        <v>0</v>
      </c>
      <c r="O54" s="63">
        <f t="shared" si="10"/>
        <v>0</v>
      </c>
      <c r="P54" s="63">
        <f t="shared" si="10"/>
        <v>0</v>
      </c>
      <c r="Q54" s="142">
        <f t="shared" si="8"/>
        <v>0</v>
      </c>
      <c r="R54" s="142" t="e">
        <f t="shared" si="9"/>
        <v>#DIV/0!</v>
      </c>
      <c r="S54" s="157"/>
      <c r="T54" s="40">
        <f t="shared" si="5"/>
        <v>0</v>
      </c>
    </row>
    <row r="55" spans="1:20" s="84" customFormat="1" ht="24.95" hidden="1" customHeight="1">
      <c r="A55" s="3" t="s">
        <v>172</v>
      </c>
      <c r="B55" s="3" t="s">
        <v>388</v>
      </c>
      <c r="C55" s="3"/>
      <c r="D55" s="26" t="s">
        <v>173</v>
      </c>
      <c r="E55" s="63">
        <v>0</v>
      </c>
      <c r="F55" s="63">
        <v>0</v>
      </c>
      <c r="G55" s="63">
        <v>0</v>
      </c>
      <c r="H55" s="63">
        <v>0</v>
      </c>
      <c r="I55" s="63">
        <v>0</v>
      </c>
      <c r="J55" s="63">
        <v>0</v>
      </c>
      <c r="K55" s="63">
        <v>0</v>
      </c>
      <c r="L55" s="63">
        <v>0</v>
      </c>
      <c r="M55" s="63">
        <v>0</v>
      </c>
      <c r="N55" s="63">
        <v>0</v>
      </c>
      <c r="O55" s="63">
        <v>0</v>
      </c>
      <c r="P55" s="63">
        <v>0</v>
      </c>
      <c r="Q55" s="142">
        <f t="shared" si="8"/>
        <v>0</v>
      </c>
      <c r="R55" s="142" t="e">
        <f t="shared" si="9"/>
        <v>#DIV/0!</v>
      </c>
      <c r="S55" s="157"/>
      <c r="T55" s="40">
        <f t="shared" si="5"/>
        <v>0</v>
      </c>
    </row>
    <row r="56" spans="1:20" s="84" customFormat="1" ht="24.95" hidden="1" customHeight="1">
      <c r="A56" s="3" t="s">
        <v>174</v>
      </c>
      <c r="B56" s="3" t="s">
        <v>388</v>
      </c>
      <c r="C56" s="3"/>
      <c r="D56" s="26" t="s">
        <v>175</v>
      </c>
      <c r="E56" s="63">
        <v>0</v>
      </c>
      <c r="F56" s="63">
        <v>0</v>
      </c>
      <c r="G56" s="63">
        <v>0</v>
      </c>
      <c r="H56" s="63">
        <v>0</v>
      </c>
      <c r="I56" s="63">
        <v>0</v>
      </c>
      <c r="J56" s="63">
        <v>0</v>
      </c>
      <c r="K56" s="63">
        <v>0</v>
      </c>
      <c r="L56" s="63">
        <v>0</v>
      </c>
      <c r="M56" s="63">
        <v>0</v>
      </c>
      <c r="N56" s="63">
        <v>0</v>
      </c>
      <c r="O56" s="63">
        <v>0</v>
      </c>
      <c r="P56" s="63">
        <v>0</v>
      </c>
      <c r="Q56" s="142">
        <f t="shared" si="8"/>
        <v>0</v>
      </c>
      <c r="R56" s="142" t="e">
        <f t="shared" si="9"/>
        <v>#DIV/0!</v>
      </c>
      <c r="S56" s="157"/>
      <c r="T56" s="40">
        <f t="shared" si="5"/>
        <v>0</v>
      </c>
    </row>
    <row r="57" spans="1:20" s="84" customFormat="1" ht="24.95" hidden="1" customHeight="1">
      <c r="A57" s="3" t="s">
        <v>176</v>
      </c>
      <c r="B57" s="3" t="s">
        <v>388</v>
      </c>
      <c r="C57" s="3"/>
      <c r="D57" s="26" t="s">
        <v>177</v>
      </c>
      <c r="E57" s="63">
        <v>0</v>
      </c>
      <c r="F57" s="63">
        <v>0</v>
      </c>
      <c r="G57" s="63">
        <v>0</v>
      </c>
      <c r="H57" s="63">
        <v>0</v>
      </c>
      <c r="I57" s="63">
        <v>0</v>
      </c>
      <c r="J57" s="63">
        <v>0</v>
      </c>
      <c r="K57" s="63">
        <v>0</v>
      </c>
      <c r="L57" s="63">
        <v>0</v>
      </c>
      <c r="M57" s="63">
        <v>0</v>
      </c>
      <c r="N57" s="63">
        <v>0</v>
      </c>
      <c r="O57" s="63">
        <v>0</v>
      </c>
      <c r="P57" s="63">
        <v>0</v>
      </c>
      <c r="Q57" s="142">
        <f t="shared" si="8"/>
        <v>0</v>
      </c>
      <c r="R57" s="142" t="e">
        <f t="shared" si="9"/>
        <v>#DIV/0!</v>
      </c>
      <c r="S57" s="157"/>
      <c r="T57" s="40">
        <f t="shared" si="5"/>
        <v>0</v>
      </c>
    </row>
    <row r="58" spans="1:20" s="84" customFormat="1" ht="24.95" customHeight="1">
      <c r="A58" s="3" t="s">
        <v>178</v>
      </c>
      <c r="B58" s="3" t="s">
        <v>388</v>
      </c>
      <c r="C58" s="3"/>
      <c r="D58" s="26" t="s">
        <v>179</v>
      </c>
      <c r="E58" s="63">
        <v>0</v>
      </c>
      <c r="F58" s="63">
        <v>0</v>
      </c>
      <c r="G58" s="63">
        <v>0</v>
      </c>
      <c r="H58" s="63">
        <v>0</v>
      </c>
      <c r="I58" s="63">
        <v>0</v>
      </c>
      <c r="J58" s="63">
        <v>0</v>
      </c>
      <c r="K58" s="63">
        <v>0</v>
      </c>
      <c r="L58" s="63">
        <v>0</v>
      </c>
      <c r="M58" s="63">
        <v>0</v>
      </c>
      <c r="N58" s="63">
        <v>0</v>
      </c>
      <c r="O58" s="63">
        <v>0</v>
      </c>
      <c r="P58" s="63">
        <v>0</v>
      </c>
      <c r="Q58" s="142">
        <f t="shared" si="8"/>
        <v>0</v>
      </c>
      <c r="R58" s="142" t="e">
        <f t="shared" si="9"/>
        <v>#DIV/0!</v>
      </c>
      <c r="S58" s="157"/>
      <c r="T58" s="40"/>
    </row>
    <row r="59" spans="1:20" s="84" customFormat="1" ht="24.95" hidden="1" customHeight="1">
      <c r="A59" s="3" t="s">
        <v>180</v>
      </c>
      <c r="B59" s="3" t="s">
        <v>388</v>
      </c>
      <c r="C59" s="3"/>
      <c r="D59" s="26" t="s">
        <v>181</v>
      </c>
      <c r="E59" s="63">
        <v>0</v>
      </c>
      <c r="F59" s="63">
        <v>0</v>
      </c>
      <c r="G59" s="63">
        <v>0</v>
      </c>
      <c r="H59" s="63">
        <v>0</v>
      </c>
      <c r="I59" s="63">
        <v>0</v>
      </c>
      <c r="J59" s="63">
        <v>0</v>
      </c>
      <c r="K59" s="63">
        <v>0</v>
      </c>
      <c r="L59" s="63">
        <v>0</v>
      </c>
      <c r="M59" s="63">
        <v>0</v>
      </c>
      <c r="N59" s="63">
        <v>0</v>
      </c>
      <c r="O59" s="63">
        <v>0</v>
      </c>
      <c r="P59" s="63">
        <v>0</v>
      </c>
      <c r="Q59" s="142">
        <f t="shared" si="8"/>
        <v>0</v>
      </c>
      <c r="R59" s="142" t="e">
        <f t="shared" si="9"/>
        <v>#DIV/0!</v>
      </c>
      <c r="S59" s="157"/>
      <c r="T59" s="40"/>
    </row>
    <row r="60" spans="1:20" s="84" customFormat="1" ht="24.95" hidden="1" customHeight="1">
      <c r="A60" s="3" t="s">
        <v>182</v>
      </c>
      <c r="B60" s="3" t="s">
        <v>388</v>
      </c>
      <c r="C60" s="3"/>
      <c r="D60" s="26" t="s">
        <v>183</v>
      </c>
      <c r="E60" s="63">
        <v>0</v>
      </c>
      <c r="F60" s="63">
        <v>0</v>
      </c>
      <c r="G60" s="63">
        <v>0</v>
      </c>
      <c r="H60" s="63">
        <v>0</v>
      </c>
      <c r="I60" s="63">
        <v>0</v>
      </c>
      <c r="J60" s="63">
        <v>0</v>
      </c>
      <c r="K60" s="63">
        <v>0</v>
      </c>
      <c r="L60" s="63">
        <v>0</v>
      </c>
      <c r="M60" s="63">
        <v>0</v>
      </c>
      <c r="N60" s="63">
        <v>0</v>
      </c>
      <c r="O60" s="63">
        <v>0</v>
      </c>
      <c r="P60" s="63">
        <v>0</v>
      </c>
      <c r="Q60" s="142">
        <f t="shared" si="8"/>
        <v>0</v>
      </c>
      <c r="R60" s="142" t="e">
        <f t="shared" si="9"/>
        <v>#DIV/0!</v>
      </c>
      <c r="S60" s="157"/>
      <c r="T60" s="40"/>
    </row>
    <row r="61" spans="1:20" s="84" customFormat="1" ht="24.95" customHeight="1">
      <c r="A61" s="3" t="s">
        <v>184</v>
      </c>
      <c r="B61" s="3" t="s">
        <v>388</v>
      </c>
      <c r="C61" s="3"/>
      <c r="D61" s="26" t="s">
        <v>185</v>
      </c>
      <c r="E61" s="63">
        <v>0</v>
      </c>
      <c r="F61" s="63">
        <v>0</v>
      </c>
      <c r="G61" s="63">
        <v>0</v>
      </c>
      <c r="H61" s="63">
        <v>0</v>
      </c>
      <c r="I61" s="63">
        <v>0</v>
      </c>
      <c r="J61" s="63">
        <v>0</v>
      </c>
      <c r="K61" s="63">
        <v>0</v>
      </c>
      <c r="L61" s="63">
        <v>0</v>
      </c>
      <c r="M61" s="63">
        <v>0</v>
      </c>
      <c r="N61" s="63">
        <v>0</v>
      </c>
      <c r="O61" s="63">
        <v>0</v>
      </c>
      <c r="P61" s="63">
        <v>0</v>
      </c>
      <c r="Q61" s="142">
        <f t="shared" si="8"/>
        <v>0</v>
      </c>
      <c r="R61" s="142" t="e">
        <f t="shared" si="9"/>
        <v>#DIV/0!</v>
      </c>
      <c r="S61" s="157"/>
      <c r="T61" s="40"/>
    </row>
    <row r="62" spans="1:20" s="84" customFormat="1" ht="24.95" customHeight="1">
      <c r="A62" s="3" t="s">
        <v>186</v>
      </c>
      <c r="B62" s="3" t="s">
        <v>388</v>
      </c>
      <c r="C62" s="3"/>
      <c r="D62" s="26" t="s">
        <v>187</v>
      </c>
      <c r="E62" s="63"/>
      <c r="F62" s="63"/>
      <c r="G62" s="63"/>
      <c r="H62" s="63"/>
      <c r="I62" s="63"/>
      <c r="J62" s="63"/>
      <c r="K62" s="63"/>
      <c r="L62" s="63"/>
      <c r="M62" s="63"/>
      <c r="N62" s="63"/>
      <c r="O62" s="63"/>
      <c r="P62" s="63"/>
      <c r="Q62" s="142">
        <f t="shared" si="8"/>
        <v>0</v>
      </c>
      <c r="R62" s="142" t="e">
        <f t="shared" si="9"/>
        <v>#DIV/0!</v>
      </c>
      <c r="S62" s="157"/>
      <c r="T62" s="40"/>
    </row>
    <row r="63" spans="1:20" s="84" customFormat="1" ht="24.95" customHeight="1">
      <c r="A63" s="3" t="s">
        <v>188</v>
      </c>
      <c r="B63" s="3" t="s">
        <v>388</v>
      </c>
      <c r="C63" s="3"/>
      <c r="D63" s="26" t="s">
        <v>189</v>
      </c>
      <c r="E63" s="63"/>
      <c r="F63" s="63"/>
      <c r="G63" s="63"/>
      <c r="H63" s="63"/>
      <c r="I63" s="63"/>
      <c r="J63" s="63"/>
      <c r="K63" s="63"/>
      <c r="L63" s="63"/>
      <c r="M63" s="63"/>
      <c r="N63" s="63"/>
      <c r="O63" s="63"/>
      <c r="P63" s="63"/>
      <c r="Q63" s="142">
        <f t="shared" si="8"/>
        <v>0</v>
      </c>
      <c r="R63" s="142" t="e">
        <f t="shared" si="9"/>
        <v>#DIV/0!</v>
      </c>
      <c r="S63" s="157"/>
      <c r="T63" s="40"/>
    </row>
    <row r="64" spans="1:20" s="84" customFormat="1" ht="24.75" customHeight="1">
      <c r="A64" s="3" t="s">
        <v>190</v>
      </c>
      <c r="B64" s="3" t="s">
        <v>388</v>
      </c>
      <c r="C64" s="3"/>
      <c r="D64" s="26" t="s">
        <v>191</v>
      </c>
      <c r="E64" s="63"/>
      <c r="F64" s="63"/>
      <c r="G64" s="63"/>
      <c r="H64" s="63"/>
      <c r="I64" s="63"/>
      <c r="J64" s="63"/>
      <c r="K64" s="63"/>
      <c r="L64" s="63"/>
      <c r="M64" s="63"/>
      <c r="N64" s="63"/>
      <c r="O64" s="63"/>
      <c r="P64" s="63"/>
      <c r="Q64" s="142">
        <f t="shared" si="8"/>
        <v>0</v>
      </c>
      <c r="R64" s="142" t="e">
        <f t="shared" si="9"/>
        <v>#DIV/0!</v>
      </c>
      <c r="S64" s="157"/>
      <c r="T64" s="40"/>
    </row>
    <row r="65" spans="1:20" s="84" customFormat="1" ht="24.95" customHeight="1">
      <c r="A65" s="3" t="s">
        <v>192</v>
      </c>
      <c r="B65" s="3" t="s">
        <v>388</v>
      </c>
      <c r="C65" s="3"/>
      <c r="D65" s="26" t="s">
        <v>193</v>
      </c>
      <c r="E65" s="63"/>
      <c r="F65" s="63"/>
      <c r="G65" s="63"/>
      <c r="H65" s="63"/>
      <c r="I65" s="63"/>
      <c r="J65" s="63"/>
      <c r="K65" s="63"/>
      <c r="L65" s="63"/>
      <c r="M65" s="63"/>
      <c r="N65" s="63"/>
      <c r="O65" s="63"/>
      <c r="P65" s="63"/>
      <c r="Q65" s="142">
        <f t="shared" si="8"/>
        <v>0</v>
      </c>
      <c r="R65" s="142" t="e">
        <f t="shared" si="9"/>
        <v>#DIV/0!</v>
      </c>
      <c r="S65" s="157"/>
      <c r="T65" s="40"/>
    </row>
    <row r="66" spans="1:20" s="84" customFormat="1" ht="24.95" customHeight="1">
      <c r="A66" s="3" t="s">
        <v>194</v>
      </c>
      <c r="B66" s="3" t="s">
        <v>388</v>
      </c>
      <c r="C66" s="3"/>
      <c r="D66" s="26" t="s">
        <v>195</v>
      </c>
      <c r="E66" s="63"/>
      <c r="F66" s="63"/>
      <c r="G66" s="63"/>
      <c r="H66" s="63"/>
      <c r="I66" s="63"/>
      <c r="J66" s="63"/>
      <c r="K66" s="63"/>
      <c r="L66" s="63"/>
      <c r="M66" s="63"/>
      <c r="N66" s="63"/>
      <c r="O66" s="63"/>
      <c r="P66" s="63"/>
      <c r="Q66" s="142">
        <f t="shared" si="8"/>
        <v>0</v>
      </c>
      <c r="R66" s="142" t="e">
        <f t="shared" si="9"/>
        <v>#DIV/0!</v>
      </c>
      <c r="S66" s="157"/>
      <c r="T66" s="40"/>
    </row>
    <row r="67" spans="1:20" s="84" customFormat="1" ht="24.95" customHeight="1">
      <c r="A67" s="3" t="s">
        <v>196</v>
      </c>
      <c r="B67" s="3" t="s">
        <v>388</v>
      </c>
      <c r="C67" s="3"/>
      <c r="D67" s="26" t="s">
        <v>197</v>
      </c>
      <c r="E67" s="63"/>
      <c r="F67" s="63"/>
      <c r="G67" s="63"/>
      <c r="H67" s="63"/>
      <c r="I67" s="63"/>
      <c r="J67" s="63"/>
      <c r="K67" s="63"/>
      <c r="L67" s="63"/>
      <c r="M67" s="63"/>
      <c r="N67" s="63"/>
      <c r="O67" s="63"/>
      <c r="P67" s="63"/>
      <c r="Q67" s="142">
        <f t="shared" si="8"/>
        <v>0</v>
      </c>
      <c r="R67" s="142" t="e">
        <f t="shared" si="9"/>
        <v>#DIV/0!</v>
      </c>
      <c r="S67" s="157"/>
      <c r="T67" s="40"/>
    </row>
    <row r="68" spans="1:20" s="84" customFormat="1" ht="24.95" hidden="1" customHeight="1">
      <c r="A68" s="3" t="s">
        <v>198</v>
      </c>
      <c r="B68" s="3" t="s">
        <v>388</v>
      </c>
      <c r="C68" s="3"/>
      <c r="D68" s="26" t="s">
        <v>199</v>
      </c>
      <c r="E68" s="63"/>
      <c r="F68" s="63"/>
      <c r="G68" s="63"/>
      <c r="H68" s="63"/>
      <c r="I68" s="63"/>
      <c r="J68" s="63"/>
      <c r="K68" s="63"/>
      <c r="L68" s="63"/>
      <c r="M68" s="63"/>
      <c r="N68" s="63"/>
      <c r="O68" s="63"/>
      <c r="P68" s="63"/>
      <c r="Q68" s="142">
        <f t="shared" si="8"/>
        <v>0</v>
      </c>
      <c r="R68" s="142" t="e">
        <f t="shared" si="9"/>
        <v>#DIV/0!</v>
      </c>
      <c r="S68" s="157"/>
      <c r="T68" s="40"/>
    </row>
    <row r="69" spans="1:20" s="84" customFormat="1" ht="24.95" hidden="1" customHeight="1">
      <c r="A69" s="3" t="s">
        <v>200</v>
      </c>
      <c r="B69" s="3" t="s">
        <v>388</v>
      </c>
      <c r="C69" s="3"/>
      <c r="D69" s="26" t="s">
        <v>201</v>
      </c>
      <c r="E69" s="63"/>
      <c r="F69" s="63"/>
      <c r="G69" s="63"/>
      <c r="H69" s="63"/>
      <c r="I69" s="63"/>
      <c r="J69" s="63"/>
      <c r="K69" s="63"/>
      <c r="L69" s="63"/>
      <c r="M69" s="63"/>
      <c r="N69" s="63"/>
      <c r="O69" s="63"/>
      <c r="P69" s="63"/>
      <c r="Q69" s="142">
        <f t="shared" si="8"/>
        <v>0</v>
      </c>
      <c r="R69" s="142" t="e">
        <f t="shared" si="9"/>
        <v>#DIV/0!</v>
      </c>
      <c r="S69" s="157"/>
      <c r="T69" s="40"/>
    </row>
    <row r="70" spans="1:20" s="84" customFormat="1" ht="24.95" customHeight="1">
      <c r="A70" s="3" t="s">
        <v>202</v>
      </c>
      <c r="B70" s="3" t="s">
        <v>388</v>
      </c>
      <c r="C70" s="3"/>
      <c r="D70" s="26" t="s">
        <v>203</v>
      </c>
      <c r="E70" s="63"/>
      <c r="F70" s="63"/>
      <c r="G70" s="63"/>
      <c r="H70" s="63"/>
      <c r="I70" s="63"/>
      <c r="J70" s="63"/>
      <c r="K70" s="63"/>
      <c r="L70" s="63"/>
      <c r="M70" s="63"/>
      <c r="N70" s="63"/>
      <c r="O70" s="63"/>
      <c r="P70" s="63"/>
      <c r="Q70" s="142">
        <f t="shared" si="8"/>
        <v>0</v>
      </c>
      <c r="R70" s="142" t="e">
        <f t="shared" si="9"/>
        <v>#DIV/0!</v>
      </c>
      <c r="S70" s="157"/>
      <c r="T70" s="40"/>
    </row>
    <row r="71" spans="1:20" s="84" customFormat="1" ht="24.95" customHeight="1">
      <c r="A71" s="3" t="s">
        <v>204</v>
      </c>
      <c r="B71" s="3" t="s">
        <v>388</v>
      </c>
      <c r="C71" s="3"/>
      <c r="D71" s="26" t="s">
        <v>205</v>
      </c>
      <c r="E71" s="63"/>
      <c r="F71" s="63"/>
      <c r="G71" s="63"/>
      <c r="H71" s="63"/>
      <c r="I71" s="63"/>
      <c r="J71" s="63"/>
      <c r="K71" s="63"/>
      <c r="L71" s="63"/>
      <c r="M71" s="63"/>
      <c r="N71" s="63"/>
      <c r="O71" s="63"/>
      <c r="P71" s="63"/>
      <c r="Q71" s="142">
        <f t="shared" si="8"/>
        <v>0</v>
      </c>
      <c r="R71" s="142" t="e">
        <f t="shared" si="9"/>
        <v>#DIV/0!</v>
      </c>
      <c r="S71" s="157"/>
      <c r="T71" s="40"/>
    </row>
    <row r="72" spans="1:20" s="84" customFormat="1" ht="24.95" hidden="1" customHeight="1">
      <c r="A72" s="3" t="s">
        <v>206</v>
      </c>
      <c r="B72" s="3" t="s">
        <v>388</v>
      </c>
      <c r="C72" s="3"/>
      <c r="D72" s="26" t="s">
        <v>207</v>
      </c>
      <c r="E72" s="63"/>
      <c r="F72" s="63"/>
      <c r="G72" s="63"/>
      <c r="H72" s="63"/>
      <c r="I72" s="63"/>
      <c r="J72" s="63"/>
      <c r="K72" s="63"/>
      <c r="L72" s="63"/>
      <c r="M72" s="63"/>
      <c r="N72" s="63"/>
      <c r="O72" s="63"/>
      <c r="P72" s="63"/>
      <c r="Q72" s="142">
        <f t="shared" si="8"/>
        <v>0</v>
      </c>
      <c r="R72" s="142" t="e">
        <f t="shared" si="9"/>
        <v>#DIV/0!</v>
      </c>
      <c r="S72" s="157"/>
      <c r="T72" s="40"/>
    </row>
    <row r="73" spans="1:20" s="84" customFormat="1" ht="24.95" hidden="1" customHeight="1">
      <c r="A73" s="3" t="s">
        <v>208</v>
      </c>
      <c r="B73" s="3" t="s">
        <v>388</v>
      </c>
      <c r="C73" s="3"/>
      <c r="D73" s="26" t="s">
        <v>209</v>
      </c>
      <c r="E73" s="63"/>
      <c r="F73" s="63"/>
      <c r="G73" s="63"/>
      <c r="H73" s="63"/>
      <c r="I73" s="63"/>
      <c r="J73" s="63"/>
      <c r="K73" s="63"/>
      <c r="L73" s="63"/>
      <c r="M73" s="63"/>
      <c r="N73" s="63"/>
      <c r="O73" s="63"/>
      <c r="P73" s="63"/>
      <c r="Q73" s="142">
        <f t="shared" si="8"/>
        <v>0</v>
      </c>
      <c r="R73" s="142" t="e">
        <f t="shared" si="9"/>
        <v>#DIV/0!</v>
      </c>
      <c r="S73" s="157"/>
      <c r="T73" s="40"/>
    </row>
    <row r="74" spans="1:20" s="84" customFormat="1" ht="24.95" customHeight="1">
      <c r="A74" s="3" t="s">
        <v>210</v>
      </c>
      <c r="B74" s="3" t="s">
        <v>388</v>
      </c>
      <c r="C74" s="3"/>
      <c r="D74" s="26" t="s">
        <v>211</v>
      </c>
      <c r="E74" s="63"/>
      <c r="F74" s="63"/>
      <c r="G74" s="63"/>
      <c r="H74" s="63"/>
      <c r="I74" s="63"/>
      <c r="J74" s="63"/>
      <c r="K74" s="63"/>
      <c r="L74" s="63"/>
      <c r="M74" s="63"/>
      <c r="N74" s="63"/>
      <c r="O74" s="63"/>
      <c r="P74" s="63"/>
      <c r="Q74" s="142">
        <f t="shared" si="8"/>
        <v>0</v>
      </c>
      <c r="R74" s="142" t="e">
        <f t="shared" si="9"/>
        <v>#DIV/0!</v>
      </c>
      <c r="S74" s="157"/>
      <c r="T74" s="40"/>
    </row>
    <row r="75" spans="1:20" s="84" customFormat="1" ht="24.95" hidden="1" customHeight="1">
      <c r="A75" s="3" t="s">
        <v>212</v>
      </c>
      <c r="B75" s="3" t="s">
        <v>388</v>
      </c>
      <c r="C75" s="3"/>
      <c r="D75" s="26" t="s">
        <v>213</v>
      </c>
      <c r="E75" s="63"/>
      <c r="F75" s="63"/>
      <c r="G75" s="63"/>
      <c r="H75" s="63"/>
      <c r="I75" s="63"/>
      <c r="J75" s="63"/>
      <c r="K75" s="63"/>
      <c r="L75" s="63"/>
      <c r="M75" s="63"/>
      <c r="N75" s="63"/>
      <c r="O75" s="63"/>
      <c r="P75" s="63"/>
      <c r="Q75" s="142">
        <f t="shared" si="8"/>
        <v>0</v>
      </c>
      <c r="R75" s="142" t="e">
        <f t="shared" si="9"/>
        <v>#DIV/0!</v>
      </c>
      <c r="S75" s="157"/>
      <c r="T75" s="40">
        <f t="shared" si="5"/>
        <v>0</v>
      </c>
    </row>
    <row r="76" spans="1:20" s="84" customFormat="1" ht="24.95" hidden="1" customHeight="1">
      <c r="A76" s="3" t="s">
        <v>214</v>
      </c>
      <c r="B76" s="3" t="s">
        <v>388</v>
      </c>
      <c r="C76" s="3"/>
      <c r="D76" s="26" t="s">
        <v>215</v>
      </c>
      <c r="E76" s="63"/>
      <c r="F76" s="63"/>
      <c r="G76" s="63"/>
      <c r="H76" s="63"/>
      <c r="I76" s="63"/>
      <c r="J76" s="63"/>
      <c r="K76" s="63"/>
      <c r="L76" s="63"/>
      <c r="M76" s="63"/>
      <c r="N76" s="63"/>
      <c r="O76" s="63"/>
      <c r="P76" s="63"/>
      <c r="Q76" s="142">
        <f t="shared" si="8"/>
        <v>0</v>
      </c>
      <c r="R76" s="142" t="e">
        <f t="shared" si="9"/>
        <v>#DIV/0!</v>
      </c>
      <c r="S76" s="157"/>
      <c r="T76" s="40">
        <f t="shared" si="5"/>
        <v>0</v>
      </c>
    </row>
    <row r="77" spans="1:20" s="84" customFormat="1" ht="24.95" hidden="1" customHeight="1">
      <c r="A77" s="3" t="s">
        <v>216</v>
      </c>
      <c r="B77" s="3" t="s">
        <v>388</v>
      </c>
      <c r="C77" s="3"/>
      <c r="D77" s="26" t="s">
        <v>217</v>
      </c>
      <c r="E77" s="63"/>
      <c r="F77" s="63"/>
      <c r="G77" s="63"/>
      <c r="H77" s="63"/>
      <c r="I77" s="63"/>
      <c r="J77" s="63"/>
      <c r="K77" s="63"/>
      <c r="L77" s="63"/>
      <c r="M77" s="63"/>
      <c r="N77" s="63"/>
      <c r="O77" s="63"/>
      <c r="P77" s="63"/>
      <c r="Q77" s="142">
        <f t="shared" si="8"/>
        <v>0</v>
      </c>
      <c r="R77" s="142" t="e">
        <f t="shared" si="9"/>
        <v>#DIV/0!</v>
      </c>
      <c r="S77" s="157"/>
      <c r="T77" s="40">
        <f t="shared" si="5"/>
        <v>0</v>
      </c>
    </row>
    <row r="78" spans="1:20" s="84" customFormat="1" ht="24.95" hidden="1" customHeight="1">
      <c r="A78" s="3" t="s">
        <v>218</v>
      </c>
      <c r="B78" s="3" t="s">
        <v>388</v>
      </c>
      <c r="C78" s="3"/>
      <c r="D78" s="26" t="s">
        <v>219</v>
      </c>
      <c r="E78" s="63"/>
      <c r="F78" s="63"/>
      <c r="G78" s="63"/>
      <c r="H78" s="63"/>
      <c r="I78" s="63"/>
      <c r="J78" s="63"/>
      <c r="K78" s="63"/>
      <c r="L78" s="63"/>
      <c r="M78" s="63"/>
      <c r="N78" s="63"/>
      <c r="O78" s="63"/>
      <c r="P78" s="63"/>
      <c r="Q78" s="142">
        <f t="shared" si="8"/>
        <v>0</v>
      </c>
      <c r="R78" s="142" t="e">
        <f t="shared" si="9"/>
        <v>#DIV/0!</v>
      </c>
      <c r="S78" s="157"/>
      <c r="T78" s="40">
        <f t="shared" si="5"/>
        <v>0</v>
      </c>
    </row>
    <row r="79" spans="1:20" s="84" customFormat="1" ht="24.95" hidden="1" customHeight="1">
      <c r="A79" s="3" t="s">
        <v>220</v>
      </c>
      <c r="B79" s="3" t="s">
        <v>388</v>
      </c>
      <c r="C79" s="3"/>
      <c r="D79" s="26" t="s">
        <v>221</v>
      </c>
      <c r="E79" s="63"/>
      <c r="F79" s="63"/>
      <c r="G79" s="63"/>
      <c r="H79" s="63"/>
      <c r="I79" s="63"/>
      <c r="J79" s="63"/>
      <c r="K79" s="63"/>
      <c r="L79" s="63"/>
      <c r="M79" s="63"/>
      <c r="N79" s="63"/>
      <c r="O79" s="63"/>
      <c r="P79" s="63"/>
      <c r="Q79" s="142">
        <f t="shared" si="8"/>
        <v>0</v>
      </c>
      <c r="R79" s="142" t="e">
        <f t="shared" si="9"/>
        <v>#DIV/0!</v>
      </c>
      <c r="S79" s="157"/>
      <c r="T79" s="40">
        <f t="shared" si="5"/>
        <v>0</v>
      </c>
    </row>
    <row r="80" spans="1:20" s="84" customFormat="1" ht="24.95" hidden="1" customHeight="1">
      <c r="A80" s="3" t="s">
        <v>222</v>
      </c>
      <c r="B80" s="3" t="s">
        <v>388</v>
      </c>
      <c r="C80" s="3"/>
      <c r="D80" s="26" t="s">
        <v>223</v>
      </c>
      <c r="E80" s="63"/>
      <c r="F80" s="63"/>
      <c r="G80" s="63"/>
      <c r="H80" s="63"/>
      <c r="I80" s="63"/>
      <c r="J80" s="63"/>
      <c r="K80" s="63"/>
      <c r="L80" s="63"/>
      <c r="M80" s="63"/>
      <c r="N80" s="63"/>
      <c r="O80" s="63"/>
      <c r="P80" s="63"/>
      <c r="Q80" s="142">
        <f t="shared" si="8"/>
        <v>0</v>
      </c>
      <c r="R80" s="142" t="e">
        <f t="shared" si="9"/>
        <v>#DIV/0!</v>
      </c>
      <c r="S80" s="157"/>
      <c r="T80" s="40">
        <f t="shared" si="5"/>
        <v>0</v>
      </c>
    </row>
    <row r="81" spans="1:20" s="84" customFormat="1" ht="24.95" customHeight="1">
      <c r="A81" s="3" t="s">
        <v>224</v>
      </c>
      <c r="B81" s="3" t="s">
        <v>388</v>
      </c>
      <c r="C81" s="3"/>
      <c r="D81" s="26" t="s">
        <v>225</v>
      </c>
      <c r="E81" s="63"/>
      <c r="F81" s="63"/>
      <c r="G81" s="63"/>
      <c r="H81" s="63"/>
      <c r="I81" s="63"/>
      <c r="J81" s="63"/>
      <c r="K81" s="63"/>
      <c r="L81" s="63"/>
      <c r="M81" s="63"/>
      <c r="N81" s="63"/>
      <c r="O81" s="63"/>
      <c r="P81" s="63"/>
      <c r="Q81" s="142">
        <f t="shared" si="8"/>
        <v>0</v>
      </c>
      <c r="R81" s="142" t="e">
        <f t="shared" si="9"/>
        <v>#DIV/0!</v>
      </c>
      <c r="S81" s="157"/>
      <c r="T81" s="40">
        <f t="shared" si="5"/>
        <v>0</v>
      </c>
    </row>
    <row r="82" spans="1:20" s="84" customFormat="1" ht="24.75" hidden="1" customHeight="1">
      <c r="A82" s="3" t="s">
        <v>226</v>
      </c>
      <c r="B82" s="3" t="s">
        <v>388</v>
      </c>
      <c r="C82" s="3"/>
      <c r="D82" s="26" t="s">
        <v>227</v>
      </c>
      <c r="E82" s="63"/>
      <c r="F82" s="63"/>
      <c r="G82" s="63"/>
      <c r="H82" s="63"/>
      <c r="I82" s="63"/>
      <c r="J82" s="63"/>
      <c r="K82" s="63"/>
      <c r="L82" s="63"/>
      <c r="M82" s="63"/>
      <c r="N82" s="63"/>
      <c r="O82" s="63"/>
      <c r="P82" s="63"/>
      <c r="Q82" s="142">
        <f t="shared" si="8"/>
        <v>0</v>
      </c>
      <c r="R82" s="142" t="e">
        <f t="shared" si="9"/>
        <v>#DIV/0!</v>
      </c>
      <c r="S82" s="157"/>
      <c r="T82" s="40">
        <f t="shared" si="5"/>
        <v>0</v>
      </c>
    </row>
    <row r="83" spans="1:20" s="84" customFormat="1" ht="24.95" hidden="1" customHeight="1">
      <c r="A83" s="3" t="s">
        <v>228</v>
      </c>
      <c r="B83" s="3" t="s">
        <v>388</v>
      </c>
      <c r="C83" s="3"/>
      <c r="D83" s="26" t="s">
        <v>229</v>
      </c>
      <c r="E83" s="63"/>
      <c r="F83" s="63"/>
      <c r="G83" s="63"/>
      <c r="H83" s="63"/>
      <c r="I83" s="63"/>
      <c r="J83" s="63"/>
      <c r="K83" s="63"/>
      <c r="L83" s="63"/>
      <c r="M83" s="63"/>
      <c r="N83" s="63"/>
      <c r="O83" s="63"/>
      <c r="P83" s="63"/>
      <c r="Q83" s="142">
        <f t="shared" si="8"/>
        <v>0</v>
      </c>
      <c r="R83" s="142" t="e">
        <f t="shared" si="9"/>
        <v>#DIV/0!</v>
      </c>
      <c r="S83" s="157"/>
      <c r="T83" s="40">
        <f t="shared" si="5"/>
        <v>0</v>
      </c>
    </row>
    <row r="84" spans="1:20" s="84" customFormat="1" ht="24.95" hidden="1" customHeight="1">
      <c r="A84" s="3" t="s">
        <v>230</v>
      </c>
      <c r="B84" s="3" t="s">
        <v>388</v>
      </c>
      <c r="C84" s="3"/>
      <c r="D84" s="26" t="s">
        <v>231</v>
      </c>
      <c r="E84" s="63"/>
      <c r="F84" s="63"/>
      <c r="G84" s="63"/>
      <c r="H84" s="63"/>
      <c r="I84" s="63"/>
      <c r="J84" s="63"/>
      <c r="K84" s="63"/>
      <c r="L84" s="63"/>
      <c r="M84" s="63"/>
      <c r="N84" s="63"/>
      <c r="O84" s="63"/>
      <c r="P84" s="63"/>
      <c r="Q84" s="142">
        <f t="shared" si="8"/>
        <v>0</v>
      </c>
      <c r="R84" s="142" t="e">
        <f t="shared" si="9"/>
        <v>#DIV/0!</v>
      </c>
      <c r="S84" s="157"/>
      <c r="T84" s="40">
        <f t="shared" si="5"/>
        <v>0</v>
      </c>
    </row>
    <row r="85" spans="1:20" s="84" customFormat="1" ht="24.95" hidden="1" customHeight="1">
      <c r="A85" s="3" t="s">
        <v>232</v>
      </c>
      <c r="B85" s="3" t="s">
        <v>388</v>
      </c>
      <c r="C85" s="3"/>
      <c r="D85" s="26" t="s">
        <v>233</v>
      </c>
      <c r="E85" s="63"/>
      <c r="F85" s="63"/>
      <c r="G85" s="63"/>
      <c r="H85" s="63"/>
      <c r="I85" s="63"/>
      <c r="J85" s="63"/>
      <c r="K85" s="63"/>
      <c r="L85" s="63"/>
      <c r="M85" s="63"/>
      <c r="N85" s="63"/>
      <c r="O85" s="63"/>
      <c r="P85" s="63"/>
      <c r="Q85" s="142">
        <f t="shared" si="8"/>
        <v>0</v>
      </c>
      <c r="R85" s="142" t="e">
        <f t="shared" si="9"/>
        <v>#DIV/0!</v>
      </c>
      <c r="S85" s="157"/>
      <c r="T85" s="40">
        <f t="shared" si="5"/>
        <v>0</v>
      </c>
    </row>
    <row r="86" spans="1:20" s="84" customFormat="1" ht="24.95" hidden="1" customHeight="1">
      <c r="A86" s="3" t="s">
        <v>434</v>
      </c>
      <c r="B86" s="3" t="s">
        <v>388</v>
      </c>
      <c r="C86" s="3"/>
      <c r="D86" s="26" t="s">
        <v>435</v>
      </c>
      <c r="E86" s="63"/>
      <c r="F86" s="63"/>
      <c r="G86" s="63"/>
      <c r="H86" s="63"/>
      <c r="I86" s="63"/>
      <c r="J86" s="63"/>
      <c r="K86" s="63"/>
      <c r="L86" s="63"/>
      <c r="M86" s="63"/>
      <c r="N86" s="63"/>
      <c r="O86" s="63"/>
      <c r="P86" s="63"/>
      <c r="Q86" s="142">
        <f t="shared" si="8"/>
        <v>0</v>
      </c>
      <c r="R86" s="142" t="e">
        <f t="shared" si="9"/>
        <v>#DIV/0!</v>
      </c>
      <c r="S86" s="157"/>
      <c r="T86" s="40">
        <f t="shared" si="5"/>
        <v>0</v>
      </c>
    </row>
    <row r="87" spans="1:20" s="84" customFormat="1" ht="24.95" hidden="1" customHeight="1">
      <c r="A87" s="3" t="s">
        <v>234</v>
      </c>
      <c r="B87" s="3" t="s">
        <v>388</v>
      </c>
      <c r="C87" s="3"/>
      <c r="D87" s="26" t="s">
        <v>235</v>
      </c>
      <c r="E87" s="63"/>
      <c r="F87" s="63"/>
      <c r="G87" s="63"/>
      <c r="H87" s="63"/>
      <c r="I87" s="63"/>
      <c r="J87" s="63"/>
      <c r="K87" s="63"/>
      <c r="L87" s="63"/>
      <c r="M87" s="63"/>
      <c r="N87" s="63"/>
      <c r="O87" s="63"/>
      <c r="P87" s="63"/>
      <c r="Q87" s="142">
        <f t="shared" si="8"/>
        <v>0</v>
      </c>
      <c r="R87" s="142" t="e">
        <f t="shared" si="9"/>
        <v>#DIV/0!</v>
      </c>
      <c r="S87" s="157"/>
      <c r="T87" s="40">
        <f t="shared" si="5"/>
        <v>0</v>
      </c>
    </row>
    <row r="88" spans="1:20" s="84" customFormat="1" ht="24.95" hidden="1" customHeight="1">
      <c r="A88" s="3" t="s">
        <v>236</v>
      </c>
      <c r="B88" s="3" t="s">
        <v>388</v>
      </c>
      <c r="C88" s="3"/>
      <c r="D88" s="26" t="s">
        <v>237</v>
      </c>
      <c r="E88" s="63"/>
      <c r="F88" s="63"/>
      <c r="G88" s="63"/>
      <c r="H88" s="63"/>
      <c r="I88" s="63"/>
      <c r="J88" s="63"/>
      <c r="K88" s="63"/>
      <c r="L88" s="63"/>
      <c r="M88" s="63"/>
      <c r="N88" s="63"/>
      <c r="O88" s="63"/>
      <c r="P88" s="63"/>
      <c r="Q88" s="142">
        <f t="shared" si="8"/>
        <v>0</v>
      </c>
      <c r="R88" s="142" t="e">
        <f t="shared" si="9"/>
        <v>#DIV/0!</v>
      </c>
      <c r="S88" s="157"/>
      <c r="T88" s="40">
        <f t="shared" si="5"/>
        <v>0</v>
      </c>
    </row>
    <row r="89" spans="1:20" s="84" customFormat="1" ht="24.95" hidden="1" customHeight="1">
      <c r="A89" s="3" t="s">
        <v>238</v>
      </c>
      <c r="B89" s="3" t="s">
        <v>388</v>
      </c>
      <c r="C89" s="3"/>
      <c r="D89" s="26" t="s">
        <v>239</v>
      </c>
      <c r="E89" s="63"/>
      <c r="F89" s="63"/>
      <c r="G89" s="63"/>
      <c r="H89" s="63"/>
      <c r="I89" s="63"/>
      <c r="J89" s="63"/>
      <c r="K89" s="63"/>
      <c r="L89" s="63"/>
      <c r="M89" s="63"/>
      <c r="N89" s="63"/>
      <c r="O89" s="63"/>
      <c r="P89" s="63"/>
      <c r="Q89" s="142">
        <f t="shared" si="8"/>
        <v>0</v>
      </c>
      <c r="R89" s="142" t="e">
        <f t="shared" si="9"/>
        <v>#DIV/0!</v>
      </c>
      <c r="S89" s="157"/>
      <c r="T89" s="40">
        <f t="shared" si="5"/>
        <v>0</v>
      </c>
    </row>
    <row r="90" spans="1:20" s="84" customFormat="1" ht="24.95" hidden="1" customHeight="1">
      <c r="A90" s="3" t="s">
        <v>240</v>
      </c>
      <c r="B90" s="3" t="s">
        <v>388</v>
      </c>
      <c r="C90" s="3"/>
      <c r="D90" s="26" t="s">
        <v>241</v>
      </c>
      <c r="E90" s="63"/>
      <c r="F90" s="63"/>
      <c r="G90" s="63"/>
      <c r="H90" s="63"/>
      <c r="I90" s="63"/>
      <c r="J90" s="63"/>
      <c r="K90" s="63"/>
      <c r="L90" s="63"/>
      <c r="M90" s="63"/>
      <c r="N90" s="63"/>
      <c r="O90" s="63"/>
      <c r="P90" s="63"/>
      <c r="Q90" s="142">
        <f t="shared" si="8"/>
        <v>0</v>
      </c>
      <c r="R90" s="142" t="e">
        <f t="shared" si="9"/>
        <v>#DIV/0!</v>
      </c>
      <c r="S90" s="157"/>
      <c r="T90" s="40">
        <f t="shared" si="5"/>
        <v>0</v>
      </c>
    </row>
    <row r="91" spans="1:20" s="84" customFormat="1" ht="24.95" hidden="1" customHeight="1">
      <c r="A91" s="3" t="s">
        <v>242</v>
      </c>
      <c r="B91" s="3" t="s">
        <v>388</v>
      </c>
      <c r="C91" s="3"/>
      <c r="D91" s="26" t="s">
        <v>243</v>
      </c>
      <c r="E91" s="63"/>
      <c r="F91" s="63"/>
      <c r="G91" s="63"/>
      <c r="H91" s="63"/>
      <c r="I91" s="63"/>
      <c r="J91" s="63"/>
      <c r="K91" s="63"/>
      <c r="L91" s="63"/>
      <c r="M91" s="63"/>
      <c r="N91" s="63"/>
      <c r="O91" s="63"/>
      <c r="P91" s="63"/>
      <c r="Q91" s="142">
        <f t="shared" si="8"/>
        <v>0</v>
      </c>
      <c r="R91" s="142" t="e">
        <f t="shared" si="9"/>
        <v>#DIV/0!</v>
      </c>
      <c r="S91" s="157"/>
      <c r="T91" s="40">
        <f t="shared" si="5"/>
        <v>0</v>
      </c>
    </row>
    <row r="92" spans="1:20" s="84" customFormat="1" ht="24.95" hidden="1" customHeight="1">
      <c r="A92" s="3" t="s">
        <v>244</v>
      </c>
      <c r="B92" s="3" t="s">
        <v>388</v>
      </c>
      <c r="C92" s="3"/>
      <c r="D92" s="26" t="s">
        <v>245</v>
      </c>
      <c r="E92" s="63"/>
      <c r="F92" s="63"/>
      <c r="G92" s="63"/>
      <c r="H92" s="63"/>
      <c r="I92" s="63"/>
      <c r="J92" s="63"/>
      <c r="K92" s="63"/>
      <c r="L92" s="63"/>
      <c r="M92" s="63"/>
      <c r="N92" s="63"/>
      <c r="O92" s="63"/>
      <c r="P92" s="63"/>
      <c r="Q92" s="142">
        <f t="shared" si="8"/>
        <v>0</v>
      </c>
      <c r="R92" s="142" t="e">
        <f t="shared" si="9"/>
        <v>#DIV/0!</v>
      </c>
      <c r="S92" s="157"/>
      <c r="T92" s="40">
        <f t="shared" si="5"/>
        <v>0</v>
      </c>
    </row>
    <row r="93" spans="1:20" s="84" customFormat="1" ht="24.95" hidden="1" customHeight="1">
      <c r="A93" s="3" t="s">
        <v>246</v>
      </c>
      <c r="B93" s="3" t="s">
        <v>388</v>
      </c>
      <c r="C93" s="3"/>
      <c r="D93" s="26" t="s">
        <v>247</v>
      </c>
      <c r="E93" s="63"/>
      <c r="F93" s="63"/>
      <c r="G93" s="63"/>
      <c r="H93" s="63"/>
      <c r="I93" s="63"/>
      <c r="J93" s="63"/>
      <c r="K93" s="63"/>
      <c r="L93" s="63"/>
      <c r="M93" s="63"/>
      <c r="N93" s="63"/>
      <c r="O93" s="63"/>
      <c r="P93" s="63"/>
      <c r="Q93" s="142">
        <f t="shared" si="8"/>
        <v>0</v>
      </c>
      <c r="R93" s="142" t="e">
        <f t="shared" si="9"/>
        <v>#DIV/0!</v>
      </c>
      <c r="S93" s="157"/>
      <c r="T93" s="40">
        <f t="shared" si="5"/>
        <v>0</v>
      </c>
    </row>
    <row r="94" spans="1:20" s="84" customFormat="1" ht="24.95" customHeight="1">
      <c r="A94" s="3" t="s">
        <v>248</v>
      </c>
      <c r="B94" s="3" t="s">
        <v>388</v>
      </c>
      <c r="C94" s="3"/>
      <c r="D94" s="26" t="s">
        <v>249</v>
      </c>
      <c r="E94" s="63"/>
      <c r="F94" s="63"/>
      <c r="G94" s="63"/>
      <c r="H94" s="63"/>
      <c r="I94" s="63"/>
      <c r="J94" s="63"/>
      <c r="K94" s="63"/>
      <c r="L94" s="63"/>
      <c r="M94" s="63"/>
      <c r="N94" s="63"/>
      <c r="O94" s="63"/>
      <c r="P94" s="63"/>
      <c r="Q94" s="142">
        <f t="shared" si="8"/>
        <v>0</v>
      </c>
      <c r="R94" s="142" t="e">
        <f t="shared" si="9"/>
        <v>#DIV/0!</v>
      </c>
      <c r="S94" s="157"/>
      <c r="T94" s="40">
        <f t="shared" si="5"/>
        <v>0</v>
      </c>
    </row>
    <row r="95" spans="1:20" s="84" customFormat="1" ht="24.95" customHeight="1">
      <c r="A95" s="3" t="s">
        <v>250</v>
      </c>
      <c r="B95" s="3" t="s">
        <v>388</v>
      </c>
      <c r="C95" s="3"/>
      <c r="D95" s="26" t="s">
        <v>251</v>
      </c>
      <c r="E95" s="27">
        <f>+Laundry!E251+Laundry!E263</f>
        <v>0</v>
      </c>
      <c r="F95" s="27">
        <f>+Laundry!F251+Laundry!F263</f>
        <v>0</v>
      </c>
      <c r="G95" s="27">
        <f>+Laundry!G251+Laundry!G263</f>
        <v>0</v>
      </c>
      <c r="H95" s="27">
        <f>+Laundry!H251+Laundry!H263</f>
        <v>0</v>
      </c>
      <c r="I95" s="27">
        <f>+Laundry!I251+Laundry!I263</f>
        <v>0</v>
      </c>
      <c r="J95" s="27">
        <f>+Laundry!J251+Laundry!J263</f>
        <v>0</v>
      </c>
      <c r="K95" s="27">
        <f>+Laundry!K251+Laundry!K263</f>
        <v>0</v>
      </c>
      <c r="L95" s="27">
        <f>+Laundry!L251+Laundry!L263</f>
        <v>0</v>
      </c>
      <c r="M95" s="27">
        <f>+Laundry!M251+Laundry!M263</f>
        <v>0</v>
      </c>
      <c r="N95" s="27">
        <f>+Laundry!N251+Laundry!N263</f>
        <v>0</v>
      </c>
      <c r="O95" s="27">
        <f>+Laundry!O251+Laundry!O263</f>
        <v>0</v>
      </c>
      <c r="P95" s="27">
        <f>+Laundry!P251+Laundry!P263</f>
        <v>0</v>
      </c>
      <c r="Q95" s="142">
        <f t="shared" si="8"/>
        <v>0</v>
      </c>
      <c r="R95" s="142" t="e">
        <f t="shared" si="9"/>
        <v>#DIV/0!</v>
      </c>
      <c r="S95" s="157"/>
      <c r="T95" s="40">
        <f t="shared" si="5"/>
        <v>0</v>
      </c>
    </row>
    <row r="96" spans="1:20" s="84" customFormat="1" ht="24.95" customHeight="1">
      <c r="A96" s="3" t="s">
        <v>252</v>
      </c>
      <c r="B96" s="3" t="s">
        <v>388</v>
      </c>
      <c r="C96" s="3"/>
      <c r="D96" s="26" t="s">
        <v>253</v>
      </c>
      <c r="E96" s="63">
        <v>0</v>
      </c>
      <c r="F96" s="63">
        <v>0</v>
      </c>
      <c r="G96" s="63">
        <v>0</v>
      </c>
      <c r="H96" s="63">
        <v>0</v>
      </c>
      <c r="I96" s="63">
        <v>0</v>
      </c>
      <c r="J96" s="63">
        <v>0</v>
      </c>
      <c r="K96" s="63">
        <v>0</v>
      </c>
      <c r="L96" s="63">
        <v>0</v>
      </c>
      <c r="M96" s="63">
        <v>0</v>
      </c>
      <c r="N96" s="63">
        <v>0</v>
      </c>
      <c r="O96" s="63">
        <v>0</v>
      </c>
      <c r="P96" s="63">
        <v>0</v>
      </c>
      <c r="Q96" s="142">
        <f t="shared" si="8"/>
        <v>0</v>
      </c>
      <c r="R96" s="142" t="e">
        <f t="shared" si="9"/>
        <v>#DIV/0!</v>
      </c>
      <c r="S96" s="157"/>
      <c r="T96" s="40">
        <f t="shared" ref="T96:T108" si="11">-IF(Q96-S96=0,0,(Q96-S96)/S96)</f>
        <v>0</v>
      </c>
    </row>
    <row r="97" spans="1:20" s="84" customFormat="1" ht="24.95" hidden="1" customHeight="1">
      <c r="A97" s="3" t="s">
        <v>254</v>
      </c>
      <c r="B97" s="3" t="s">
        <v>388</v>
      </c>
      <c r="C97" s="3"/>
      <c r="D97" s="26" t="s">
        <v>255</v>
      </c>
      <c r="E97" s="63">
        <v>0</v>
      </c>
      <c r="F97" s="63">
        <v>0</v>
      </c>
      <c r="G97" s="63">
        <v>0</v>
      </c>
      <c r="H97" s="63">
        <v>0</v>
      </c>
      <c r="I97" s="63">
        <v>0</v>
      </c>
      <c r="J97" s="63">
        <v>0</v>
      </c>
      <c r="K97" s="63">
        <v>0</v>
      </c>
      <c r="L97" s="63">
        <v>0</v>
      </c>
      <c r="M97" s="63">
        <v>0</v>
      </c>
      <c r="N97" s="63">
        <v>0</v>
      </c>
      <c r="O97" s="63">
        <v>0</v>
      </c>
      <c r="P97" s="63">
        <v>0</v>
      </c>
      <c r="Q97" s="142">
        <f t="shared" si="8"/>
        <v>0</v>
      </c>
      <c r="R97" s="142" t="e">
        <f t="shared" si="9"/>
        <v>#DIV/0!</v>
      </c>
      <c r="S97" s="157"/>
      <c r="T97" s="40"/>
    </row>
    <row r="98" spans="1:20" s="84" customFormat="1" ht="24.95" hidden="1" customHeight="1">
      <c r="A98" s="3" t="s">
        <v>256</v>
      </c>
      <c r="B98" s="3" t="s">
        <v>388</v>
      </c>
      <c r="C98" s="3"/>
      <c r="D98" s="26" t="s">
        <v>257</v>
      </c>
      <c r="E98" s="63">
        <v>0</v>
      </c>
      <c r="F98" s="63">
        <v>0</v>
      </c>
      <c r="G98" s="63">
        <v>0</v>
      </c>
      <c r="H98" s="63">
        <v>0</v>
      </c>
      <c r="I98" s="63">
        <v>0</v>
      </c>
      <c r="J98" s="63">
        <v>0</v>
      </c>
      <c r="K98" s="63">
        <v>0</v>
      </c>
      <c r="L98" s="63">
        <v>0</v>
      </c>
      <c r="M98" s="63">
        <v>0</v>
      </c>
      <c r="N98" s="63">
        <v>0</v>
      </c>
      <c r="O98" s="63">
        <v>0</v>
      </c>
      <c r="P98" s="63">
        <v>0</v>
      </c>
      <c r="Q98" s="142">
        <f t="shared" si="8"/>
        <v>0</v>
      </c>
      <c r="R98" s="142" t="e">
        <f t="shared" si="9"/>
        <v>#DIV/0!</v>
      </c>
      <c r="S98" s="157"/>
      <c r="T98" s="40"/>
    </row>
    <row r="99" spans="1:20" s="84" customFormat="1" ht="24.95" customHeight="1">
      <c r="A99" s="3" t="s">
        <v>258</v>
      </c>
      <c r="B99" s="3" t="s">
        <v>388</v>
      </c>
      <c r="C99" s="3"/>
      <c r="D99" s="26" t="s">
        <v>259</v>
      </c>
      <c r="E99" s="63">
        <v>0</v>
      </c>
      <c r="F99" s="63">
        <v>0</v>
      </c>
      <c r="G99" s="63">
        <v>0</v>
      </c>
      <c r="H99" s="63">
        <v>0</v>
      </c>
      <c r="I99" s="63">
        <v>0</v>
      </c>
      <c r="J99" s="63">
        <v>0</v>
      </c>
      <c r="K99" s="63">
        <v>0</v>
      </c>
      <c r="L99" s="63">
        <v>0</v>
      </c>
      <c r="M99" s="63">
        <v>0</v>
      </c>
      <c r="N99" s="63">
        <v>0</v>
      </c>
      <c r="O99" s="63">
        <v>0</v>
      </c>
      <c r="P99" s="63">
        <v>0</v>
      </c>
      <c r="Q99" s="142">
        <f t="shared" si="8"/>
        <v>0</v>
      </c>
      <c r="R99" s="142" t="e">
        <f t="shared" si="9"/>
        <v>#DIV/0!</v>
      </c>
      <c r="S99" s="157"/>
      <c r="T99" s="40"/>
    </row>
    <row r="100" spans="1:20" s="84" customFormat="1" ht="24.95" hidden="1" customHeight="1">
      <c r="A100" s="3" t="s">
        <v>260</v>
      </c>
      <c r="B100" s="3" t="s">
        <v>388</v>
      </c>
      <c r="C100" s="3"/>
      <c r="D100" s="26" t="s">
        <v>261</v>
      </c>
      <c r="E100" s="63">
        <v>0</v>
      </c>
      <c r="F100" s="63">
        <v>0</v>
      </c>
      <c r="G100" s="63">
        <v>0</v>
      </c>
      <c r="H100" s="63">
        <v>0</v>
      </c>
      <c r="I100" s="63">
        <v>0</v>
      </c>
      <c r="J100" s="63">
        <v>0</v>
      </c>
      <c r="K100" s="63">
        <v>0</v>
      </c>
      <c r="L100" s="63">
        <v>0</v>
      </c>
      <c r="M100" s="63">
        <v>0</v>
      </c>
      <c r="N100" s="63">
        <v>0</v>
      </c>
      <c r="O100" s="63">
        <v>0</v>
      </c>
      <c r="P100" s="63">
        <v>0</v>
      </c>
      <c r="Q100" s="142">
        <f t="shared" si="8"/>
        <v>0</v>
      </c>
      <c r="R100" s="142" t="e">
        <f t="shared" si="9"/>
        <v>#DIV/0!</v>
      </c>
      <c r="S100" s="157"/>
      <c r="T100" s="40"/>
    </row>
    <row r="101" spans="1:20" s="84" customFormat="1" ht="24.95" hidden="1" customHeight="1">
      <c r="A101" s="3" t="s">
        <v>262</v>
      </c>
      <c r="B101" s="3" t="s">
        <v>388</v>
      </c>
      <c r="C101" s="3"/>
      <c r="D101" s="26" t="s">
        <v>263</v>
      </c>
      <c r="E101" s="63">
        <v>0</v>
      </c>
      <c r="F101" s="63">
        <v>0</v>
      </c>
      <c r="G101" s="63">
        <v>0</v>
      </c>
      <c r="H101" s="63">
        <v>0</v>
      </c>
      <c r="I101" s="63">
        <v>0</v>
      </c>
      <c r="J101" s="63">
        <v>0</v>
      </c>
      <c r="K101" s="63">
        <v>0</v>
      </c>
      <c r="L101" s="63">
        <v>0</v>
      </c>
      <c r="M101" s="63">
        <v>0</v>
      </c>
      <c r="N101" s="63">
        <v>0</v>
      </c>
      <c r="O101" s="63">
        <v>0</v>
      </c>
      <c r="P101" s="63">
        <v>0</v>
      </c>
      <c r="Q101" s="142">
        <f t="shared" si="8"/>
        <v>0</v>
      </c>
      <c r="R101" s="142" t="e">
        <f t="shared" si="9"/>
        <v>#DIV/0!</v>
      </c>
      <c r="S101" s="157"/>
      <c r="T101" s="40"/>
    </row>
    <row r="102" spans="1:20" s="84" customFormat="1" ht="24.95" hidden="1" customHeight="1">
      <c r="A102" s="3" t="s">
        <v>264</v>
      </c>
      <c r="B102" s="3" t="s">
        <v>388</v>
      </c>
      <c r="C102" s="3"/>
      <c r="D102" s="26" t="s">
        <v>265</v>
      </c>
      <c r="E102" s="63">
        <v>0</v>
      </c>
      <c r="F102" s="63">
        <v>0</v>
      </c>
      <c r="G102" s="63">
        <v>0</v>
      </c>
      <c r="H102" s="63">
        <v>0</v>
      </c>
      <c r="I102" s="63">
        <v>0</v>
      </c>
      <c r="J102" s="63">
        <v>0</v>
      </c>
      <c r="K102" s="63">
        <v>0</v>
      </c>
      <c r="L102" s="63">
        <v>0</v>
      </c>
      <c r="M102" s="63">
        <v>0</v>
      </c>
      <c r="N102" s="63">
        <v>0</v>
      </c>
      <c r="O102" s="63">
        <v>0</v>
      </c>
      <c r="P102" s="63">
        <v>0</v>
      </c>
      <c r="Q102" s="142">
        <f t="shared" si="8"/>
        <v>0</v>
      </c>
      <c r="R102" s="142" t="e">
        <f t="shared" si="9"/>
        <v>#DIV/0!</v>
      </c>
      <c r="S102" s="157"/>
      <c r="T102" s="40"/>
    </row>
    <row r="103" spans="1:20" s="84" customFormat="1" ht="24.95" hidden="1" customHeight="1">
      <c r="A103" s="3" t="s">
        <v>266</v>
      </c>
      <c r="B103" s="3" t="s">
        <v>388</v>
      </c>
      <c r="C103" s="3"/>
      <c r="D103" s="26" t="s">
        <v>267</v>
      </c>
      <c r="E103" s="63">
        <v>0</v>
      </c>
      <c r="F103" s="63">
        <v>0</v>
      </c>
      <c r="G103" s="63">
        <v>0</v>
      </c>
      <c r="H103" s="63">
        <v>0</v>
      </c>
      <c r="I103" s="63">
        <v>0</v>
      </c>
      <c r="J103" s="63">
        <v>0</v>
      </c>
      <c r="K103" s="63">
        <v>0</v>
      </c>
      <c r="L103" s="63">
        <v>0</v>
      </c>
      <c r="M103" s="63">
        <v>0</v>
      </c>
      <c r="N103" s="63">
        <v>0</v>
      </c>
      <c r="O103" s="63">
        <v>0</v>
      </c>
      <c r="P103" s="63">
        <v>0</v>
      </c>
      <c r="Q103" s="142">
        <f t="shared" si="8"/>
        <v>0</v>
      </c>
      <c r="R103" s="142" t="e">
        <f t="shared" si="9"/>
        <v>#DIV/0!</v>
      </c>
      <c r="S103" s="157"/>
      <c r="T103" s="40"/>
    </row>
    <row r="104" spans="1:20" s="84" customFormat="1" ht="24.95" hidden="1" customHeight="1">
      <c r="A104" s="3" t="s">
        <v>268</v>
      </c>
      <c r="B104" s="3" t="s">
        <v>388</v>
      </c>
      <c r="C104" s="3"/>
      <c r="D104" s="26" t="s">
        <v>269</v>
      </c>
      <c r="E104" s="63">
        <v>0</v>
      </c>
      <c r="F104" s="63">
        <v>0</v>
      </c>
      <c r="G104" s="63">
        <v>0</v>
      </c>
      <c r="H104" s="63">
        <v>0</v>
      </c>
      <c r="I104" s="63">
        <v>0</v>
      </c>
      <c r="J104" s="63">
        <v>0</v>
      </c>
      <c r="K104" s="63">
        <v>0</v>
      </c>
      <c r="L104" s="63">
        <v>0</v>
      </c>
      <c r="M104" s="63">
        <v>0</v>
      </c>
      <c r="N104" s="63">
        <v>0</v>
      </c>
      <c r="O104" s="63">
        <v>0</v>
      </c>
      <c r="P104" s="63">
        <v>0</v>
      </c>
      <c r="Q104" s="142">
        <f>SUM(E104:P104)</f>
        <v>0</v>
      </c>
      <c r="R104" s="142" t="e">
        <f>Q104/$Q$117</f>
        <v>#DIV/0!</v>
      </c>
      <c r="S104" s="157"/>
      <c r="T104" s="40"/>
    </row>
    <row r="105" spans="1:20" s="84" customFormat="1" ht="24.95" hidden="1" customHeight="1">
      <c r="A105" s="3" t="s">
        <v>270</v>
      </c>
      <c r="B105" s="3" t="s">
        <v>388</v>
      </c>
      <c r="C105" s="3"/>
      <c r="D105" s="26" t="s">
        <v>271</v>
      </c>
      <c r="E105" s="63">
        <v>0</v>
      </c>
      <c r="F105" s="63">
        <v>0</v>
      </c>
      <c r="G105" s="63">
        <v>0</v>
      </c>
      <c r="H105" s="63">
        <v>0</v>
      </c>
      <c r="I105" s="63">
        <v>0</v>
      </c>
      <c r="J105" s="63">
        <v>0</v>
      </c>
      <c r="K105" s="63">
        <v>0</v>
      </c>
      <c r="L105" s="63">
        <v>0</v>
      </c>
      <c r="M105" s="63">
        <v>0</v>
      </c>
      <c r="N105" s="63">
        <v>0</v>
      </c>
      <c r="O105" s="63">
        <v>0</v>
      </c>
      <c r="P105" s="63">
        <v>0</v>
      </c>
      <c r="Q105" s="142">
        <f>SUM(E105:P105)</f>
        <v>0</v>
      </c>
      <c r="R105" s="142" t="e">
        <f>Q105/$Q$117</f>
        <v>#DIV/0!</v>
      </c>
      <c r="S105" s="157"/>
      <c r="T105" s="40"/>
    </row>
    <row r="106" spans="1:20" s="84" customFormat="1" ht="24.95" customHeight="1">
      <c r="A106" s="3" t="s">
        <v>272</v>
      </c>
      <c r="B106" s="3" t="s">
        <v>388</v>
      </c>
      <c r="C106" s="3"/>
      <c r="D106" s="26" t="s">
        <v>273</v>
      </c>
      <c r="E106" s="63"/>
      <c r="F106" s="63"/>
      <c r="G106" s="63"/>
      <c r="H106" s="63"/>
      <c r="I106" s="63"/>
      <c r="J106" s="63"/>
      <c r="K106" s="63"/>
      <c r="L106" s="63"/>
      <c r="M106" s="63"/>
      <c r="N106" s="63"/>
      <c r="O106" s="63"/>
      <c r="P106" s="63"/>
      <c r="Q106" s="142">
        <f>SUM(E106:P106)</f>
        <v>0</v>
      </c>
      <c r="R106" s="142" t="e">
        <f>Q106/$Q$117</f>
        <v>#DIV/0!</v>
      </c>
      <c r="S106" s="157"/>
      <c r="T106" s="40"/>
    </row>
    <row r="107" spans="1:20" s="84" customFormat="1" ht="24.95" customHeight="1">
      <c r="A107" s="3"/>
      <c r="B107" s="3"/>
      <c r="C107" s="3"/>
      <c r="D107" s="26" t="s">
        <v>469</v>
      </c>
      <c r="E107" s="27">
        <f>-'F&amp;B Admin'!E$86/'F&amp;B Summary'!E$50*E$28-'Main Kitchen'!E$86/'F&amp;B Summary'!E$53*E$31-STW!E$86/('F&amp;B Summary'!E$148-'MP Cafe'!E$117)*E$117</f>
        <v>0</v>
      </c>
      <c r="F107" s="27">
        <f>-'F&amp;B Admin'!F$86/'F&amp;B Summary'!F$50*F$28-'Main Kitchen'!F$86/'F&amp;B Summary'!F$53*F$31-STW!F$86/('F&amp;B Summary'!F$148-'MP Cafe'!F$117)*F$117</f>
        <v>0</v>
      </c>
      <c r="G107" s="27">
        <f>-'F&amp;B Admin'!G$86/'F&amp;B Summary'!G$50*G$28-'Main Kitchen'!G$86/'F&amp;B Summary'!G$53*G$31-STW!G$86/('F&amp;B Summary'!G$148-'MP Cafe'!G$117)*G$117</f>
        <v>0</v>
      </c>
      <c r="H107" s="27">
        <f>-'F&amp;B Admin'!H$86/'F&amp;B Summary'!H$50*H$28-'Main Kitchen'!H$86/'F&amp;B Summary'!H$53*H$31-STW!H$86/('F&amp;B Summary'!H$148-'MP Cafe'!H$117)*H$117</f>
        <v>0</v>
      </c>
      <c r="I107" s="27">
        <f>-'F&amp;B Admin'!I$86/'F&amp;B Summary'!I$50*I$28-'Main Kitchen'!I$86/'F&amp;B Summary'!I$53*I$31-STW!I$86/('F&amp;B Summary'!I$148-'MP Cafe'!I$117)*I$117</f>
        <v>0</v>
      </c>
      <c r="J107" s="27">
        <f>-'F&amp;B Admin'!J$86/'F&amp;B Summary'!J$50*J$28-'Main Kitchen'!J$86/'F&amp;B Summary'!J$53*J$31-STW!J$86/('F&amp;B Summary'!J$148-'MP Cafe'!J$117)*J$117</f>
        <v>0</v>
      </c>
      <c r="K107" s="27">
        <f>-'F&amp;B Admin'!K$86/'F&amp;B Summary'!K$50*K$28-'Main Kitchen'!K$86/'F&amp;B Summary'!K$53*K$31-STW!K$86/('F&amp;B Summary'!K$148-'MP Cafe'!K$117)*K$117</f>
        <v>0</v>
      </c>
      <c r="L107" s="27">
        <f>-'F&amp;B Admin'!L$86/'F&amp;B Summary'!L$50*L$28-'Main Kitchen'!L$86/'F&amp;B Summary'!L$53*L$31-STW!L$86/('F&amp;B Summary'!L$148-'MP Cafe'!L$117)*L$117</f>
        <v>0</v>
      </c>
      <c r="M107" s="27">
        <f>-'F&amp;B Admin'!M$86/'F&amp;B Summary'!M$50*M$28-'Main Kitchen'!M$86/'F&amp;B Summary'!M$53*M$31-STW!M$86/('F&amp;B Summary'!M$148-'MP Cafe'!M$117)*M$117</f>
        <v>0</v>
      </c>
      <c r="N107" s="27">
        <f>-'F&amp;B Admin'!N$86/'F&amp;B Summary'!N$50*N$28-'Main Kitchen'!N$86/'F&amp;B Summary'!N$53*N$31-STW!N$86/('F&amp;B Summary'!N$148-'MP Cafe'!N$117)*N$117</f>
        <v>0</v>
      </c>
      <c r="O107" s="27">
        <f>-'F&amp;B Admin'!O$86/'F&amp;B Summary'!O$50*O$28-'Main Kitchen'!O$86/'F&amp;B Summary'!O$53*O$31-STW!O$86/('F&amp;B Summary'!O$148-'MP Cafe'!O$117)*O$117</f>
        <v>0</v>
      </c>
      <c r="P107" s="27">
        <f>-'F&amp;B Admin'!P$86/'F&amp;B Summary'!P$50*P$28-'Main Kitchen'!P$86/'F&amp;B Summary'!P$53*P$31-STW!P$86/('F&amp;B Summary'!P$148-'MP Cafe'!P$117)*P$117</f>
        <v>0</v>
      </c>
      <c r="Q107" s="162">
        <f>SUM(E107:P107)</f>
        <v>0</v>
      </c>
      <c r="R107" s="142" t="e">
        <f>Q107/$Q$117</f>
        <v>#DIV/0!</v>
      </c>
      <c r="S107" s="157"/>
      <c r="T107" s="40">
        <f t="shared" si="11"/>
        <v>0</v>
      </c>
    </row>
    <row r="108" spans="1:20" s="84" customFormat="1" ht="24.95" customHeight="1">
      <c r="A108" s="3"/>
      <c r="B108" s="3"/>
      <c r="C108" s="3"/>
      <c r="D108" s="19" t="s">
        <v>274</v>
      </c>
      <c r="E108" s="19">
        <f>SUM(E39:E107)</f>
        <v>0</v>
      </c>
      <c r="F108" s="19">
        <f t="shared" ref="F108:P108" si="12">SUM(F39:F107)</f>
        <v>0</v>
      </c>
      <c r="G108" s="19">
        <f t="shared" si="12"/>
        <v>0</v>
      </c>
      <c r="H108" s="19">
        <f t="shared" si="12"/>
        <v>0</v>
      </c>
      <c r="I108" s="19">
        <f t="shared" si="12"/>
        <v>0</v>
      </c>
      <c r="J108" s="19">
        <f t="shared" si="12"/>
        <v>0</v>
      </c>
      <c r="K108" s="19">
        <f t="shared" si="12"/>
        <v>0</v>
      </c>
      <c r="L108" s="19">
        <f t="shared" si="12"/>
        <v>0</v>
      </c>
      <c r="M108" s="19">
        <f t="shared" si="12"/>
        <v>0</v>
      </c>
      <c r="N108" s="19">
        <f t="shared" si="12"/>
        <v>0</v>
      </c>
      <c r="O108" s="19">
        <f t="shared" si="12"/>
        <v>0</v>
      </c>
      <c r="P108" s="19">
        <f t="shared" si="12"/>
        <v>0</v>
      </c>
      <c r="Q108" s="19">
        <f t="shared" ref="Q108" si="13">SUM(Q39:Q107)</f>
        <v>0</v>
      </c>
      <c r="R108" s="142" t="e">
        <f>Q108/$Q$117</f>
        <v>#DIV/0!</v>
      </c>
      <c r="S108" s="157"/>
      <c r="T108" s="40">
        <f t="shared" si="11"/>
        <v>0</v>
      </c>
    </row>
    <row r="109" spans="1:20" s="84" customFormat="1" ht="24.95" customHeight="1">
      <c r="A109" s="3"/>
      <c r="B109" s="3"/>
      <c r="C109" s="3"/>
      <c r="D109" s="19" t="s">
        <v>275</v>
      </c>
      <c r="E109" s="160">
        <f t="shared" ref="E109:Q109" si="14">E28-E34-E36-E108</f>
        <v>0</v>
      </c>
      <c r="F109" s="160">
        <f t="shared" si="14"/>
        <v>0</v>
      </c>
      <c r="G109" s="160">
        <f t="shared" si="14"/>
        <v>0</v>
      </c>
      <c r="H109" s="160">
        <f t="shared" si="14"/>
        <v>0</v>
      </c>
      <c r="I109" s="160">
        <f t="shared" si="14"/>
        <v>0</v>
      </c>
      <c r="J109" s="160">
        <f t="shared" si="14"/>
        <v>0</v>
      </c>
      <c r="K109" s="160">
        <f t="shared" si="14"/>
        <v>0</v>
      </c>
      <c r="L109" s="160">
        <f t="shared" si="14"/>
        <v>0</v>
      </c>
      <c r="M109" s="160">
        <f t="shared" si="14"/>
        <v>0</v>
      </c>
      <c r="N109" s="160">
        <f t="shared" si="14"/>
        <v>0</v>
      </c>
      <c r="O109" s="160">
        <f t="shared" si="14"/>
        <v>0</v>
      </c>
      <c r="P109" s="160">
        <f t="shared" si="14"/>
        <v>0</v>
      </c>
      <c r="Q109" s="160">
        <f t="shared" si="14"/>
        <v>0</v>
      </c>
      <c r="R109" s="160"/>
      <c r="S109" s="157"/>
      <c r="T109" s="40">
        <f t="shared" ref="T109:T125" si="15">IF(Q109-S109=0,0,(Q109-S109)/S109)</f>
        <v>0</v>
      </c>
    </row>
    <row r="110" spans="1:20" s="84" customFormat="1" ht="24.95" customHeight="1">
      <c r="A110" s="3"/>
      <c r="B110" s="3"/>
      <c r="C110" s="3"/>
      <c r="D110" s="19" t="s">
        <v>276</v>
      </c>
      <c r="E110" s="137">
        <f t="shared" ref="E110:Q110" si="16">IF(E109=0,0,E109/E28)</f>
        <v>0</v>
      </c>
      <c r="F110" s="137">
        <f t="shared" si="16"/>
        <v>0</v>
      </c>
      <c r="G110" s="137">
        <f t="shared" si="16"/>
        <v>0</v>
      </c>
      <c r="H110" s="137">
        <f t="shared" si="16"/>
        <v>0</v>
      </c>
      <c r="I110" s="137">
        <f t="shared" si="16"/>
        <v>0</v>
      </c>
      <c r="J110" s="137">
        <f t="shared" si="16"/>
        <v>0</v>
      </c>
      <c r="K110" s="137">
        <f t="shared" si="16"/>
        <v>0</v>
      </c>
      <c r="L110" s="137">
        <f t="shared" si="16"/>
        <v>0</v>
      </c>
      <c r="M110" s="137">
        <f t="shared" si="16"/>
        <v>0</v>
      </c>
      <c r="N110" s="137">
        <f t="shared" si="16"/>
        <v>0</v>
      </c>
      <c r="O110" s="137">
        <f t="shared" si="16"/>
        <v>0</v>
      </c>
      <c r="P110" s="137">
        <f t="shared" si="16"/>
        <v>0</v>
      </c>
      <c r="Q110" s="137">
        <f t="shared" si="16"/>
        <v>0</v>
      </c>
      <c r="R110" s="137"/>
      <c r="S110" s="40"/>
      <c r="T110" s="40">
        <f t="shared" si="15"/>
        <v>0</v>
      </c>
    </row>
    <row r="111" spans="1:20" s="84" customFormat="1" ht="24.95" customHeight="1">
      <c r="A111" s="3"/>
      <c r="B111" s="3"/>
      <c r="C111" s="3"/>
      <c r="D111" s="19" t="s">
        <v>436</v>
      </c>
      <c r="E111" s="3"/>
      <c r="F111" s="3"/>
      <c r="G111" s="3"/>
      <c r="H111" s="3"/>
      <c r="I111" s="3"/>
      <c r="J111" s="3"/>
      <c r="K111" s="3"/>
      <c r="L111" s="161"/>
      <c r="S111" s="157"/>
      <c r="T111" s="40"/>
    </row>
    <row r="112" spans="1:20" s="84" customFormat="1" ht="24.95" customHeight="1">
      <c r="A112" s="50" t="s">
        <v>470</v>
      </c>
      <c r="B112" s="3" t="s">
        <v>388</v>
      </c>
      <c r="C112" s="3"/>
      <c r="D112" s="26" t="s">
        <v>453</v>
      </c>
      <c r="E112" s="81">
        <v>0</v>
      </c>
      <c r="F112" s="81">
        <v>0</v>
      </c>
      <c r="G112" s="81">
        <v>0</v>
      </c>
      <c r="H112" s="81">
        <v>0</v>
      </c>
      <c r="I112" s="81">
        <v>0</v>
      </c>
      <c r="J112" s="81">
        <v>0</v>
      </c>
      <c r="K112" s="81">
        <v>0</v>
      </c>
      <c r="L112" s="81">
        <v>0</v>
      </c>
      <c r="M112" s="81">
        <v>0</v>
      </c>
      <c r="N112" s="81">
        <v>0</v>
      </c>
      <c r="O112" s="81">
        <v>0</v>
      </c>
      <c r="P112" s="81">
        <v>0</v>
      </c>
      <c r="Q112" s="171">
        <f>SUM(E112:P112)</f>
        <v>0</v>
      </c>
      <c r="R112" s="171"/>
      <c r="S112" s="157"/>
      <c r="T112" s="40">
        <f t="shared" si="15"/>
        <v>0</v>
      </c>
    </row>
    <row r="113" spans="1:20" s="84" customFormat="1" ht="24.95" customHeight="1">
      <c r="A113" s="3" t="s">
        <v>471</v>
      </c>
      <c r="B113" s="3" t="s">
        <v>388</v>
      </c>
      <c r="C113" s="3"/>
      <c r="D113" s="26" t="s">
        <v>455</v>
      </c>
      <c r="E113" s="81"/>
      <c r="F113" s="81"/>
      <c r="G113" s="81"/>
      <c r="H113" s="81"/>
      <c r="I113" s="81"/>
      <c r="J113" s="81"/>
      <c r="K113" s="81"/>
      <c r="L113" s="81"/>
      <c r="M113" s="81"/>
      <c r="N113" s="81"/>
      <c r="O113" s="81"/>
      <c r="P113" s="81"/>
      <c r="Q113" s="171">
        <f t="shared" ref="Q113:Q116" si="17">SUM(E113:P113)</f>
        <v>0</v>
      </c>
      <c r="R113" s="171"/>
      <c r="S113" s="157"/>
      <c r="T113" s="40">
        <f t="shared" si="15"/>
        <v>0</v>
      </c>
    </row>
    <row r="114" spans="1:20" s="84" customFormat="1" ht="24.95" customHeight="1">
      <c r="A114" s="3" t="s">
        <v>472</v>
      </c>
      <c r="B114" s="3" t="s">
        <v>388</v>
      </c>
      <c r="C114" s="3"/>
      <c r="D114" s="26" t="s">
        <v>459</v>
      </c>
      <c r="E114" s="81"/>
      <c r="F114" s="81"/>
      <c r="G114" s="81"/>
      <c r="H114" s="81"/>
      <c r="I114" s="81"/>
      <c r="J114" s="81"/>
      <c r="K114" s="81"/>
      <c r="L114" s="81"/>
      <c r="M114" s="81"/>
      <c r="N114" s="81"/>
      <c r="O114" s="81"/>
      <c r="P114" s="81"/>
      <c r="Q114" s="171">
        <f t="shared" si="17"/>
        <v>0</v>
      </c>
      <c r="R114" s="171"/>
      <c r="S114" s="157"/>
      <c r="T114" s="40">
        <f>IF(S114&lt;&gt;0,(Q114-S114)/S114,1)</f>
        <v>1</v>
      </c>
    </row>
    <row r="115" spans="1:20" s="84" customFormat="1" ht="24.95" customHeight="1">
      <c r="A115" s="3" t="s">
        <v>473</v>
      </c>
      <c r="B115" s="3" t="s">
        <v>388</v>
      </c>
      <c r="C115" s="3"/>
      <c r="D115" s="26" t="s">
        <v>457</v>
      </c>
      <c r="E115" s="81"/>
      <c r="F115" s="81"/>
      <c r="G115" s="81"/>
      <c r="H115" s="81"/>
      <c r="I115" s="81"/>
      <c r="J115" s="81"/>
      <c r="K115" s="81"/>
      <c r="L115" s="81"/>
      <c r="M115" s="81"/>
      <c r="N115" s="81"/>
      <c r="O115" s="81"/>
      <c r="P115" s="81"/>
      <c r="Q115" s="171">
        <f t="shared" si="17"/>
        <v>0</v>
      </c>
      <c r="R115" s="171"/>
      <c r="S115" s="157"/>
      <c r="T115" s="40">
        <f>IF(S115&lt;&gt;0,(Q115-S115)/S115,1)</f>
        <v>1</v>
      </c>
    </row>
    <row r="116" spans="1:20" s="84" customFormat="1" ht="24.95" customHeight="1">
      <c r="A116" s="3" t="s">
        <v>474</v>
      </c>
      <c r="B116" s="3" t="s">
        <v>388</v>
      </c>
      <c r="C116" s="3"/>
      <c r="D116" s="26" t="s">
        <v>461</v>
      </c>
      <c r="E116" s="81">
        <v>0</v>
      </c>
      <c r="F116" s="81">
        <v>0</v>
      </c>
      <c r="G116" s="81">
        <v>0</v>
      </c>
      <c r="H116" s="81">
        <v>0</v>
      </c>
      <c r="I116" s="81">
        <v>0</v>
      </c>
      <c r="J116" s="81">
        <v>0</v>
      </c>
      <c r="K116" s="81">
        <v>0</v>
      </c>
      <c r="L116" s="81">
        <v>0</v>
      </c>
      <c r="M116" s="81">
        <v>0</v>
      </c>
      <c r="N116" s="81">
        <v>0</v>
      </c>
      <c r="O116" s="81">
        <v>0</v>
      </c>
      <c r="P116" s="81">
        <v>0</v>
      </c>
      <c r="Q116" s="171">
        <f t="shared" si="17"/>
        <v>0</v>
      </c>
      <c r="R116" s="171"/>
      <c r="S116" s="157"/>
      <c r="T116" s="40">
        <f t="shared" si="15"/>
        <v>0</v>
      </c>
    </row>
    <row r="117" spans="1:20" s="84" customFormat="1" ht="24.95" customHeight="1">
      <c r="A117" s="3"/>
      <c r="B117" s="3"/>
      <c r="C117" s="3"/>
      <c r="D117" s="19" t="s">
        <v>439</v>
      </c>
      <c r="E117" s="169">
        <f>SUM(E112:E116)</f>
        <v>0</v>
      </c>
      <c r="F117" s="169">
        <f t="shared" ref="F117:Q117" si="18">SUM(F112:F116)</f>
        <v>0</v>
      </c>
      <c r="G117" s="169">
        <f t="shared" si="18"/>
        <v>0</v>
      </c>
      <c r="H117" s="169">
        <f t="shared" si="18"/>
        <v>0</v>
      </c>
      <c r="I117" s="169">
        <f t="shared" si="18"/>
        <v>0</v>
      </c>
      <c r="J117" s="169">
        <f t="shared" si="18"/>
        <v>0</v>
      </c>
      <c r="K117" s="169">
        <f t="shared" si="18"/>
        <v>0</v>
      </c>
      <c r="L117" s="169">
        <f t="shared" si="18"/>
        <v>0</v>
      </c>
      <c r="M117" s="169">
        <f t="shared" si="18"/>
        <v>0</v>
      </c>
      <c r="N117" s="169">
        <f t="shared" si="18"/>
        <v>0</v>
      </c>
      <c r="O117" s="169">
        <f t="shared" si="18"/>
        <v>0</v>
      </c>
      <c r="P117" s="169">
        <f t="shared" si="18"/>
        <v>0</v>
      </c>
      <c r="Q117" s="169">
        <f t="shared" si="18"/>
        <v>0</v>
      </c>
      <c r="R117" s="169"/>
      <c r="S117" s="157"/>
      <c r="T117" s="40">
        <f t="shared" si="15"/>
        <v>0</v>
      </c>
    </row>
    <row r="118" spans="1:20" s="84" customFormat="1" ht="24.95" customHeight="1">
      <c r="A118" s="3"/>
      <c r="B118" s="3"/>
      <c r="C118" s="3"/>
      <c r="D118" s="3"/>
      <c r="E118" s="3"/>
      <c r="F118" s="3"/>
      <c r="G118" s="3"/>
      <c r="H118" s="3"/>
      <c r="I118" s="3"/>
      <c r="J118" s="3"/>
      <c r="K118" s="3"/>
      <c r="L118" s="161"/>
      <c r="S118" s="157"/>
      <c r="T118" s="40"/>
    </row>
    <row r="119" spans="1:20" s="84" customFormat="1" ht="24.95" customHeight="1">
      <c r="A119" s="3"/>
      <c r="B119" s="3"/>
      <c r="C119" s="3"/>
      <c r="D119" s="19" t="s">
        <v>440</v>
      </c>
      <c r="E119" s="3"/>
      <c r="F119" s="3"/>
      <c r="G119" s="3"/>
      <c r="H119" s="3"/>
      <c r="I119" s="3"/>
      <c r="J119" s="3"/>
      <c r="K119" s="3"/>
      <c r="L119" s="161"/>
      <c r="S119" s="157"/>
      <c r="T119" s="40"/>
    </row>
    <row r="120" spans="1:20" s="84" customFormat="1" ht="24.95" customHeight="1">
      <c r="A120" s="3"/>
      <c r="B120" s="3"/>
      <c r="C120" s="3"/>
      <c r="D120" s="26" t="s">
        <v>453</v>
      </c>
      <c r="E120" s="172">
        <f t="shared" ref="E120:Q120" si="19">IF(E112=0,0,ROUND(E12/E112,2))</f>
        <v>0</v>
      </c>
      <c r="F120" s="172">
        <f t="shared" si="19"/>
        <v>0</v>
      </c>
      <c r="G120" s="172">
        <f t="shared" si="19"/>
        <v>0</v>
      </c>
      <c r="H120" s="172">
        <f t="shared" si="19"/>
        <v>0</v>
      </c>
      <c r="I120" s="172">
        <f t="shared" si="19"/>
        <v>0</v>
      </c>
      <c r="J120" s="172">
        <f t="shared" si="19"/>
        <v>0</v>
      </c>
      <c r="K120" s="172">
        <f t="shared" si="19"/>
        <v>0</v>
      </c>
      <c r="L120" s="172">
        <f t="shared" si="19"/>
        <v>0</v>
      </c>
      <c r="M120" s="172">
        <f t="shared" ref="M120:P124" si="20">IF(M112=0,0,ROUND(M12/M112,2))</f>
        <v>0</v>
      </c>
      <c r="N120" s="172">
        <f t="shared" si="20"/>
        <v>0</v>
      </c>
      <c r="O120" s="172">
        <f t="shared" si="20"/>
        <v>0</v>
      </c>
      <c r="P120" s="172">
        <f t="shared" si="20"/>
        <v>0</v>
      </c>
      <c r="Q120" s="172">
        <f t="shared" si="19"/>
        <v>0</v>
      </c>
      <c r="R120" s="172"/>
      <c r="S120" s="157"/>
      <c r="T120" s="40">
        <f t="shared" si="15"/>
        <v>0</v>
      </c>
    </row>
    <row r="121" spans="1:20" s="84" customFormat="1" ht="24.95" customHeight="1">
      <c r="A121" s="3"/>
      <c r="B121" s="3"/>
      <c r="C121" s="3"/>
      <c r="D121" s="26" t="s">
        <v>455</v>
      </c>
      <c r="E121" s="61">
        <f t="shared" ref="E121:Q121" si="21">IF(E113=0,0,ROUND(E13/E113,2))</f>
        <v>0</v>
      </c>
      <c r="F121" s="61">
        <f t="shared" si="21"/>
        <v>0</v>
      </c>
      <c r="G121" s="61">
        <f t="shared" si="21"/>
        <v>0</v>
      </c>
      <c r="H121" s="61">
        <f t="shared" si="21"/>
        <v>0</v>
      </c>
      <c r="I121" s="61">
        <f t="shared" si="21"/>
        <v>0</v>
      </c>
      <c r="J121" s="61">
        <f t="shared" si="21"/>
        <v>0</v>
      </c>
      <c r="K121" s="61">
        <f t="shared" si="21"/>
        <v>0</v>
      </c>
      <c r="L121" s="61">
        <f t="shared" si="21"/>
        <v>0</v>
      </c>
      <c r="M121" s="61">
        <f t="shared" si="20"/>
        <v>0</v>
      </c>
      <c r="N121" s="61">
        <f t="shared" si="20"/>
        <v>0</v>
      </c>
      <c r="O121" s="61">
        <f t="shared" si="20"/>
        <v>0</v>
      </c>
      <c r="P121" s="61">
        <f t="shared" si="20"/>
        <v>0</v>
      </c>
      <c r="Q121" s="61">
        <f t="shared" si="21"/>
        <v>0</v>
      </c>
      <c r="R121" s="172"/>
      <c r="S121" s="157"/>
      <c r="T121" s="40">
        <f t="shared" si="15"/>
        <v>0</v>
      </c>
    </row>
    <row r="122" spans="1:20" s="84" customFormat="1" ht="24.95" customHeight="1">
      <c r="A122" s="3"/>
      <c r="B122" s="3"/>
      <c r="C122" s="3"/>
      <c r="D122" s="26" t="s">
        <v>459</v>
      </c>
      <c r="E122" s="61">
        <f t="shared" ref="E122:Q122" si="22">IF(E114=0,0,ROUND(E14/E114,2))</f>
        <v>0</v>
      </c>
      <c r="F122" s="61">
        <f t="shared" si="22"/>
        <v>0</v>
      </c>
      <c r="G122" s="61">
        <f t="shared" si="22"/>
        <v>0</v>
      </c>
      <c r="H122" s="61">
        <f t="shared" si="22"/>
        <v>0</v>
      </c>
      <c r="I122" s="61">
        <f t="shared" si="22"/>
        <v>0</v>
      </c>
      <c r="J122" s="61">
        <f t="shared" si="22"/>
        <v>0</v>
      </c>
      <c r="K122" s="61">
        <f t="shared" si="22"/>
        <v>0</v>
      </c>
      <c r="L122" s="61">
        <f t="shared" si="22"/>
        <v>0</v>
      </c>
      <c r="M122" s="61">
        <f t="shared" si="20"/>
        <v>0</v>
      </c>
      <c r="N122" s="61">
        <f t="shared" si="20"/>
        <v>0</v>
      </c>
      <c r="O122" s="61">
        <f t="shared" si="20"/>
        <v>0</v>
      </c>
      <c r="P122" s="61">
        <f t="shared" si="20"/>
        <v>0</v>
      </c>
      <c r="Q122" s="61">
        <f t="shared" si="22"/>
        <v>0</v>
      </c>
      <c r="R122" s="172"/>
      <c r="S122" s="157"/>
      <c r="T122" s="40">
        <f>IF(S122&lt;&gt;0,(Q122-S122)/S122,1)</f>
        <v>1</v>
      </c>
    </row>
    <row r="123" spans="1:20" s="84" customFormat="1" ht="24.95" customHeight="1">
      <c r="A123" s="3"/>
      <c r="B123" s="3"/>
      <c r="C123" s="3"/>
      <c r="D123" s="26" t="s">
        <v>457</v>
      </c>
      <c r="E123" s="61">
        <f t="shared" ref="E123:Q123" si="23">IF(E115=0,0,ROUND(E15/E115,2))</f>
        <v>0</v>
      </c>
      <c r="F123" s="61">
        <f t="shared" si="23"/>
        <v>0</v>
      </c>
      <c r="G123" s="61">
        <f t="shared" si="23"/>
        <v>0</v>
      </c>
      <c r="H123" s="61">
        <f t="shared" si="23"/>
        <v>0</v>
      </c>
      <c r="I123" s="61">
        <f t="shared" si="23"/>
        <v>0</v>
      </c>
      <c r="J123" s="61">
        <f t="shared" si="23"/>
        <v>0</v>
      </c>
      <c r="K123" s="61">
        <f t="shared" si="23"/>
        <v>0</v>
      </c>
      <c r="L123" s="61">
        <f t="shared" si="23"/>
        <v>0</v>
      </c>
      <c r="M123" s="61">
        <f t="shared" si="20"/>
        <v>0</v>
      </c>
      <c r="N123" s="61">
        <f t="shared" si="20"/>
        <v>0</v>
      </c>
      <c r="O123" s="61">
        <f t="shared" si="20"/>
        <v>0</v>
      </c>
      <c r="P123" s="61">
        <f t="shared" si="20"/>
        <v>0</v>
      </c>
      <c r="Q123" s="61">
        <f t="shared" si="23"/>
        <v>0</v>
      </c>
      <c r="R123" s="172"/>
      <c r="S123" s="157"/>
      <c r="T123" s="40">
        <f>IF(S123&lt;&gt;0,(Q123-S123)/S123,1)</f>
        <v>1</v>
      </c>
    </row>
    <row r="124" spans="1:20" s="84" customFormat="1" ht="24.95" customHeight="1">
      <c r="A124" s="3"/>
      <c r="B124" s="3"/>
      <c r="C124" s="3"/>
      <c r="D124" s="26" t="s">
        <v>461</v>
      </c>
      <c r="E124" s="61">
        <f t="shared" ref="E124:Q124" si="24">IF(E116=0,0,ROUND(E16/E116,2))</f>
        <v>0</v>
      </c>
      <c r="F124" s="61">
        <f t="shared" si="24"/>
        <v>0</v>
      </c>
      <c r="G124" s="61">
        <f t="shared" si="24"/>
        <v>0</v>
      </c>
      <c r="H124" s="61">
        <f t="shared" si="24"/>
        <v>0</v>
      </c>
      <c r="I124" s="61">
        <f t="shared" si="24"/>
        <v>0</v>
      </c>
      <c r="J124" s="61">
        <f t="shared" si="24"/>
        <v>0</v>
      </c>
      <c r="K124" s="61">
        <f t="shared" si="24"/>
        <v>0</v>
      </c>
      <c r="L124" s="61">
        <f t="shared" si="24"/>
        <v>0</v>
      </c>
      <c r="M124" s="61">
        <f t="shared" si="20"/>
        <v>0</v>
      </c>
      <c r="N124" s="61">
        <f t="shared" si="20"/>
        <v>0</v>
      </c>
      <c r="O124" s="61">
        <f t="shared" si="20"/>
        <v>0</v>
      </c>
      <c r="P124" s="61">
        <f t="shared" si="20"/>
        <v>0</v>
      </c>
      <c r="Q124" s="61">
        <f t="shared" si="24"/>
        <v>0</v>
      </c>
      <c r="R124" s="172"/>
      <c r="S124" s="157"/>
      <c r="T124" s="40">
        <f t="shared" si="15"/>
        <v>0</v>
      </c>
    </row>
    <row r="125" spans="1:20" s="84" customFormat="1" ht="24.95" customHeight="1">
      <c r="A125" s="3"/>
      <c r="B125" s="3"/>
      <c r="C125" s="3"/>
      <c r="D125" s="19" t="s">
        <v>442</v>
      </c>
      <c r="E125" s="170">
        <f>IF(E117=0,0,ROUND(E17/E117,2))</f>
        <v>0</v>
      </c>
      <c r="F125" s="170">
        <f t="shared" ref="F125:Q125" si="25">IF(F117=0,0,ROUND(F17/F117,2))</f>
        <v>0</v>
      </c>
      <c r="G125" s="170">
        <f t="shared" si="25"/>
        <v>0</v>
      </c>
      <c r="H125" s="170">
        <f t="shared" si="25"/>
        <v>0</v>
      </c>
      <c r="I125" s="170">
        <f t="shared" si="25"/>
        <v>0</v>
      </c>
      <c r="J125" s="170">
        <f t="shared" si="25"/>
        <v>0</v>
      </c>
      <c r="K125" s="170">
        <f t="shared" si="25"/>
        <v>0</v>
      </c>
      <c r="L125" s="170">
        <f t="shared" si="25"/>
        <v>0</v>
      </c>
      <c r="M125" s="170">
        <f t="shared" si="25"/>
        <v>0</v>
      </c>
      <c r="N125" s="170">
        <f t="shared" si="25"/>
        <v>0</v>
      </c>
      <c r="O125" s="170">
        <f t="shared" si="25"/>
        <v>0</v>
      </c>
      <c r="P125" s="170">
        <f t="shared" si="25"/>
        <v>0</v>
      </c>
      <c r="Q125" s="170">
        <f t="shared" si="25"/>
        <v>0</v>
      </c>
      <c r="R125" s="173"/>
      <c r="S125" s="157"/>
      <c r="T125" s="40">
        <f t="shared" si="15"/>
        <v>0</v>
      </c>
    </row>
    <row r="126" spans="1:20" s="84" customFormat="1" ht="24.95" customHeight="1">
      <c r="A126" s="3"/>
      <c r="B126" s="3"/>
      <c r="C126" s="3"/>
      <c r="D126" s="3"/>
      <c r="E126" s="3"/>
      <c r="F126" s="3"/>
      <c r="G126" s="3"/>
      <c r="H126" s="3"/>
      <c r="I126" s="3"/>
      <c r="J126" s="3"/>
      <c r="K126" s="3"/>
      <c r="L126" s="161"/>
      <c r="S126" s="157"/>
      <c r="T126" s="40"/>
    </row>
    <row r="127" spans="1:20" s="84" customFormat="1" ht="24.95" customHeight="1">
      <c r="A127" s="3"/>
      <c r="B127" s="3"/>
      <c r="C127" s="3"/>
      <c r="D127" s="19" t="s">
        <v>443</v>
      </c>
      <c r="E127" s="160">
        <f>IF(E117=0,0,ROUND((E34+E36+E108)/E117,2))</f>
        <v>0</v>
      </c>
      <c r="F127" s="160">
        <f t="shared" ref="F127:Q127" si="26">IF(F117=0,0,ROUND((F34+F36+F108)/F117,2))</f>
        <v>0</v>
      </c>
      <c r="G127" s="160">
        <f t="shared" si="26"/>
        <v>0</v>
      </c>
      <c r="H127" s="160">
        <f t="shared" si="26"/>
        <v>0</v>
      </c>
      <c r="I127" s="160">
        <f t="shared" si="26"/>
        <v>0</v>
      </c>
      <c r="J127" s="160">
        <f t="shared" si="26"/>
        <v>0</v>
      </c>
      <c r="K127" s="160">
        <f t="shared" si="26"/>
        <v>0</v>
      </c>
      <c r="L127" s="160">
        <f t="shared" si="26"/>
        <v>0</v>
      </c>
      <c r="M127" s="160">
        <f t="shared" si="26"/>
        <v>0</v>
      </c>
      <c r="N127" s="160">
        <f t="shared" si="26"/>
        <v>0</v>
      </c>
      <c r="O127" s="160">
        <f t="shared" si="26"/>
        <v>0</v>
      </c>
      <c r="P127" s="160">
        <f t="shared" si="26"/>
        <v>0</v>
      </c>
      <c r="Q127" s="160">
        <f t="shared" si="26"/>
        <v>0</v>
      </c>
      <c r="R127" s="160"/>
      <c r="S127" s="157"/>
      <c r="T127" s="40">
        <f>-IF(Q127-S127=0,0,(Q127-S127)/S127)</f>
        <v>0</v>
      </c>
    </row>
    <row r="128" spans="1:20" s="84" customFormat="1" ht="24.95" customHeight="1">
      <c r="A128" s="3"/>
      <c r="B128" s="3"/>
      <c r="C128" s="3"/>
      <c r="D128" s="3"/>
      <c r="E128" s="3"/>
      <c r="F128" s="3"/>
      <c r="G128" s="3"/>
      <c r="H128" s="3"/>
      <c r="I128" s="3"/>
      <c r="J128" s="3"/>
      <c r="K128" s="3"/>
      <c r="L128" s="161"/>
      <c r="S128" s="157"/>
      <c r="T128" s="40"/>
    </row>
    <row r="129" spans="1:20" s="84" customFormat="1" ht="24.95" customHeight="1">
      <c r="A129" s="3"/>
      <c r="B129" s="3"/>
      <c r="C129" s="3"/>
      <c r="D129" s="19" t="s">
        <v>293</v>
      </c>
      <c r="E129" s="3"/>
      <c r="F129" s="3"/>
      <c r="G129" s="3"/>
      <c r="H129" s="3"/>
      <c r="I129" s="3"/>
      <c r="J129" s="3"/>
      <c r="K129" s="3"/>
      <c r="L129" s="161"/>
      <c r="S129" s="157"/>
      <c r="T129" s="40"/>
    </row>
    <row r="130" spans="1:20" s="84" customFormat="1" ht="24.95" customHeight="1">
      <c r="A130" s="3"/>
      <c r="B130" s="3"/>
      <c r="C130" s="3"/>
      <c r="D130" s="19" t="s">
        <v>444</v>
      </c>
      <c r="E130" s="3"/>
      <c r="F130" s="3"/>
      <c r="G130" s="3"/>
      <c r="H130" s="3"/>
      <c r="I130" s="3"/>
      <c r="J130" s="3"/>
      <c r="K130" s="3"/>
      <c r="L130" s="161"/>
      <c r="S130" s="157"/>
      <c r="T130" s="40"/>
    </row>
    <row r="131" spans="1:20" s="84" customFormat="1" ht="24.95" customHeight="1">
      <c r="A131" s="3" t="s">
        <v>295</v>
      </c>
      <c r="B131" s="3" t="s">
        <v>388</v>
      </c>
      <c r="C131" s="3"/>
      <c r="D131" s="3" t="s">
        <v>297</v>
      </c>
      <c r="E131" s="142">
        <f>Summary!E$734+Summary!E$399</f>
        <v>0</v>
      </c>
      <c r="F131" s="142">
        <f>Summary!F$734+Summary!F$399</f>
        <v>0</v>
      </c>
      <c r="G131" s="142">
        <f>Summary!G$734+Summary!G$399</f>
        <v>0</v>
      </c>
      <c r="H131" s="142">
        <f>Summary!H$734+Summary!H$399</f>
        <v>0</v>
      </c>
      <c r="I131" s="142">
        <f>Summary!I$734+Summary!I$399</f>
        <v>0</v>
      </c>
      <c r="J131" s="142">
        <f>Summary!J$734+Summary!J$399</f>
        <v>0</v>
      </c>
      <c r="K131" s="142">
        <f>Summary!K$734+Summary!K$399</f>
        <v>0</v>
      </c>
      <c r="L131" s="142">
        <f>Summary!L$734+Summary!L$399</f>
        <v>0</v>
      </c>
      <c r="M131" s="142">
        <f>Summary!M$734+Summary!M$399</f>
        <v>0</v>
      </c>
      <c r="N131" s="142">
        <f>Summary!N$734+Summary!N$399</f>
        <v>0</v>
      </c>
      <c r="O131" s="142">
        <f>Summary!O$734+Summary!O$399</f>
        <v>0</v>
      </c>
      <c r="P131" s="142">
        <f>Summary!P$734+Summary!P$399</f>
        <v>0</v>
      </c>
      <c r="Q131" s="142">
        <f>SUM(E131:P131)</f>
        <v>0</v>
      </c>
      <c r="R131" s="142" t="e">
        <f>Q131/$Q$117</f>
        <v>#DIV/0!</v>
      </c>
      <c r="S131" s="157"/>
      <c r="T131" s="40">
        <f>-IF(Q131-S131=0,0,(Q131-S131)/S131)</f>
        <v>0</v>
      </c>
    </row>
    <row r="132" spans="1:20" s="84" customFormat="1" ht="24.95" customHeight="1">
      <c r="A132" s="50" t="s">
        <v>298</v>
      </c>
      <c r="B132" s="3" t="s">
        <v>388</v>
      </c>
      <c r="C132" s="3"/>
      <c r="D132" s="3" t="s">
        <v>447</v>
      </c>
      <c r="E132" s="61">
        <f>Summary!E$400</f>
        <v>0</v>
      </c>
      <c r="F132" s="61">
        <f>Summary!F$400</f>
        <v>0</v>
      </c>
      <c r="G132" s="61">
        <f>Summary!G$400</f>
        <v>0</v>
      </c>
      <c r="H132" s="61">
        <f>Summary!H$400</f>
        <v>0</v>
      </c>
      <c r="I132" s="61">
        <f>Summary!I$400</f>
        <v>0</v>
      </c>
      <c r="J132" s="61">
        <f>Summary!J$400</f>
        <v>0</v>
      </c>
      <c r="K132" s="61">
        <f>Summary!K$400</f>
        <v>0</v>
      </c>
      <c r="L132" s="61">
        <f>Summary!L$400</f>
        <v>0</v>
      </c>
      <c r="M132" s="61">
        <f>Summary!M$400</f>
        <v>0</v>
      </c>
      <c r="N132" s="61">
        <f>Summary!N$400</f>
        <v>0</v>
      </c>
      <c r="O132" s="61">
        <f>Summary!O$400</f>
        <v>0</v>
      </c>
      <c r="P132" s="61">
        <f>Summary!P$400</f>
        <v>0</v>
      </c>
      <c r="Q132" s="142">
        <f t="shared" ref="Q132:Q133" si="27">SUM(E132:P132)</f>
        <v>0</v>
      </c>
      <c r="R132" s="142" t="e">
        <f>Q132/$Q$117</f>
        <v>#DIV/0!</v>
      </c>
      <c r="S132" s="157"/>
      <c r="T132" s="40">
        <f t="shared" ref="T132:T163" si="28">-IF(Q132-S132=0,0,(Q132-S132)/S132)</f>
        <v>0</v>
      </c>
    </row>
    <row r="133" spans="1:20" s="84" customFormat="1" ht="24.95" customHeight="1">
      <c r="A133" s="50" t="s">
        <v>298</v>
      </c>
      <c r="B133" s="3" t="s">
        <v>388</v>
      </c>
      <c r="C133" s="3"/>
      <c r="D133" s="3" t="s">
        <v>449</v>
      </c>
      <c r="E133" s="61">
        <f>Summary!E$735</f>
        <v>0</v>
      </c>
      <c r="F133" s="61">
        <f>Summary!F$735</f>
        <v>0</v>
      </c>
      <c r="G133" s="61">
        <f>Summary!G$735</f>
        <v>0</v>
      </c>
      <c r="H133" s="61">
        <f>Summary!H$735</f>
        <v>0</v>
      </c>
      <c r="I133" s="61">
        <f>Summary!I$735</f>
        <v>0</v>
      </c>
      <c r="J133" s="61">
        <f>Summary!J$735</f>
        <v>0</v>
      </c>
      <c r="K133" s="61">
        <f>Summary!K$735</f>
        <v>0</v>
      </c>
      <c r="L133" s="61">
        <f>Summary!L$735</f>
        <v>0</v>
      </c>
      <c r="M133" s="61">
        <f>Summary!M$735</f>
        <v>0</v>
      </c>
      <c r="N133" s="61">
        <f>Summary!N$735</f>
        <v>0</v>
      </c>
      <c r="O133" s="61">
        <f>Summary!O$735</f>
        <v>0</v>
      </c>
      <c r="P133" s="61">
        <f>Summary!P$735</f>
        <v>0</v>
      </c>
      <c r="Q133" s="142">
        <f t="shared" si="27"/>
        <v>0</v>
      </c>
      <c r="R133" s="142" t="e">
        <f>Q133/$Q$117</f>
        <v>#DIV/0!</v>
      </c>
      <c r="S133" s="157"/>
      <c r="T133" s="40">
        <f t="shared" si="28"/>
        <v>0</v>
      </c>
    </row>
    <row r="134" spans="1:20" s="84" customFormat="1" ht="24.95" customHeight="1">
      <c r="A134" s="3"/>
      <c r="B134" s="3"/>
      <c r="C134" s="3"/>
      <c r="D134" s="19" t="s">
        <v>450</v>
      </c>
      <c r="E134" s="160">
        <f>SUM(E131:E133)</f>
        <v>0</v>
      </c>
      <c r="F134" s="160">
        <f t="shared" ref="F134:Q134" si="29">SUM(F131:F133)</f>
        <v>0</v>
      </c>
      <c r="G134" s="160">
        <f t="shared" si="29"/>
        <v>0</v>
      </c>
      <c r="H134" s="160">
        <f t="shared" si="29"/>
        <v>0</v>
      </c>
      <c r="I134" s="160">
        <f t="shared" si="29"/>
        <v>0</v>
      </c>
      <c r="J134" s="160">
        <f t="shared" si="29"/>
        <v>0</v>
      </c>
      <c r="K134" s="160">
        <f t="shared" si="29"/>
        <v>0</v>
      </c>
      <c r="L134" s="160">
        <f t="shared" si="29"/>
        <v>0</v>
      </c>
      <c r="M134" s="160">
        <f t="shared" si="29"/>
        <v>0</v>
      </c>
      <c r="N134" s="160">
        <f t="shared" si="29"/>
        <v>0</v>
      </c>
      <c r="O134" s="160">
        <f t="shared" si="29"/>
        <v>0</v>
      </c>
      <c r="P134" s="160">
        <f t="shared" si="29"/>
        <v>0</v>
      </c>
      <c r="Q134" s="160">
        <f t="shared" si="29"/>
        <v>0</v>
      </c>
      <c r="R134" s="142" t="e">
        <f>Q134/$Q$117</f>
        <v>#DIV/0!</v>
      </c>
      <c r="S134" s="157"/>
      <c r="T134" s="40">
        <f t="shared" si="28"/>
        <v>0</v>
      </c>
    </row>
    <row r="135" spans="1:20" s="84" customFormat="1" ht="24.95" customHeight="1">
      <c r="A135" s="3"/>
      <c r="B135" s="3"/>
      <c r="C135" s="3"/>
      <c r="D135" s="3"/>
      <c r="E135" s="3"/>
      <c r="F135" s="3"/>
      <c r="G135" s="3"/>
      <c r="H135" s="3"/>
      <c r="I135" s="3"/>
      <c r="J135" s="3"/>
      <c r="K135" s="3"/>
      <c r="L135" s="161"/>
      <c r="M135" s="161"/>
      <c r="S135" s="157"/>
      <c r="T135" s="40"/>
    </row>
    <row r="136" spans="1:20" s="84" customFormat="1" ht="24.95" customHeight="1">
      <c r="A136" s="3" t="s">
        <v>306</v>
      </c>
      <c r="B136" s="3" t="s">
        <v>388</v>
      </c>
      <c r="C136" s="3"/>
      <c r="D136" s="26" t="s">
        <v>307</v>
      </c>
      <c r="E136" s="61">
        <f>Summary!E$401+Summary!E$736</f>
        <v>0</v>
      </c>
      <c r="F136" s="61">
        <f>Summary!F$401+Summary!F$736</f>
        <v>0</v>
      </c>
      <c r="G136" s="61">
        <f>Summary!G$401+Summary!G$736</f>
        <v>0</v>
      </c>
      <c r="H136" s="61">
        <f>Summary!H$401+Summary!H$736</f>
        <v>0</v>
      </c>
      <c r="I136" s="61">
        <f>Summary!I$401+Summary!I$736</f>
        <v>0</v>
      </c>
      <c r="J136" s="61">
        <f>Summary!J$401+Summary!J$736</f>
        <v>0</v>
      </c>
      <c r="K136" s="61">
        <f>Summary!K$401+Summary!K$736</f>
        <v>0</v>
      </c>
      <c r="L136" s="61">
        <f>Summary!L$401+Summary!L$736</f>
        <v>0</v>
      </c>
      <c r="M136" s="61">
        <f>Summary!M$401+Summary!M$736</f>
        <v>0</v>
      </c>
      <c r="N136" s="61">
        <f>Summary!N$401+Summary!N$736</f>
        <v>0</v>
      </c>
      <c r="O136" s="61">
        <f>Summary!O$401+Summary!O$736</f>
        <v>0</v>
      </c>
      <c r="P136" s="61">
        <f>Summary!P$401+Summary!P$736</f>
        <v>0</v>
      </c>
      <c r="Q136" s="142">
        <f>SUM(E136:P136)</f>
        <v>0</v>
      </c>
      <c r="R136" s="142" t="e">
        <f t="shared" ref="R136:R141" si="30">Q136/$Q$117</f>
        <v>#DIV/0!</v>
      </c>
      <c r="S136" s="157"/>
      <c r="T136" s="40">
        <f t="shared" si="28"/>
        <v>0</v>
      </c>
    </row>
    <row r="137" spans="1:20" s="84" customFormat="1" ht="24.95" customHeight="1">
      <c r="A137" s="3" t="s">
        <v>308</v>
      </c>
      <c r="B137" s="3" t="s">
        <v>388</v>
      </c>
      <c r="C137" s="3"/>
      <c r="D137" s="26" t="s">
        <v>309</v>
      </c>
      <c r="E137" s="61">
        <f>Summary!E$402+Summary!E$737</f>
        <v>0</v>
      </c>
      <c r="F137" s="61">
        <f>Summary!F$402+Summary!F$737</f>
        <v>0</v>
      </c>
      <c r="G137" s="61">
        <f>Summary!G$402+Summary!G$737</f>
        <v>0</v>
      </c>
      <c r="H137" s="61">
        <f>Summary!H$402+Summary!H$737</f>
        <v>0</v>
      </c>
      <c r="I137" s="61">
        <f>Summary!I$402+Summary!I$737</f>
        <v>0</v>
      </c>
      <c r="J137" s="61">
        <f>Summary!J$402+Summary!J$737</f>
        <v>0</v>
      </c>
      <c r="K137" s="61">
        <f>Summary!K$402+Summary!K$737</f>
        <v>0</v>
      </c>
      <c r="L137" s="61">
        <f>Summary!L$402+Summary!L$737</f>
        <v>0</v>
      </c>
      <c r="M137" s="61">
        <f>Summary!M$402+Summary!M$737</f>
        <v>0</v>
      </c>
      <c r="N137" s="61">
        <f>Summary!N$402+Summary!N$737</f>
        <v>0</v>
      </c>
      <c r="O137" s="61">
        <f>Summary!O$402+Summary!O$737</f>
        <v>0</v>
      </c>
      <c r="P137" s="61">
        <f>Summary!P$402+Summary!P$737</f>
        <v>0</v>
      </c>
      <c r="Q137" s="142">
        <f t="shared" ref="Q137:Q140" si="31">SUM(E137:P137)</f>
        <v>0</v>
      </c>
      <c r="R137" s="142" t="e">
        <f t="shared" si="30"/>
        <v>#DIV/0!</v>
      </c>
      <c r="S137" s="157"/>
      <c r="T137" s="40">
        <f t="shared" si="28"/>
        <v>0</v>
      </c>
    </row>
    <row r="138" spans="1:20" s="84" customFormat="1" ht="24.95" customHeight="1">
      <c r="A138" s="3" t="s">
        <v>310</v>
      </c>
      <c r="B138" s="3" t="s">
        <v>388</v>
      </c>
      <c r="C138" s="3"/>
      <c r="D138" s="26" t="s">
        <v>311</v>
      </c>
      <c r="E138" s="61">
        <f>Summary!E$403+Summary!E$738</f>
        <v>0</v>
      </c>
      <c r="F138" s="61">
        <f>Summary!F$403+Summary!F$738</f>
        <v>0</v>
      </c>
      <c r="G138" s="61">
        <f>Summary!G$403+Summary!G$738</f>
        <v>0</v>
      </c>
      <c r="H138" s="61">
        <f>Summary!H$403+Summary!H$738</f>
        <v>0</v>
      </c>
      <c r="I138" s="61">
        <f>Summary!I$403+Summary!I$738</f>
        <v>0</v>
      </c>
      <c r="J138" s="61">
        <f>Summary!J$403+Summary!J$738</f>
        <v>0</v>
      </c>
      <c r="K138" s="61">
        <f>Summary!K$403+Summary!K$738</f>
        <v>0</v>
      </c>
      <c r="L138" s="61">
        <f>Summary!L$403+Summary!L$738</f>
        <v>0</v>
      </c>
      <c r="M138" s="61">
        <f>Summary!M$403+Summary!M$738</f>
        <v>0</v>
      </c>
      <c r="N138" s="61">
        <f>Summary!N$403+Summary!N$738</f>
        <v>0</v>
      </c>
      <c r="O138" s="61">
        <f>Summary!O$403+Summary!O$738</f>
        <v>0</v>
      </c>
      <c r="P138" s="61">
        <f>Summary!P$403+Summary!P$738</f>
        <v>0</v>
      </c>
      <c r="Q138" s="142">
        <f t="shared" si="31"/>
        <v>0</v>
      </c>
      <c r="R138" s="142" t="e">
        <f t="shared" si="30"/>
        <v>#DIV/0!</v>
      </c>
      <c r="S138" s="157"/>
      <c r="T138" s="40">
        <f t="shared" si="28"/>
        <v>0</v>
      </c>
    </row>
    <row r="139" spans="1:20" s="84" customFormat="1" ht="24.95" customHeight="1">
      <c r="A139" s="3" t="s">
        <v>312</v>
      </c>
      <c r="B139" s="3" t="s">
        <v>388</v>
      </c>
      <c r="C139" s="3"/>
      <c r="D139" s="26" t="s">
        <v>313</v>
      </c>
      <c r="E139" s="61">
        <f>Summary!E$404+Summary!E$739</f>
        <v>0</v>
      </c>
      <c r="F139" s="61">
        <f>Summary!F$404+Summary!F$739</f>
        <v>0</v>
      </c>
      <c r="G139" s="61">
        <f>Summary!G$404+Summary!G$739</f>
        <v>0</v>
      </c>
      <c r="H139" s="61">
        <f>Summary!H$404+Summary!H$739</f>
        <v>0</v>
      </c>
      <c r="I139" s="61">
        <f>Summary!I$404+Summary!I$739</f>
        <v>0</v>
      </c>
      <c r="J139" s="61">
        <f>Summary!J$404+Summary!J$739</f>
        <v>0</v>
      </c>
      <c r="K139" s="61">
        <f>Summary!K$404+Summary!K$739</f>
        <v>0</v>
      </c>
      <c r="L139" s="61">
        <f>Summary!L$404+Summary!L$739</f>
        <v>0</v>
      </c>
      <c r="M139" s="61">
        <f>Summary!M$404+Summary!M$739</f>
        <v>0</v>
      </c>
      <c r="N139" s="61">
        <f>Summary!N$404+Summary!N$739</f>
        <v>0</v>
      </c>
      <c r="O139" s="61">
        <f>Summary!O$404+Summary!O$739</f>
        <v>0</v>
      </c>
      <c r="P139" s="61">
        <f>Summary!P$404+Summary!P$739</f>
        <v>0</v>
      </c>
      <c r="Q139" s="142">
        <f t="shared" si="31"/>
        <v>0</v>
      </c>
      <c r="R139" s="142" t="e">
        <f t="shared" si="30"/>
        <v>#DIV/0!</v>
      </c>
      <c r="S139" s="157"/>
      <c r="T139" s="40">
        <f t="shared" si="28"/>
        <v>0</v>
      </c>
    </row>
    <row r="140" spans="1:20" s="84" customFormat="1" ht="24.95" customHeight="1">
      <c r="A140" s="3" t="s">
        <v>314</v>
      </c>
      <c r="B140" s="3" t="s">
        <v>388</v>
      </c>
      <c r="C140" s="3"/>
      <c r="D140" s="26" t="s">
        <v>315</v>
      </c>
      <c r="E140" s="61">
        <f>Summary!E$405+Summary!E$740</f>
        <v>0</v>
      </c>
      <c r="F140" s="61">
        <f>Summary!F$405+Summary!F$740</f>
        <v>0</v>
      </c>
      <c r="G140" s="61">
        <f>Summary!G$405+Summary!G$740</f>
        <v>0</v>
      </c>
      <c r="H140" s="61">
        <f>Summary!H$405+Summary!H$740</f>
        <v>0</v>
      </c>
      <c r="I140" s="61">
        <f>Summary!I$405+Summary!I$740</f>
        <v>0</v>
      </c>
      <c r="J140" s="61">
        <f>Summary!J$405+Summary!J$740</f>
        <v>0</v>
      </c>
      <c r="K140" s="61">
        <f>Summary!K$405+Summary!K$740</f>
        <v>0</v>
      </c>
      <c r="L140" s="61">
        <f>Summary!L$405+Summary!L$740</f>
        <v>0</v>
      </c>
      <c r="M140" s="61">
        <f>Summary!M$405+Summary!M$740</f>
        <v>0</v>
      </c>
      <c r="N140" s="61">
        <f>Summary!N$405+Summary!N$740</f>
        <v>0</v>
      </c>
      <c r="O140" s="61">
        <f>Summary!O$405+Summary!O$740</f>
        <v>0</v>
      </c>
      <c r="P140" s="61">
        <f>Summary!P$405+Summary!P$740</f>
        <v>0</v>
      </c>
      <c r="Q140" s="142">
        <f t="shared" si="31"/>
        <v>0</v>
      </c>
      <c r="R140" s="142" t="e">
        <f t="shared" si="30"/>
        <v>#DIV/0!</v>
      </c>
      <c r="S140" s="157"/>
      <c r="T140" s="40">
        <f t="shared" si="28"/>
        <v>0</v>
      </c>
    </row>
    <row r="141" spans="1:20" s="84" customFormat="1" ht="24.95" customHeight="1">
      <c r="A141" s="3"/>
      <c r="B141" s="3"/>
      <c r="C141" s="3"/>
      <c r="D141" s="19" t="s">
        <v>316</v>
      </c>
      <c r="E141" s="160">
        <f>SUM(E136:E140)</f>
        <v>0</v>
      </c>
      <c r="F141" s="160">
        <f t="shared" ref="F141:Q141" si="32">SUM(F136:F140)</f>
        <v>0</v>
      </c>
      <c r="G141" s="160">
        <f t="shared" si="32"/>
        <v>0</v>
      </c>
      <c r="H141" s="160">
        <f t="shared" si="32"/>
        <v>0</v>
      </c>
      <c r="I141" s="160">
        <f t="shared" si="32"/>
        <v>0</v>
      </c>
      <c r="J141" s="160">
        <f t="shared" si="32"/>
        <v>0</v>
      </c>
      <c r="K141" s="160">
        <f t="shared" si="32"/>
        <v>0</v>
      </c>
      <c r="L141" s="160">
        <f t="shared" si="32"/>
        <v>0</v>
      </c>
      <c r="M141" s="160">
        <f t="shared" si="32"/>
        <v>0</v>
      </c>
      <c r="N141" s="160">
        <f t="shared" si="32"/>
        <v>0</v>
      </c>
      <c r="O141" s="160">
        <f t="shared" si="32"/>
        <v>0</v>
      </c>
      <c r="P141" s="160">
        <f t="shared" si="32"/>
        <v>0</v>
      </c>
      <c r="Q141" s="160">
        <f t="shared" si="32"/>
        <v>0</v>
      </c>
      <c r="R141" s="142" t="e">
        <f t="shared" si="30"/>
        <v>#DIV/0!</v>
      </c>
      <c r="S141" s="157"/>
      <c r="T141" s="40">
        <f t="shared" si="28"/>
        <v>0</v>
      </c>
    </row>
    <row r="142" spans="1:20" s="84" customFormat="1" ht="24.95" customHeight="1">
      <c r="A142" s="3"/>
      <c r="B142" s="3"/>
      <c r="C142" s="3"/>
      <c r="D142" s="3"/>
      <c r="E142" s="3"/>
      <c r="F142" s="3"/>
      <c r="G142" s="3"/>
      <c r="H142" s="3"/>
      <c r="I142" s="3"/>
      <c r="J142" s="3"/>
      <c r="K142" s="3"/>
      <c r="L142" s="161"/>
      <c r="M142" s="161"/>
      <c r="S142" s="157"/>
      <c r="T142" s="40"/>
    </row>
    <row r="143" spans="1:20" s="84" customFormat="1" ht="24.95" customHeight="1">
      <c r="A143" s="3" t="s">
        <v>317</v>
      </c>
      <c r="B143" s="3" t="s">
        <v>388</v>
      </c>
      <c r="C143" s="3"/>
      <c r="D143" s="26" t="s">
        <v>318</v>
      </c>
      <c r="E143" s="61">
        <f>Summary!E$742+Summary!E$407</f>
        <v>0</v>
      </c>
      <c r="F143" s="61">
        <f>Summary!F$742+Summary!F$407</f>
        <v>0</v>
      </c>
      <c r="G143" s="61">
        <f>Summary!G$742+Summary!G$407</f>
        <v>0</v>
      </c>
      <c r="H143" s="61">
        <f>Summary!H$742+Summary!H$407</f>
        <v>0</v>
      </c>
      <c r="I143" s="61">
        <f>Summary!I$742+Summary!I$407</f>
        <v>0</v>
      </c>
      <c r="J143" s="61">
        <f>Summary!J$742+Summary!J$407</f>
        <v>0</v>
      </c>
      <c r="K143" s="61">
        <f>Summary!K$742+Summary!K$407</f>
        <v>0</v>
      </c>
      <c r="L143" s="61">
        <f>Summary!L$742+Summary!L$407</f>
        <v>0</v>
      </c>
      <c r="M143" s="61">
        <f>Summary!M$742+Summary!M$407</f>
        <v>0</v>
      </c>
      <c r="N143" s="61">
        <f>Summary!N$742+Summary!N$407</f>
        <v>0</v>
      </c>
      <c r="O143" s="61">
        <f>Summary!O$742+Summary!O$407</f>
        <v>0</v>
      </c>
      <c r="P143" s="61">
        <f>Summary!P$742+Summary!P$407</f>
        <v>0</v>
      </c>
      <c r="Q143" s="142">
        <f>SUM(E143:P143)</f>
        <v>0</v>
      </c>
      <c r="R143" s="142" t="e">
        <f t="shared" ref="R143:R151" si="33">Q143/$Q$117</f>
        <v>#DIV/0!</v>
      </c>
      <c r="S143" s="157"/>
      <c r="T143" s="40">
        <f t="shared" si="28"/>
        <v>0</v>
      </c>
    </row>
    <row r="144" spans="1:20" s="84" customFormat="1" ht="24.95" customHeight="1">
      <c r="A144" s="3" t="s">
        <v>319</v>
      </c>
      <c r="B144" s="3" t="s">
        <v>388</v>
      </c>
      <c r="C144" s="3"/>
      <c r="D144" s="26" t="s">
        <v>320</v>
      </c>
      <c r="E144" s="61">
        <f>Summary!E$743+Summary!E$408</f>
        <v>0</v>
      </c>
      <c r="F144" s="61">
        <f>Summary!F$743+Summary!F$408</f>
        <v>0</v>
      </c>
      <c r="G144" s="61">
        <f>Summary!G$743+Summary!G$408</f>
        <v>0</v>
      </c>
      <c r="H144" s="61">
        <f>Summary!H$743+Summary!H$408</f>
        <v>0</v>
      </c>
      <c r="I144" s="61">
        <f>Summary!I$743+Summary!I$408</f>
        <v>0</v>
      </c>
      <c r="J144" s="61">
        <f>Summary!J$743+Summary!J$408</f>
        <v>0</v>
      </c>
      <c r="K144" s="61">
        <f>Summary!K$743+Summary!K$408</f>
        <v>0</v>
      </c>
      <c r="L144" s="61">
        <f>Summary!L$743+Summary!L$408</f>
        <v>0</v>
      </c>
      <c r="M144" s="61">
        <f>Summary!M$743+Summary!M$408</f>
        <v>0</v>
      </c>
      <c r="N144" s="61">
        <f>Summary!N$743+Summary!N$408</f>
        <v>0</v>
      </c>
      <c r="O144" s="61">
        <f>Summary!O$743+Summary!O$408</f>
        <v>0</v>
      </c>
      <c r="P144" s="61">
        <f>Summary!P$743+Summary!P$408</f>
        <v>0</v>
      </c>
      <c r="Q144" s="142">
        <f t="shared" ref="Q144:Q150" si="34">SUM(E144:P144)</f>
        <v>0</v>
      </c>
      <c r="R144" s="142" t="e">
        <f t="shared" si="33"/>
        <v>#DIV/0!</v>
      </c>
      <c r="S144" s="157"/>
      <c r="T144" s="40">
        <f t="shared" si="28"/>
        <v>0</v>
      </c>
    </row>
    <row r="145" spans="1:20" s="84" customFormat="1" ht="24.95" customHeight="1">
      <c r="A145" s="3" t="s">
        <v>321</v>
      </c>
      <c r="B145" s="3" t="s">
        <v>388</v>
      </c>
      <c r="C145" s="3"/>
      <c r="D145" s="26" t="s">
        <v>322</v>
      </c>
      <c r="E145" s="61">
        <f>Summary!E$744+Summary!E$409</f>
        <v>0</v>
      </c>
      <c r="F145" s="61">
        <f>Summary!F$744+Summary!F$409</f>
        <v>0</v>
      </c>
      <c r="G145" s="61">
        <f>Summary!G$744+Summary!G$409</f>
        <v>0</v>
      </c>
      <c r="H145" s="61">
        <f>Summary!H$744+Summary!H$409</f>
        <v>0</v>
      </c>
      <c r="I145" s="61">
        <f>Summary!I$744+Summary!I$409</f>
        <v>0</v>
      </c>
      <c r="J145" s="61">
        <f>Summary!J$744+Summary!J$409</f>
        <v>0</v>
      </c>
      <c r="K145" s="61">
        <f>Summary!K$744+Summary!K$409</f>
        <v>0</v>
      </c>
      <c r="L145" s="61">
        <f>Summary!L$744+Summary!L$409</f>
        <v>0</v>
      </c>
      <c r="M145" s="61">
        <f>Summary!M$744+Summary!M$409</f>
        <v>0</v>
      </c>
      <c r="N145" s="61">
        <f>Summary!N$744+Summary!N$409</f>
        <v>0</v>
      </c>
      <c r="O145" s="61">
        <f>Summary!O$744+Summary!O$409</f>
        <v>0</v>
      </c>
      <c r="P145" s="61">
        <f>Summary!P$744+Summary!P$409</f>
        <v>0</v>
      </c>
      <c r="Q145" s="142">
        <f t="shared" si="34"/>
        <v>0</v>
      </c>
      <c r="R145" s="142" t="e">
        <f t="shared" si="33"/>
        <v>#DIV/0!</v>
      </c>
      <c r="S145" s="157"/>
      <c r="T145" s="40">
        <f t="shared" si="28"/>
        <v>0</v>
      </c>
    </row>
    <row r="146" spans="1:20" s="84" customFormat="1" ht="24.95" customHeight="1">
      <c r="A146" s="3" t="s">
        <v>323</v>
      </c>
      <c r="B146" s="3" t="s">
        <v>388</v>
      </c>
      <c r="C146" s="3"/>
      <c r="D146" s="26" t="s">
        <v>324</v>
      </c>
      <c r="E146" s="61">
        <f>Summary!E$745+Summary!E$410</f>
        <v>0</v>
      </c>
      <c r="F146" s="61">
        <f>Summary!F$745+Summary!F$410</f>
        <v>0</v>
      </c>
      <c r="G146" s="61">
        <f>Summary!G$745+Summary!G$410</f>
        <v>0</v>
      </c>
      <c r="H146" s="61">
        <f>Summary!H$745+Summary!H$410</f>
        <v>0</v>
      </c>
      <c r="I146" s="61">
        <f>Summary!I$745+Summary!I$410</f>
        <v>0</v>
      </c>
      <c r="J146" s="61">
        <f>Summary!J$745+Summary!J$410</f>
        <v>0</v>
      </c>
      <c r="K146" s="61">
        <f>Summary!K$745+Summary!K$410</f>
        <v>0</v>
      </c>
      <c r="L146" s="61">
        <f>Summary!L$745+Summary!L$410</f>
        <v>0</v>
      </c>
      <c r="M146" s="61">
        <f>Summary!M$745+Summary!M$410</f>
        <v>0</v>
      </c>
      <c r="N146" s="61">
        <f>Summary!N$745+Summary!N$410</f>
        <v>0</v>
      </c>
      <c r="O146" s="61">
        <f>Summary!O$745+Summary!O$410</f>
        <v>0</v>
      </c>
      <c r="P146" s="61">
        <f>Summary!P$745+Summary!P$410</f>
        <v>0</v>
      </c>
      <c r="Q146" s="142">
        <f t="shared" si="34"/>
        <v>0</v>
      </c>
      <c r="R146" s="142" t="e">
        <f t="shared" si="33"/>
        <v>#DIV/0!</v>
      </c>
      <c r="S146" s="157"/>
      <c r="T146" s="40">
        <f t="shared" si="28"/>
        <v>0</v>
      </c>
    </row>
    <row r="147" spans="1:20" s="84" customFormat="1" ht="24.95" customHeight="1">
      <c r="A147" s="3" t="s">
        <v>325</v>
      </c>
      <c r="B147" s="3" t="s">
        <v>388</v>
      </c>
      <c r="C147" s="3"/>
      <c r="D147" s="26" t="s">
        <v>326</v>
      </c>
      <c r="E147" s="61">
        <f>Summary!E$746+Summary!E$411</f>
        <v>0</v>
      </c>
      <c r="F147" s="61">
        <f>Summary!F$746+Summary!F$411</f>
        <v>0</v>
      </c>
      <c r="G147" s="61">
        <f>Summary!G$746+Summary!G$411</f>
        <v>0</v>
      </c>
      <c r="H147" s="61">
        <f>Summary!H$746+Summary!H$411</f>
        <v>0</v>
      </c>
      <c r="I147" s="61">
        <f>Summary!I$746+Summary!I$411</f>
        <v>0</v>
      </c>
      <c r="J147" s="61">
        <f>Summary!J$746+Summary!J$411</f>
        <v>0</v>
      </c>
      <c r="K147" s="61">
        <f>Summary!K$746+Summary!K$411</f>
        <v>0</v>
      </c>
      <c r="L147" s="61">
        <f>Summary!L$746+Summary!L$411</f>
        <v>0</v>
      </c>
      <c r="M147" s="61">
        <f>Summary!M$746+Summary!M$411</f>
        <v>0</v>
      </c>
      <c r="N147" s="61">
        <f>Summary!N$746+Summary!N$411</f>
        <v>0</v>
      </c>
      <c r="O147" s="61">
        <f>Summary!O$746+Summary!O$411</f>
        <v>0</v>
      </c>
      <c r="P147" s="61">
        <f>Summary!P$746+Summary!P$411</f>
        <v>0</v>
      </c>
      <c r="Q147" s="142">
        <f t="shared" si="34"/>
        <v>0</v>
      </c>
      <c r="R147" s="142" t="e">
        <f t="shared" si="33"/>
        <v>#DIV/0!</v>
      </c>
      <c r="S147" s="157"/>
      <c r="T147" s="40">
        <f t="shared" si="28"/>
        <v>0</v>
      </c>
    </row>
    <row r="148" spans="1:20" s="84" customFormat="1" ht="24.95" customHeight="1">
      <c r="A148" s="3" t="s">
        <v>327</v>
      </c>
      <c r="B148" s="3" t="s">
        <v>388</v>
      </c>
      <c r="C148" s="3"/>
      <c r="D148" s="26" t="s">
        <v>328</v>
      </c>
      <c r="E148" s="61">
        <f>Summary!E$747+Summary!E$412</f>
        <v>0</v>
      </c>
      <c r="F148" s="61">
        <f>Summary!F$747+Summary!F$412</f>
        <v>0</v>
      </c>
      <c r="G148" s="61">
        <f>Summary!G$747+Summary!G$412</f>
        <v>0</v>
      </c>
      <c r="H148" s="61">
        <f>Summary!H$747+Summary!H$412</f>
        <v>0</v>
      </c>
      <c r="I148" s="61">
        <f>Summary!I$747+Summary!I$412</f>
        <v>0</v>
      </c>
      <c r="J148" s="61">
        <f>Summary!J$747+Summary!J$412</f>
        <v>0</v>
      </c>
      <c r="K148" s="61">
        <f>Summary!K$747+Summary!K$412</f>
        <v>0</v>
      </c>
      <c r="L148" s="61">
        <f>Summary!L$747+Summary!L$412</f>
        <v>0</v>
      </c>
      <c r="M148" s="61">
        <f>Summary!M$747+Summary!M$412</f>
        <v>0</v>
      </c>
      <c r="N148" s="61">
        <f>Summary!N$747+Summary!N$412</f>
        <v>0</v>
      </c>
      <c r="O148" s="61">
        <f>Summary!O$747+Summary!O$412</f>
        <v>0</v>
      </c>
      <c r="P148" s="61">
        <f>Summary!P$747+Summary!P$412</f>
        <v>0</v>
      </c>
      <c r="Q148" s="142">
        <f t="shared" si="34"/>
        <v>0</v>
      </c>
      <c r="R148" s="142" t="e">
        <f t="shared" si="33"/>
        <v>#DIV/0!</v>
      </c>
      <c r="S148" s="157"/>
      <c r="T148" s="40">
        <f t="shared" si="28"/>
        <v>0</v>
      </c>
    </row>
    <row r="149" spans="1:20" s="84" customFormat="1" ht="24.95" customHeight="1">
      <c r="A149" s="3" t="s">
        <v>329</v>
      </c>
      <c r="B149" s="3" t="s">
        <v>415</v>
      </c>
      <c r="C149" s="3"/>
      <c r="D149" s="26" t="s">
        <v>330</v>
      </c>
      <c r="E149" s="61">
        <v>0</v>
      </c>
      <c r="F149" s="63">
        <v>0</v>
      </c>
      <c r="G149" s="63">
        <v>0</v>
      </c>
      <c r="H149" s="63">
        <v>0</v>
      </c>
      <c r="I149" s="63">
        <v>0</v>
      </c>
      <c r="J149" s="61">
        <v>0</v>
      </c>
      <c r="K149" s="61">
        <v>0</v>
      </c>
      <c r="L149" s="61">
        <v>0</v>
      </c>
      <c r="M149" s="61">
        <v>0</v>
      </c>
      <c r="N149" s="142">
        <v>0</v>
      </c>
      <c r="O149" s="142">
        <v>0</v>
      </c>
      <c r="P149" s="142">
        <v>0</v>
      </c>
      <c r="Q149" s="142">
        <f t="shared" si="34"/>
        <v>0</v>
      </c>
      <c r="R149" s="142" t="e">
        <f t="shared" si="33"/>
        <v>#DIV/0!</v>
      </c>
      <c r="S149" s="157"/>
      <c r="T149" s="40">
        <f t="shared" si="28"/>
        <v>0</v>
      </c>
    </row>
    <row r="150" spans="1:20" s="84" customFormat="1" ht="24.95" customHeight="1">
      <c r="A150" s="3" t="s">
        <v>331</v>
      </c>
      <c r="B150" s="3" t="s">
        <v>415</v>
      </c>
      <c r="C150" s="3"/>
      <c r="D150" s="26" t="s">
        <v>332</v>
      </c>
      <c r="E150" s="61">
        <v>0</v>
      </c>
      <c r="F150" s="63">
        <v>0</v>
      </c>
      <c r="G150" s="63">
        <v>0</v>
      </c>
      <c r="H150" s="63">
        <v>0</v>
      </c>
      <c r="I150" s="63">
        <v>0</v>
      </c>
      <c r="J150" s="61">
        <v>0</v>
      </c>
      <c r="K150" s="61">
        <v>0</v>
      </c>
      <c r="L150" s="61">
        <v>0</v>
      </c>
      <c r="M150" s="61">
        <v>0</v>
      </c>
      <c r="N150" s="142">
        <v>0</v>
      </c>
      <c r="O150" s="142">
        <v>0</v>
      </c>
      <c r="P150" s="142">
        <v>0</v>
      </c>
      <c r="Q150" s="142">
        <f t="shared" si="34"/>
        <v>0</v>
      </c>
      <c r="R150" s="142" t="e">
        <f t="shared" si="33"/>
        <v>#DIV/0!</v>
      </c>
      <c r="S150" s="157"/>
      <c r="T150" s="40">
        <f t="shared" si="28"/>
        <v>0</v>
      </c>
    </row>
    <row r="151" spans="1:20" s="84" customFormat="1" ht="24.95" customHeight="1">
      <c r="A151" s="3"/>
      <c r="B151" s="3"/>
      <c r="C151" s="3"/>
      <c r="D151" s="19" t="s">
        <v>333</v>
      </c>
      <c r="E151" s="160">
        <f>SUM(E143:E150)</f>
        <v>0</v>
      </c>
      <c r="F151" s="160">
        <f>SUM(F143:F150)</f>
        <v>0</v>
      </c>
      <c r="G151" s="160">
        <f t="shared" ref="G151:Q151" si="35">SUM(G143:G150)</f>
        <v>0</v>
      </c>
      <c r="H151" s="160">
        <f t="shared" si="35"/>
        <v>0</v>
      </c>
      <c r="I151" s="160">
        <f t="shared" si="35"/>
        <v>0</v>
      </c>
      <c r="J151" s="160">
        <f t="shared" si="35"/>
        <v>0</v>
      </c>
      <c r="K151" s="160">
        <f t="shared" si="35"/>
        <v>0</v>
      </c>
      <c r="L151" s="160">
        <f t="shared" si="35"/>
        <v>0</v>
      </c>
      <c r="M151" s="160">
        <f t="shared" si="35"/>
        <v>0</v>
      </c>
      <c r="N151" s="160">
        <f t="shared" si="35"/>
        <v>0</v>
      </c>
      <c r="O151" s="160">
        <f t="shared" si="35"/>
        <v>0</v>
      </c>
      <c r="P151" s="160">
        <f t="shared" si="35"/>
        <v>0</v>
      </c>
      <c r="Q151" s="160">
        <f t="shared" si="35"/>
        <v>0</v>
      </c>
      <c r="R151" s="142" t="e">
        <f t="shared" si="33"/>
        <v>#DIV/0!</v>
      </c>
      <c r="S151" s="157"/>
      <c r="T151" s="40">
        <f t="shared" si="28"/>
        <v>0</v>
      </c>
    </row>
    <row r="152" spans="1:20" s="84" customFormat="1" ht="24.95" customHeight="1">
      <c r="A152" s="3"/>
      <c r="B152" s="3"/>
      <c r="C152" s="3"/>
      <c r="D152" s="3"/>
      <c r="E152" s="3"/>
      <c r="F152" s="3"/>
      <c r="G152" s="3"/>
      <c r="H152" s="3"/>
      <c r="I152" s="3"/>
      <c r="J152" s="3"/>
      <c r="K152" s="3"/>
      <c r="L152" s="161"/>
      <c r="M152" s="161"/>
      <c r="S152" s="157"/>
      <c r="T152" s="40"/>
    </row>
    <row r="153" spans="1:20" s="84" customFormat="1" ht="24.95" hidden="1" customHeight="1">
      <c r="A153" s="3" t="s">
        <v>334</v>
      </c>
      <c r="B153" s="3" t="s">
        <v>415</v>
      </c>
      <c r="C153" s="3"/>
      <c r="D153" s="26" t="s">
        <v>335</v>
      </c>
      <c r="E153" s="61">
        <v>0</v>
      </c>
      <c r="F153" s="63">
        <v>0</v>
      </c>
      <c r="G153" s="63">
        <v>0</v>
      </c>
      <c r="H153" s="63">
        <v>0</v>
      </c>
      <c r="I153" s="63">
        <v>0</v>
      </c>
      <c r="J153" s="61">
        <v>0</v>
      </c>
      <c r="K153" s="61">
        <v>0</v>
      </c>
      <c r="L153" s="61">
        <v>0</v>
      </c>
      <c r="M153" s="61">
        <v>0</v>
      </c>
      <c r="N153" s="142">
        <v>0</v>
      </c>
      <c r="O153" s="142">
        <v>0</v>
      </c>
      <c r="P153" s="142">
        <v>0</v>
      </c>
      <c r="Q153" s="142">
        <f>SUM(E153:P153)</f>
        <v>0</v>
      </c>
      <c r="R153" s="142"/>
      <c r="S153" s="157"/>
      <c r="T153" s="40">
        <f t="shared" si="28"/>
        <v>0</v>
      </c>
    </row>
    <row r="154" spans="1:20" s="84" customFormat="1" ht="24.95" hidden="1" customHeight="1">
      <c r="A154" s="3" t="s">
        <v>336</v>
      </c>
      <c r="B154" s="3" t="s">
        <v>415</v>
      </c>
      <c r="C154" s="3"/>
      <c r="D154" s="3" t="s">
        <v>337</v>
      </c>
      <c r="E154" s="61">
        <v>0</v>
      </c>
      <c r="F154" s="63">
        <v>0</v>
      </c>
      <c r="G154" s="63">
        <v>0</v>
      </c>
      <c r="H154" s="63">
        <v>0</v>
      </c>
      <c r="I154" s="63">
        <v>0</v>
      </c>
      <c r="J154" s="61">
        <v>0</v>
      </c>
      <c r="K154" s="61">
        <v>0</v>
      </c>
      <c r="L154" s="61">
        <v>0</v>
      </c>
      <c r="M154" s="61">
        <v>0</v>
      </c>
      <c r="N154" s="142">
        <v>0</v>
      </c>
      <c r="O154" s="142">
        <v>0</v>
      </c>
      <c r="P154" s="142">
        <v>0</v>
      </c>
      <c r="Q154" s="142">
        <f t="shared" ref="Q154:Q159" si="36">SUM(E154:P154)</f>
        <v>0</v>
      </c>
      <c r="R154" s="142"/>
      <c r="S154" s="157"/>
      <c r="T154" s="40">
        <f t="shared" si="28"/>
        <v>0</v>
      </c>
    </row>
    <row r="155" spans="1:20" s="84" customFormat="1" ht="24.95" hidden="1" customHeight="1">
      <c r="A155" s="3" t="s">
        <v>338</v>
      </c>
      <c r="B155" s="3" t="s">
        <v>415</v>
      </c>
      <c r="C155" s="3"/>
      <c r="D155" s="26" t="s">
        <v>339</v>
      </c>
      <c r="E155" s="61">
        <v>0</v>
      </c>
      <c r="F155" s="63">
        <v>0</v>
      </c>
      <c r="G155" s="63">
        <v>0</v>
      </c>
      <c r="H155" s="63">
        <v>0</v>
      </c>
      <c r="I155" s="63">
        <v>0</v>
      </c>
      <c r="J155" s="61">
        <v>0</v>
      </c>
      <c r="K155" s="61">
        <v>0</v>
      </c>
      <c r="L155" s="61">
        <v>0</v>
      </c>
      <c r="M155" s="61">
        <v>0</v>
      </c>
      <c r="N155" s="142">
        <v>0</v>
      </c>
      <c r="O155" s="142">
        <v>0</v>
      </c>
      <c r="P155" s="142">
        <v>0</v>
      </c>
      <c r="Q155" s="142">
        <f t="shared" si="36"/>
        <v>0</v>
      </c>
      <c r="R155" s="142"/>
      <c r="S155" s="157"/>
      <c r="T155" s="40">
        <f t="shared" si="28"/>
        <v>0</v>
      </c>
    </row>
    <row r="156" spans="1:20" s="84" customFormat="1" ht="24.95" hidden="1" customHeight="1">
      <c r="A156" s="3" t="s">
        <v>340</v>
      </c>
      <c r="B156" s="3" t="s">
        <v>415</v>
      </c>
      <c r="C156" s="3"/>
      <c r="D156" s="26" t="s">
        <v>341</v>
      </c>
      <c r="E156" s="61">
        <v>0</v>
      </c>
      <c r="F156" s="63">
        <v>0</v>
      </c>
      <c r="G156" s="63">
        <v>0</v>
      </c>
      <c r="H156" s="63">
        <v>0</v>
      </c>
      <c r="I156" s="63">
        <v>0</v>
      </c>
      <c r="J156" s="61">
        <v>0</v>
      </c>
      <c r="K156" s="61">
        <v>0</v>
      </c>
      <c r="L156" s="61">
        <v>0</v>
      </c>
      <c r="M156" s="61">
        <v>0</v>
      </c>
      <c r="N156" s="142">
        <v>0</v>
      </c>
      <c r="O156" s="142">
        <v>0</v>
      </c>
      <c r="P156" s="142">
        <v>0</v>
      </c>
      <c r="Q156" s="142">
        <f t="shared" si="36"/>
        <v>0</v>
      </c>
      <c r="R156" s="142"/>
      <c r="S156" s="157"/>
      <c r="T156" s="40">
        <f t="shared" si="28"/>
        <v>0</v>
      </c>
    </row>
    <row r="157" spans="1:20" s="84" customFormat="1" ht="24.95" customHeight="1">
      <c r="A157" s="3" t="s">
        <v>342</v>
      </c>
      <c r="B157" s="3" t="s">
        <v>388</v>
      </c>
      <c r="C157" s="3"/>
      <c r="D157" s="26" t="s">
        <v>343</v>
      </c>
      <c r="E157" s="61">
        <f>Summary!E$414+Summary!E$749</f>
        <v>0</v>
      </c>
      <c r="F157" s="61">
        <f>Summary!F$414+Summary!F$749</f>
        <v>0</v>
      </c>
      <c r="G157" s="61">
        <f>Summary!G$414+Summary!G$749</f>
        <v>0</v>
      </c>
      <c r="H157" s="61">
        <f>Summary!H$414+Summary!H$749</f>
        <v>0</v>
      </c>
      <c r="I157" s="61">
        <f>Summary!I$414+Summary!I$749</f>
        <v>0</v>
      </c>
      <c r="J157" s="61">
        <f>Summary!J$414+Summary!J$749</f>
        <v>0</v>
      </c>
      <c r="K157" s="61">
        <f>Summary!K$414+Summary!K$749</f>
        <v>0</v>
      </c>
      <c r="L157" s="61">
        <f>Summary!L$414+Summary!L$749</f>
        <v>0</v>
      </c>
      <c r="M157" s="61">
        <f>Summary!M$414+Summary!M$749</f>
        <v>0</v>
      </c>
      <c r="N157" s="61">
        <f>Summary!N$414+Summary!N$749</f>
        <v>0</v>
      </c>
      <c r="O157" s="61">
        <f>Summary!O$414+Summary!O$749</f>
        <v>0</v>
      </c>
      <c r="P157" s="61">
        <f>Summary!P$414+Summary!P$749</f>
        <v>0</v>
      </c>
      <c r="Q157" s="142">
        <f t="shared" si="36"/>
        <v>0</v>
      </c>
      <c r="R157" s="142" t="e">
        <f>Q157/$Q$117</f>
        <v>#DIV/0!</v>
      </c>
      <c r="S157" s="157"/>
      <c r="T157" s="40">
        <f t="shared" si="28"/>
        <v>0</v>
      </c>
    </row>
    <row r="158" spans="1:20" s="84" customFormat="1" ht="24.95" customHeight="1">
      <c r="A158" s="3" t="s">
        <v>344</v>
      </c>
      <c r="B158" s="3" t="s">
        <v>388</v>
      </c>
      <c r="C158" s="3"/>
      <c r="D158" s="26" t="s">
        <v>345</v>
      </c>
      <c r="E158" s="61">
        <f>Summary!E$415+Summary!E$750</f>
        <v>0</v>
      </c>
      <c r="F158" s="61">
        <f>Summary!F$415+Summary!F$750</f>
        <v>0</v>
      </c>
      <c r="G158" s="61">
        <f>Summary!G$415+Summary!G$750</f>
        <v>0</v>
      </c>
      <c r="H158" s="61">
        <f>Summary!H$415+Summary!H$750</f>
        <v>0</v>
      </c>
      <c r="I158" s="61">
        <f>Summary!I$415+Summary!I$750</f>
        <v>0</v>
      </c>
      <c r="J158" s="61">
        <f>Summary!J$415+Summary!J$750</f>
        <v>0</v>
      </c>
      <c r="K158" s="61">
        <f>Summary!K$415+Summary!K$750</f>
        <v>0</v>
      </c>
      <c r="L158" s="61">
        <f>Summary!L$415+Summary!L$750</f>
        <v>0</v>
      </c>
      <c r="M158" s="61">
        <f>Summary!M$415+Summary!M$750</f>
        <v>0</v>
      </c>
      <c r="N158" s="61">
        <f>Summary!N$415+Summary!N$750</f>
        <v>0</v>
      </c>
      <c r="O158" s="61">
        <f>Summary!O$415+Summary!O$750</f>
        <v>0</v>
      </c>
      <c r="P158" s="61">
        <f>Summary!P$415+Summary!P$750</f>
        <v>0</v>
      </c>
      <c r="Q158" s="142">
        <f t="shared" si="36"/>
        <v>0</v>
      </c>
      <c r="R158" s="142" t="e">
        <f>Q158/$Q$117</f>
        <v>#DIV/0!</v>
      </c>
      <c r="S158" s="157"/>
      <c r="T158" s="40">
        <f t="shared" si="28"/>
        <v>0</v>
      </c>
    </row>
    <row r="159" spans="1:20" s="84" customFormat="1" ht="24.95" customHeight="1">
      <c r="A159" s="3" t="s">
        <v>346</v>
      </c>
      <c r="B159" s="3" t="s">
        <v>388</v>
      </c>
      <c r="C159" s="3"/>
      <c r="D159" s="26" t="s">
        <v>347</v>
      </c>
      <c r="E159" s="61">
        <f>Summary!E$416+Summary!E$751</f>
        <v>0</v>
      </c>
      <c r="F159" s="61">
        <f>Summary!F$416+Summary!F$751</f>
        <v>0</v>
      </c>
      <c r="G159" s="61">
        <f>Summary!G$416+Summary!G$751</f>
        <v>0</v>
      </c>
      <c r="H159" s="61">
        <f>Summary!H$416+Summary!H$751</f>
        <v>0</v>
      </c>
      <c r="I159" s="61">
        <f>Summary!I$416+Summary!I$751</f>
        <v>0</v>
      </c>
      <c r="J159" s="61">
        <f>Summary!J$416+Summary!J$751</f>
        <v>0</v>
      </c>
      <c r="K159" s="61">
        <f>Summary!K$416+Summary!K$751</f>
        <v>0</v>
      </c>
      <c r="L159" s="61">
        <f>Summary!L$416+Summary!L$751</f>
        <v>0</v>
      </c>
      <c r="M159" s="61">
        <f>Summary!M$416+Summary!M$751</f>
        <v>0</v>
      </c>
      <c r="N159" s="61">
        <f>Summary!N$416+Summary!N$751</f>
        <v>0</v>
      </c>
      <c r="O159" s="61">
        <f>Summary!O$416+Summary!O$751</f>
        <v>0</v>
      </c>
      <c r="P159" s="61">
        <f>Summary!P$416+Summary!P$751</f>
        <v>0</v>
      </c>
      <c r="Q159" s="142">
        <f t="shared" si="36"/>
        <v>0</v>
      </c>
      <c r="R159" s="142" t="e">
        <f>Q159/$Q$117</f>
        <v>#DIV/0!</v>
      </c>
      <c r="S159" s="157"/>
      <c r="T159" s="40">
        <f t="shared" si="28"/>
        <v>0</v>
      </c>
    </row>
    <row r="160" spans="1:20" s="84" customFormat="1" ht="24.95" customHeight="1">
      <c r="A160" s="3"/>
      <c r="B160" s="3"/>
      <c r="C160" s="3"/>
      <c r="D160" s="19" t="s">
        <v>348</v>
      </c>
      <c r="E160" s="160">
        <f>SUM(E153:E159)</f>
        <v>0</v>
      </c>
      <c r="F160" s="160">
        <f t="shared" ref="F160:Q160" si="37">SUM(F153:F159)</f>
        <v>0</v>
      </c>
      <c r="G160" s="160">
        <f t="shared" si="37"/>
        <v>0</v>
      </c>
      <c r="H160" s="160">
        <f t="shared" si="37"/>
        <v>0</v>
      </c>
      <c r="I160" s="160">
        <f t="shared" si="37"/>
        <v>0</v>
      </c>
      <c r="J160" s="160">
        <f t="shared" si="37"/>
        <v>0</v>
      </c>
      <c r="K160" s="160">
        <f t="shared" si="37"/>
        <v>0</v>
      </c>
      <c r="L160" s="160">
        <f t="shared" si="37"/>
        <v>0</v>
      </c>
      <c r="M160" s="160">
        <f t="shared" si="37"/>
        <v>0</v>
      </c>
      <c r="N160" s="160">
        <f t="shared" si="37"/>
        <v>0</v>
      </c>
      <c r="O160" s="160">
        <f t="shared" si="37"/>
        <v>0</v>
      </c>
      <c r="P160" s="160">
        <f t="shared" si="37"/>
        <v>0</v>
      </c>
      <c r="Q160" s="160">
        <f t="shared" si="37"/>
        <v>0</v>
      </c>
      <c r="R160" s="142" t="e">
        <f>Q160/$Q$117</f>
        <v>#DIV/0!</v>
      </c>
      <c r="S160" s="157"/>
      <c r="T160" s="40">
        <f t="shared" si="28"/>
        <v>0</v>
      </c>
    </row>
    <row r="161" spans="1:20" s="84" customFormat="1" ht="24.95" customHeight="1">
      <c r="A161" s="3"/>
      <c r="B161" s="3"/>
      <c r="C161" s="3"/>
      <c r="D161" s="19" t="s">
        <v>349</v>
      </c>
      <c r="E161" s="160">
        <f>E134+E141+E151+E160</f>
        <v>0</v>
      </c>
      <c r="F161" s="160">
        <f t="shared" ref="F161:Q161" si="38">F134+F141+F151+F160</f>
        <v>0</v>
      </c>
      <c r="G161" s="160">
        <f t="shared" si="38"/>
        <v>0</v>
      </c>
      <c r="H161" s="160">
        <f t="shared" si="38"/>
        <v>0</v>
      </c>
      <c r="I161" s="160">
        <f t="shared" si="38"/>
        <v>0</v>
      </c>
      <c r="J161" s="160">
        <f t="shared" si="38"/>
        <v>0</v>
      </c>
      <c r="K161" s="160">
        <f t="shared" si="38"/>
        <v>0</v>
      </c>
      <c r="L161" s="160">
        <f t="shared" si="38"/>
        <v>0</v>
      </c>
      <c r="M161" s="160">
        <f t="shared" si="38"/>
        <v>0</v>
      </c>
      <c r="N161" s="160">
        <f t="shared" si="38"/>
        <v>0</v>
      </c>
      <c r="O161" s="160">
        <f t="shared" si="38"/>
        <v>0</v>
      </c>
      <c r="P161" s="160">
        <f t="shared" si="38"/>
        <v>0</v>
      </c>
      <c r="Q161" s="160">
        <f t="shared" si="38"/>
        <v>0</v>
      </c>
      <c r="R161" s="142" t="e">
        <f>Q161/$Q$117</f>
        <v>#DIV/0!</v>
      </c>
      <c r="S161" s="157"/>
      <c r="T161" s="40">
        <f t="shared" si="28"/>
        <v>0</v>
      </c>
    </row>
    <row r="162" spans="1:20" s="42" customFormat="1" ht="24.95" customHeight="1">
      <c r="L162" s="161"/>
      <c r="S162" s="157"/>
      <c r="T162" s="40"/>
    </row>
    <row r="163" spans="1:20" s="84" customFormat="1" ht="24.95" customHeight="1">
      <c r="A163" s="3" t="s">
        <v>105</v>
      </c>
      <c r="B163" s="3" t="s">
        <v>388</v>
      </c>
      <c r="C163" s="3"/>
      <c r="D163" s="19" t="s">
        <v>352</v>
      </c>
      <c r="E163" s="68">
        <f>Summary!E$724+Summary!E$389</f>
        <v>0</v>
      </c>
      <c r="F163" s="68">
        <f>Summary!F$724+Summary!F$389</f>
        <v>0</v>
      </c>
      <c r="G163" s="68">
        <f>Summary!G$724+Summary!G$389</f>
        <v>0</v>
      </c>
      <c r="H163" s="68">
        <f>Summary!H$724+Summary!H$389</f>
        <v>0</v>
      </c>
      <c r="I163" s="68">
        <f>Summary!I$724+Summary!I$389</f>
        <v>0</v>
      </c>
      <c r="J163" s="68">
        <f>Summary!J$724+Summary!J$389</f>
        <v>0</v>
      </c>
      <c r="K163" s="68">
        <f>Summary!K$724+Summary!K$389</f>
        <v>0</v>
      </c>
      <c r="L163" s="68">
        <f>Summary!L$724+Summary!L$389</f>
        <v>0</v>
      </c>
      <c r="M163" s="68">
        <f>Summary!M$724+Summary!M$389</f>
        <v>0</v>
      </c>
      <c r="N163" s="68">
        <f>Summary!N$724+Summary!N$389</f>
        <v>0</v>
      </c>
      <c r="O163" s="68">
        <f>Summary!O$724+Summary!O$389</f>
        <v>0</v>
      </c>
      <c r="P163" s="68">
        <f>Summary!P$724+Summary!P$389</f>
        <v>0</v>
      </c>
      <c r="Q163" s="166">
        <f>SUM(E163:P163)/12</f>
        <v>0</v>
      </c>
      <c r="R163" s="167"/>
      <c r="S163" s="157"/>
      <c r="T163" s="40">
        <f t="shared" si="28"/>
        <v>0</v>
      </c>
    </row>
  </sheetData>
  <phoneticPr fontId="57" type="noConversion"/>
  <dataValidations count="7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3695725_x000d__x000a_" sqref="Q15">
      <formula1>0</formula1>
      <formula2>300</formula2>
    </dataValidation>
    <dataValidation type="textLength" errorStyle="information" allowBlank="1" showInputMessage="1" showErrorMessage="1" error="XLBVal:6=44987.9_x000d__x000a_" sqref="E21:P21">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623590.56_x000d__x000a_" sqref="E14:P14">
      <formula1>0</formula1>
      <formula2>300</formula2>
    </dataValidation>
    <dataValidation type="textLength" errorStyle="information" allowBlank="1" showInputMessage="1" showErrorMessage="1" error="XLBVal:6=209604.31_x000d__x000a_" sqref="E27:M27">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6=132_x000d__x000a_" sqref="E163:P163">
      <formula1>0</formula1>
      <formula2>300</formula2>
    </dataValidation>
    <dataValidation type="textLength" errorStyle="information" allowBlank="1" showInputMessage="1" showErrorMessage="1" error="XLBVal:6=28034847_x000d__x000a_" sqref="Q14">
      <formula1>0</formula1>
      <formula2>300</formula2>
    </dataValidation>
    <dataValidation type="textLength" errorStyle="information" allowBlank="1" showInputMessage="1" showErrorMessage="1" error="XLBVal:6=116848_x000d__x000a_" sqref="Q62">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8814300_x000d__x000a_" sqref="Q16">
      <formula1>0</formula1>
      <formula2>300</formula2>
    </dataValidation>
    <dataValidation type="textLength" errorStyle="information" allowBlank="1" showInputMessage="1" showErrorMessage="1" error="XLBVal:5=2443234.73_x000d__x000a_" sqref="E29:E30 H29:H30">
      <formula1>0</formula1>
      <formula2>300</formula2>
    </dataValidation>
    <dataValidation type="textLength" errorStyle="information" allowBlank="1" showInputMessage="1" showErrorMessage="1" error="XLBVal:5=1285238.57_x000d__x000a_" sqref="F17:G17 I17:R17 E25:R25 E34:R34 R36 E17:E19 H17:H19">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error="XLBVal:6=7235.47_x000d__x000a_" sqref="E20:P20">
      <formula1>0</formula1>
      <formula2>300</formula2>
    </dataValidation>
    <dataValidation type="textLength" errorStyle="information" allowBlank="1" showInputMessage="1" showErrorMessage="1" error="XLBVal:6=24659.36_x000d__x000a_" sqref="E22:P22">
      <formula1>0</formula1>
      <formula2>300</formula2>
    </dataValidation>
    <dataValidation type="textLength" errorStyle="information" allowBlank="1" showInputMessage="1" showErrorMessage="1" error="XLBVal:6=398000_x000d__x000a_" sqref="Q23">
      <formula1>0</formula1>
      <formula2>300</formula2>
    </dataValidation>
    <dataValidation type="textLength" errorStyle="information" allowBlank="1" showInputMessage="1" showErrorMessage="1" error="XLBVal:6=976708_x000d__x000a_" sqref="Q32">
      <formula1>0</formula1>
      <formula2>300</formula2>
    </dataValidation>
    <dataValidation type="textLength" errorStyle="information" allowBlank="1" showInputMessage="1" showErrorMessage="1" error="XLBVal:6=527000_x000d__x000a_" sqref="Q24">
      <formula1>0</formula1>
      <formula2>300</formula2>
    </dataValidation>
    <dataValidation type="textLength" errorStyle="information" allowBlank="1" showInputMessage="1" showErrorMessage="1" error="XLBVal:6=514.58_x000d__x000a_" sqref="E26:P26 E106:P106">
      <formula1>0</formula1>
      <formula2>300</formula2>
    </dataValidation>
    <dataValidation type="textLength" errorStyle="information" allowBlank="1" showInputMessage="1" showErrorMessage="1" error="XLBVal:5=15426.66_x000d__x000a_" sqref="I35 I37:I38">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N27:P27 E33:Q33 E35:G35 Q66:R66 E96:R96 E97:P97 R97 E98:R98 E108:R108 E117:R117 E131:R131 R163 E39:E46 F37:F46 Q12:Q13 Q20:Q22 Q39:Q41 Q43:Q46 Q48:Q49 Q51:Q52 Q55:Q57 Q60:Q61 Q68:Q73 Q76:Q93 Q101:Q105 Q132:Q133 Q153:Q159 R12:R16 R20:R24 R26:R27 R31:R33 R39:R65 R67:R95 R99:R107 R132:R134 R136:R141 R143:R151 R153:R161 E136:P140 E49:P53 E15:P16 E23:P24 E115:P116 E149:P150 E99:P105 G39:P46 Q112:R116 E153:P156 E55:P93">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25196619_x000d__x000a_" sqref="Q31">
      <formula1>0</formula1>
      <formula2>300</formula2>
    </dataValidation>
    <dataValidation type="textLength" errorStyle="information" allowBlank="1" showInputMessage="1" showErrorMessage="1" error="XLBVal:6=21065.12_x000d__x000a_" sqref="E32:P32">
      <formula1>0</formula1>
      <formula2>300</formula2>
    </dataValidation>
    <dataValidation type="textLength" errorStyle="information" allowBlank="1" showInputMessage="1" showErrorMessage="1" error="XLBVal:6=519808_x000d__x000a_" sqref="Q75">
      <formula1>0</formula1>
      <formula2>300</formula2>
    </dataValidation>
    <dataValidation type="textLength" errorStyle="information" allowBlank="1" showInputMessage="1" showErrorMessage="1" error="XLBVal:5=0_x000d__x000a_" sqref="H35 F18:F19 F29:F30">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702600_x000d__x000a_" sqref="Q42">
      <formula1>0</formula1>
      <formula2>300</formula2>
    </dataValidation>
    <dataValidation type="textLength" errorStyle="information" allowBlank="1" showInputMessage="1" showErrorMessage="1" error="XLBVal:6=8712.94_x000d__x000a_" sqref="E95:P95">
      <formula1>0</formula1>
      <formula2>300</formula2>
    </dataValidation>
    <dataValidation type="textLength" errorStyle="information" allowBlank="1" showInputMessage="1" showErrorMessage="1" error="XLBVal:6=81123_x000d__x000a_" sqref="Q94">
      <formula1>0</formula1>
      <formula2>300</formula2>
    </dataValidation>
    <dataValidation type="textLength" errorStyle="information" allowBlank="1" showInputMessage="1" showErrorMessage="1" error="XLBVal:6=113580_x000d__x000a_" sqref="E47:P47">
      <formula1>0</formula1>
      <formula2>300</formula2>
    </dataValidation>
    <dataValidation type="textLength" errorStyle="information" allowBlank="1" showInputMessage="1" showErrorMessage="1" error="XLBVal:6=343809_x000d__x000a_" sqref="Q47">
      <formula1>0</formula1>
      <formula2>300</formula2>
    </dataValidation>
    <dataValidation type="textLength" errorStyle="information" allowBlank="1" showInputMessage="1" showErrorMessage="1" error="XLBVal:6=0_x000d__x000a_" sqref="E48:P48 E109:R109">
      <formula1>0</formula1>
      <formula2>300</formula2>
    </dataValidation>
    <dataValidation type="textLength" errorStyle="information" allowBlank="1" showInputMessage="1" showErrorMessage="1" error="XLBVal:6=38000_x000d__x000a_" sqref="Q50">
      <formula1>0</formula1>
      <formula2>300</formula2>
    </dataValidation>
    <dataValidation type="textLength" errorStyle="information" allowBlank="1" showInputMessage="1" showErrorMessage="1" error="XLBVal:6=15000_x000d__x000a_" sqref="Q63">
      <formula1>0</formula1>
      <formula2>300</formula2>
    </dataValidation>
    <dataValidation type="textLength" errorStyle="information" allowBlank="1" showInputMessage="1" showErrorMessage="1" error="XLBVal:6=21420_x000d__x000a_" sqref="Q53">
      <formula1>0</formula1>
      <formula2>300</formula2>
    </dataValidation>
    <dataValidation type="textLength" errorStyle="information" allowBlank="1" showInputMessage="1" showErrorMessage="1" error="XLBVal:6=699_x000d__x000a_" sqref="E114:P114">
      <formula1>0</formula1>
      <formula2>300</formula2>
    </dataValidation>
    <dataValidation type="textLength" errorStyle="information" allowBlank="1" showInputMessage="1" showErrorMessage="1" error="XLBVal:6=7331.48_x000d__x000a_" sqref="E54:P54">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error="XLBVal:6=881130_x000d__x000a_" sqref="Q54">
      <formula1>0</formula1>
      <formula2>300</formula2>
    </dataValidation>
    <dataValidation type="textLength" errorStyle="information" allowBlank="1" showInputMessage="1" showErrorMessage="1" error="XLBVal:6=214706_x000d__x000a_" sqref="Q58">
      <formula1>0</formula1>
      <formula2>300</formula2>
    </dataValidation>
    <dataValidation type="textLength" errorStyle="information" allowBlank="1" showInputMessage="1" showErrorMessage="1" error="XLBVal:6=931616_x000d__x000a_" sqref="Q59">
      <formula1>0</formula1>
      <formula2>300</formula2>
    </dataValidation>
    <dataValidation type="textLength" errorStyle="information" allowBlank="1" showInputMessage="1" showErrorMessage="1" error="XLBVal:6=27676_x000d__x000a_" sqref="Q64">
      <formula1>0</formula1>
      <formula2>300</formula2>
    </dataValidation>
    <dataValidation type="textLength" errorStyle="information" allowBlank="1" showInputMessage="1" showErrorMessage="1" error="XLBVal:6=129818_x000d__x000a_" sqref="Q65">
      <formula1>0</formula1>
      <formula2>300</formula2>
    </dataValidation>
    <dataValidation type="textLength" errorStyle="information" allowBlank="1" showInputMessage="1" showErrorMessage="1" error="XLBVal:6=1254.81_x000d__x000a_" sqref="E94:P94">
      <formula1>0</formula1>
      <formula2>300</formula2>
    </dataValidation>
    <dataValidation type="textLength" errorStyle="information" allowBlank="1" showInputMessage="1" showErrorMessage="1" error="XLBVal:6=331635_x000d__x000a_" sqref="Q67">
      <formula1>0</formula1>
      <formula2>300</formula2>
    </dataValidation>
    <dataValidation type="textLength" errorStyle="information" allowBlank="1" showInputMessage="1" showErrorMessage="1" error="XLBVal:6=3780_x000d__x000a_" sqref="Q163">
      <formula1>0</formula1>
      <formula2>300</formula2>
    </dataValidation>
    <dataValidation type="textLength" errorStyle="information" allowBlank="1" showInputMessage="1" showErrorMessage="1" error="XLBVal:6=280481_x000d__x000a_" sqref="Q74">
      <formula1>0</formula1>
      <formula2>300</formula2>
    </dataValidation>
    <dataValidation type="textLength" errorStyle="information" allowBlank="1" showInputMessage="1" showErrorMessage="1" error="XLBVal:6=323364_x000d__x000a_" sqref="Q95">
      <formula1>0</formula1>
      <formula2>300</formula2>
    </dataValidation>
    <dataValidation type="textLength" errorStyle="information" allowBlank="1" showInputMessage="1" showErrorMessage="1" error="XLBVal:6=3678_x000d__x000a_" sqref="E152:G152">
      <formula1>0</formula1>
      <formula2>300</formula2>
    </dataValidation>
    <dataValidation type="textLength" errorStyle="information" allowBlank="1" showInputMessage="1" showErrorMessage="1" error="XLBVal:6=50429_x000d__x000a_" sqref="Q97">
      <formula1>0</formula1>
      <formula2>300</formula2>
    </dataValidation>
    <dataValidation type="textLength" errorStyle="information" allowBlank="1" showInputMessage="1" showErrorMessage="1" error="XLBVal:6=94314_x000d__x000a_" sqref="Q99">
      <formula1>0</formula1>
      <formula2>300</formula2>
    </dataValidation>
    <dataValidation type="textLength" errorStyle="information" allowBlank="1" showInputMessage="1" showErrorMessage="1" error="XLBVal:6=18000_x000d__x000a_" sqref="Q100">
      <formula1>0</formula1>
      <formula2>300</formula2>
    </dataValidation>
    <dataValidation type="textLength" errorStyle="information" allowBlank="1" showInputMessage="1" showErrorMessage="1" error="XLBVal:6=108592.14_x000d__x000a_" sqref="E107:P107">
      <formula1>0</formula1>
      <formula2>300</formula2>
    </dataValidation>
    <dataValidation type="textLength" errorStyle="information" allowBlank="1" showInputMessage="1" showErrorMessage="1" sqref="E118:I118 F126:I126 F127:R127 H135:I135 H142:I142 H152:I152 E162:I162 E120:E130 F128:I130 F120:R125">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6688509.16_x000d__x000a_" sqref="E37:E38">
      <formula1>0</formula1>
      <formula2>300</formula2>
    </dataValidation>
    <dataValidation type="textLength" errorStyle="information" allowBlank="1" showInputMessage="1" showErrorMessage="1" error="XLBVal:5=1616616_x000d__x000a_" sqref="G18:G19">
      <formula1>0</formula1>
      <formula2>300</formula2>
    </dataValidation>
    <dataValidation type="textLength" errorStyle="information" allowBlank="1" showInputMessage="1" showErrorMessage="1" error="XLBVal:5=3384188.86_x000d__x000a_" sqref="G29:G30">
      <formula1>0</formula1>
      <formula2>300</formula2>
    </dataValidation>
    <dataValidation type="textLength" errorStyle="information" allowBlank="1" showInputMessage="1" showErrorMessage="1" error="XLBVal:6=6595485.04_x000d__x000a_" sqref="G37:G38">
      <formula1>0</formula1>
      <formula2>300</formula2>
    </dataValidation>
    <dataValidation type="textLength" errorStyle="information" allowBlank="1" showInputMessage="1" showErrorMessage="1" error="XLBVal:5=-2586288.67_x000d__x000a_" sqref="H37:H38">
      <formula1>0</formula1>
      <formula2>300</formula2>
    </dataValidation>
    <dataValidation type="textLength" errorStyle="information" allowBlank="1" showInputMessage="1" showErrorMessage="1" error="XLBVal:5=-331377.43_x000d__x000a_" sqref="I18:I19">
      <formula1>0</formula1>
      <formula2>300</formula2>
    </dataValidation>
    <dataValidation type="textLength" errorStyle="information" allowBlank="1" showInputMessage="1" showErrorMessage="1" error="XLBVal:5=-279047.98_x000d__x000a_" sqref="I29:I30">
      <formula1>0</formula1>
      <formula2>300</formula2>
    </dataValidation>
    <dataValidation type="textLength" errorStyle="information" allowBlank="1" showInputMessage="1" showErrorMessage="1" error="XLBVal:6=311395_x000d__x000a_" sqref="Q106:Q107">
      <formula1>0</formula1>
      <formula2>300</formula2>
    </dataValidation>
    <dataValidation type="textLength" errorStyle="information" allowBlank="1" showInputMessage="1" showErrorMessage="1" error="XLBVal:6=995082_x000d__x000a_" sqref="Q136:Q140">
      <formula1>0</formula1>
      <formula2>300</formula2>
    </dataValidation>
    <dataValidation type="textLength" errorStyle="information" allowBlank="1" showInputMessage="1" showErrorMessage="1" error="XLBVal:6=2660698_x000d__x000a_" sqref="Q143:Q150">
      <formula1>0</formula1>
      <formula2>300</formula2>
    </dataValidation>
    <dataValidation type="textLength" errorStyle="information" allowBlank="1" showInputMessage="1" showErrorMessage="1" error="XLBVal:6=21902.24_x000d__x000a_" sqref="E157:P159">
      <formula1>0</formula1>
      <formula2>300</formula2>
    </dataValidation>
    <dataValidation type="textLength" errorStyle="information" allowBlank="1" showInputMessage="1" showErrorMessage="1" error="XLBVal:6=82302.23_x000d__x000a_" sqref="E143:P148">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00B050"/>
    <pageSetUpPr fitToPage="1"/>
  </sheetPr>
  <dimension ref="A1:T165"/>
  <sheetViews>
    <sheetView zoomScale="50" zoomScaleNormal="50" zoomScaleSheetLayoutView="40" workbookViewId="0">
      <pane xSplit="4" ySplit="10" topLeftCell="E11" activePane="bottomRight" state="frozen"/>
      <selection activeCell="D1" sqref="D1"/>
      <selection pane="topRight" activeCell="E1" sqref="E1"/>
      <selection pane="bottomLeft" activeCell="D11" sqref="D11"/>
      <selection pane="bottomRight" activeCell="S105" sqref="S105"/>
    </sheetView>
  </sheetViews>
  <sheetFormatPr defaultColWidth="8.875" defaultRowHeight="26.25" customHeight="1" outlineLevelRow="1" outlineLevelCol="1"/>
  <cols>
    <col min="1" max="1" width="20.5" style="5" hidden="1" customWidth="1" outlineLevel="1"/>
    <col min="2" max="3" width="15.5" style="5" hidden="1" customWidth="1" outlineLevel="1"/>
    <col min="4" max="4" width="67.875" style="6" customWidth="1" collapsed="1"/>
    <col min="5" max="9" width="21" style="7" customWidth="1"/>
    <col min="10" max="11" width="21" style="148" customWidth="1"/>
    <col min="12" max="12" width="21" style="5" customWidth="1"/>
    <col min="13" max="16" width="21" style="148" customWidth="1"/>
    <col min="17" max="17" width="23.5" style="148" customWidth="1"/>
    <col min="18" max="18" width="14.875" style="148" customWidth="1"/>
    <col min="19" max="20" width="20.875" style="397" customWidth="1"/>
    <col min="21" max="21" width="19.875" style="148" customWidth="1"/>
    <col min="22" max="16384" width="8.875" style="148"/>
  </cols>
  <sheetData>
    <row r="1" spans="1:20" s="1" customFormat="1" ht="15" customHeight="1" outlineLevel="1">
      <c r="E1" s="9"/>
      <c r="F1" s="9"/>
      <c r="G1" s="9"/>
      <c r="H1" s="9"/>
      <c r="I1" s="9"/>
      <c r="J1" s="9"/>
      <c r="K1" s="9"/>
      <c r="L1" s="9"/>
      <c r="M1" s="9"/>
      <c r="N1" s="9"/>
      <c r="O1" s="9"/>
      <c r="P1" s="9"/>
      <c r="Q1" s="9"/>
      <c r="R1" s="9"/>
      <c r="S1" s="337"/>
      <c r="T1" s="337"/>
    </row>
    <row r="2" spans="1:20" s="1" customFormat="1" ht="15" customHeight="1" outlineLevel="1">
      <c r="E2" s="9"/>
      <c r="F2" s="9"/>
      <c r="G2" s="9"/>
      <c r="H2" s="9"/>
      <c r="I2" s="9"/>
      <c r="J2" s="9"/>
      <c r="K2" s="9"/>
      <c r="L2" s="9"/>
      <c r="M2" s="9"/>
      <c r="N2" s="9"/>
      <c r="O2" s="9"/>
      <c r="P2" s="9"/>
      <c r="Q2" s="9"/>
      <c r="R2" s="9"/>
      <c r="S2" s="337"/>
      <c r="T2" s="337"/>
    </row>
    <row r="3" spans="1:20" s="1" customFormat="1" ht="15" customHeight="1" outlineLevel="1">
      <c r="E3" s="9"/>
      <c r="F3" s="9"/>
      <c r="G3" s="9"/>
      <c r="H3" s="9"/>
      <c r="I3" s="9"/>
      <c r="J3" s="9"/>
      <c r="K3" s="9"/>
      <c r="L3" s="9"/>
      <c r="M3" s="9"/>
      <c r="N3" s="9"/>
      <c r="O3" s="9"/>
      <c r="P3" s="9"/>
      <c r="Q3" s="9"/>
      <c r="R3" s="9"/>
      <c r="S3" s="337"/>
      <c r="T3" s="337"/>
    </row>
    <row r="4" spans="1:20" s="147" customFormat="1" ht="24.95" customHeight="1">
      <c r="D4" s="10" t="str">
        <f>[6]Summary!$D$4</f>
        <v>Hotel Budget Report</v>
      </c>
      <c r="E4" s="150"/>
      <c r="F4" s="150"/>
      <c r="G4" s="151"/>
      <c r="H4" s="152"/>
      <c r="I4" s="152"/>
      <c r="L4" s="2"/>
      <c r="S4" s="396"/>
      <c r="T4" s="396"/>
    </row>
    <row r="5" spans="1:20" s="147" customFormat="1" ht="24.95" customHeight="1">
      <c r="D5" s="10" t="str">
        <f>[6]Summary!$D$5</f>
        <v>酒店预算报表</v>
      </c>
      <c r="E5" s="150"/>
      <c r="F5" s="150"/>
      <c r="G5" s="151"/>
      <c r="H5" s="152"/>
      <c r="I5" s="152"/>
      <c r="L5" s="2"/>
      <c r="S5" s="396"/>
      <c r="T5" s="396"/>
    </row>
    <row r="6" spans="1:20" s="147" customFormat="1" ht="24.95" customHeight="1">
      <c r="D6" s="10" t="s">
        <v>478</v>
      </c>
      <c r="E6" s="152"/>
      <c r="F6" s="152"/>
      <c r="G6" s="152"/>
      <c r="H6" s="152"/>
      <c r="I6" s="152"/>
      <c r="L6" s="2"/>
      <c r="S6" s="396"/>
      <c r="T6" s="396"/>
    </row>
    <row r="7" spans="1:20" s="147" customFormat="1" ht="24.95" customHeight="1">
      <c r="D7" s="15" t="s">
        <v>1185</v>
      </c>
      <c r="E7" s="152"/>
      <c r="F7" s="152"/>
      <c r="G7" s="152"/>
      <c r="H7" s="152"/>
      <c r="I7" s="152"/>
      <c r="L7" s="2"/>
      <c r="S7" s="396"/>
      <c r="T7" s="39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2025</v>
      </c>
      <c r="R9" s="18"/>
      <c r="S9" s="314"/>
      <c r="T9" s="314"/>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98"/>
      <c r="T10" s="394"/>
    </row>
    <row r="11" spans="1:20" s="84" customFormat="1" ht="24.95" customHeight="1">
      <c r="A11" s="3"/>
      <c r="B11" s="3"/>
      <c r="C11" s="3"/>
      <c r="D11" s="21" t="s">
        <v>378</v>
      </c>
      <c r="E11" s="76"/>
      <c r="F11" s="76"/>
      <c r="G11" s="76"/>
      <c r="H11" s="77"/>
      <c r="I11" s="77"/>
      <c r="J11" s="3"/>
      <c r="K11" s="155"/>
      <c r="L11" s="155"/>
      <c r="M11" s="155"/>
      <c r="S11" s="314"/>
      <c r="T11" s="314"/>
    </row>
    <row r="12" spans="1:20" s="84" customFormat="1" ht="24.95" customHeight="1">
      <c r="A12" s="50" t="s">
        <v>452</v>
      </c>
      <c r="B12" s="3" t="s">
        <v>380</v>
      </c>
      <c r="C12" s="3"/>
      <c r="D12" s="26" t="s">
        <v>453</v>
      </c>
      <c r="E12" s="27">
        <v>123360</v>
      </c>
      <c r="F12" s="27">
        <v>112320</v>
      </c>
      <c r="G12" s="27">
        <v>150480</v>
      </c>
      <c r="H12" s="27">
        <v>172080</v>
      </c>
      <c r="I12" s="27">
        <v>177840</v>
      </c>
      <c r="J12" s="27">
        <v>164880</v>
      </c>
      <c r="K12" s="27">
        <v>188880</v>
      </c>
      <c r="L12" s="27">
        <v>191280</v>
      </c>
      <c r="M12" s="27">
        <v>193680</v>
      </c>
      <c r="N12" s="27">
        <v>197280</v>
      </c>
      <c r="O12" s="27">
        <v>188880</v>
      </c>
      <c r="P12" s="27">
        <v>179280</v>
      </c>
      <c r="Q12" s="155">
        <f>SUM(E12:P12)</f>
        <v>2040240</v>
      </c>
      <c r="R12" s="155">
        <f>Q12/Q17</f>
        <v>0.38708796108326343</v>
      </c>
      <c r="S12" s="314"/>
      <c r="T12" s="314"/>
    </row>
    <row r="13" spans="1:20" s="84" customFormat="1" ht="24.95" customHeight="1">
      <c r="A13" s="50" t="s">
        <v>454</v>
      </c>
      <c r="B13" s="3" t="s">
        <v>380</v>
      </c>
      <c r="C13" s="3"/>
      <c r="D13" s="26" t="s">
        <v>455</v>
      </c>
      <c r="E13" s="27">
        <v>90000</v>
      </c>
      <c r="F13" s="27">
        <v>70000</v>
      </c>
      <c r="G13" s="27">
        <v>90000</v>
      </c>
      <c r="H13" s="27">
        <v>95000</v>
      </c>
      <c r="I13" s="27">
        <v>110000</v>
      </c>
      <c r="J13" s="27">
        <v>90000</v>
      </c>
      <c r="K13" s="27">
        <v>90000</v>
      </c>
      <c r="L13" s="27">
        <v>90000</v>
      </c>
      <c r="M13" s="27">
        <v>90000</v>
      </c>
      <c r="N13" s="27">
        <v>100000</v>
      </c>
      <c r="O13" s="27">
        <v>90000</v>
      </c>
      <c r="P13" s="27">
        <v>90000</v>
      </c>
      <c r="Q13" s="142">
        <f>SUM(E13:P13)</f>
        <v>1095000</v>
      </c>
      <c r="R13" s="142"/>
      <c r="S13" s="314"/>
      <c r="T13" s="314"/>
    </row>
    <row r="14" spans="1:20" s="84" customFormat="1" ht="24.95" customHeight="1">
      <c r="A14" s="50" t="s">
        <v>456</v>
      </c>
      <c r="B14" s="3" t="s">
        <v>380</v>
      </c>
      <c r="C14" s="3"/>
      <c r="D14" s="26" t="s">
        <v>457</v>
      </c>
      <c r="E14" s="27">
        <v>180000</v>
      </c>
      <c r="F14" s="27">
        <v>120000</v>
      </c>
      <c r="G14" s="27">
        <v>125000</v>
      </c>
      <c r="H14" s="27">
        <v>160000</v>
      </c>
      <c r="I14" s="27">
        <v>190000</v>
      </c>
      <c r="J14" s="27">
        <v>175000</v>
      </c>
      <c r="K14" s="27">
        <v>175000</v>
      </c>
      <c r="L14" s="27">
        <v>175000</v>
      </c>
      <c r="M14" s="27">
        <v>185000</v>
      </c>
      <c r="N14" s="27">
        <v>200000</v>
      </c>
      <c r="O14" s="27">
        <v>190000</v>
      </c>
      <c r="P14" s="27">
        <v>200000</v>
      </c>
      <c r="Q14" s="142">
        <f>SUM(E14:P14)</f>
        <v>2075000</v>
      </c>
      <c r="R14" s="142"/>
      <c r="S14" s="314"/>
      <c r="T14" s="314"/>
    </row>
    <row r="15" spans="1:20" s="84" customFormat="1" ht="24.95" customHeight="1">
      <c r="A15" s="50" t="s">
        <v>458</v>
      </c>
      <c r="B15" s="3" t="s">
        <v>380</v>
      </c>
      <c r="C15" s="3"/>
      <c r="D15" s="26" t="s">
        <v>459</v>
      </c>
      <c r="E15" s="27">
        <v>3500</v>
      </c>
      <c r="F15" s="27">
        <v>2000</v>
      </c>
      <c r="G15" s="27">
        <v>2000</v>
      </c>
      <c r="H15" s="27">
        <v>4000</v>
      </c>
      <c r="I15" s="27">
        <v>6000</v>
      </c>
      <c r="J15" s="27">
        <v>5000</v>
      </c>
      <c r="K15" s="27">
        <v>6000</v>
      </c>
      <c r="L15" s="27">
        <v>6000</v>
      </c>
      <c r="M15" s="27">
        <v>6000</v>
      </c>
      <c r="N15" s="27">
        <v>8000</v>
      </c>
      <c r="O15" s="27">
        <v>6000</v>
      </c>
      <c r="P15" s="27">
        <v>6000</v>
      </c>
      <c r="Q15" s="142">
        <f>SUM(E15:P15)</f>
        <v>60500</v>
      </c>
      <c r="R15" s="142"/>
      <c r="S15" s="314"/>
      <c r="T15" s="314"/>
    </row>
    <row r="16" spans="1:20" s="84" customFormat="1" ht="24.95" customHeight="1">
      <c r="A16" s="50" t="s">
        <v>460</v>
      </c>
      <c r="B16" s="3" t="s">
        <v>380</v>
      </c>
      <c r="C16" s="3"/>
      <c r="D16" s="26" t="s">
        <v>461</v>
      </c>
      <c r="E16" s="27"/>
      <c r="F16" s="27"/>
      <c r="G16" s="27"/>
      <c r="H16" s="27"/>
      <c r="I16" s="27"/>
      <c r="J16" s="27"/>
      <c r="K16" s="27"/>
      <c r="L16" s="27"/>
      <c r="M16" s="27"/>
      <c r="N16" s="27"/>
      <c r="O16" s="27"/>
      <c r="P16" s="27"/>
      <c r="Q16" s="142">
        <f>SUM(E16:P16)</f>
        <v>0</v>
      </c>
      <c r="R16" s="142"/>
      <c r="S16" s="314"/>
      <c r="T16" s="314"/>
    </row>
    <row r="17" spans="1:20" s="84" customFormat="1" ht="24.95" customHeight="1">
      <c r="A17" s="3"/>
      <c r="B17" s="3"/>
      <c r="C17" s="3"/>
      <c r="D17" s="21" t="s">
        <v>409</v>
      </c>
      <c r="E17" s="45">
        <f>SUM(E12:E16)</f>
        <v>396860</v>
      </c>
      <c r="F17" s="45">
        <f t="shared" ref="F17:P17" si="0">SUM(F12:F16)</f>
        <v>304320</v>
      </c>
      <c r="G17" s="45">
        <f t="shared" si="0"/>
        <v>367480</v>
      </c>
      <c r="H17" s="45">
        <f t="shared" si="0"/>
        <v>431080</v>
      </c>
      <c r="I17" s="45">
        <f t="shared" si="0"/>
        <v>483840</v>
      </c>
      <c r="J17" s="45">
        <f t="shared" si="0"/>
        <v>434880</v>
      </c>
      <c r="K17" s="45">
        <f t="shared" si="0"/>
        <v>459880</v>
      </c>
      <c r="L17" s="45">
        <f t="shared" si="0"/>
        <v>462280</v>
      </c>
      <c r="M17" s="45">
        <f t="shared" si="0"/>
        <v>474680</v>
      </c>
      <c r="N17" s="45">
        <f t="shared" si="0"/>
        <v>505280</v>
      </c>
      <c r="O17" s="45">
        <f t="shared" si="0"/>
        <v>474880</v>
      </c>
      <c r="P17" s="45">
        <f t="shared" si="0"/>
        <v>475280</v>
      </c>
      <c r="Q17" s="310">
        <f>SUM(Q12:Q16)</f>
        <v>5270740</v>
      </c>
      <c r="R17" s="45"/>
      <c r="S17" s="314"/>
      <c r="T17" s="314"/>
    </row>
    <row r="18" spans="1:20" s="84" customFormat="1" ht="24.95" customHeight="1">
      <c r="A18" s="3"/>
      <c r="B18" s="3"/>
      <c r="C18" s="3"/>
      <c r="D18" s="26"/>
      <c r="E18" s="113"/>
      <c r="F18" s="113"/>
      <c r="G18" s="113"/>
      <c r="H18" s="113"/>
      <c r="I18" s="113"/>
      <c r="J18" s="113"/>
      <c r="K18" s="113"/>
      <c r="L18" s="113"/>
      <c r="M18" s="113"/>
      <c r="N18" s="113"/>
      <c r="O18" s="113"/>
      <c r="P18" s="113"/>
      <c r="S18" s="314"/>
      <c r="T18" s="314"/>
    </row>
    <row r="19" spans="1:20" s="84" customFormat="1" ht="24.95" customHeight="1">
      <c r="A19" s="3"/>
      <c r="B19" s="3"/>
      <c r="C19" s="3"/>
      <c r="D19" s="21" t="s">
        <v>410</v>
      </c>
      <c r="E19" s="113"/>
      <c r="F19" s="113"/>
      <c r="G19" s="113"/>
      <c r="H19" s="113"/>
      <c r="I19" s="113"/>
      <c r="J19" s="113"/>
      <c r="K19" s="113"/>
      <c r="L19" s="113"/>
      <c r="M19" s="113"/>
      <c r="N19" s="113"/>
      <c r="O19" s="113"/>
      <c r="P19" s="113"/>
      <c r="S19" s="314"/>
      <c r="T19" s="314"/>
    </row>
    <row r="20" spans="1:20" s="84" customFormat="1" ht="24.95" customHeight="1">
      <c r="A20" s="50" t="s">
        <v>462</v>
      </c>
      <c r="B20" s="3" t="s">
        <v>380</v>
      </c>
      <c r="C20" s="3"/>
      <c r="D20" s="26" t="s">
        <v>453</v>
      </c>
      <c r="E20" s="27"/>
      <c r="F20" s="27"/>
      <c r="G20" s="27"/>
      <c r="H20" s="27"/>
      <c r="I20" s="27"/>
      <c r="J20" s="27"/>
      <c r="K20" s="27"/>
      <c r="L20" s="27"/>
      <c r="M20" s="27"/>
      <c r="N20" s="27"/>
      <c r="O20" s="27"/>
      <c r="P20" s="27"/>
      <c r="Q20" s="142">
        <f>SUM(E20:P20)</f>
        <v>0</v>
      </c>
      <c r="R20" s="142"/>
      <c r="S20" s="314"/>
      <c r="T20" s="314"/>
    </row>
    <row r="21" spans="1:20" s="84" customFormat="1" ht="24.95" customHeight="1">
      <c r="A21" s="50" t="s">
        <v>463</v>
      </c>
      <c r="B21" s="3" t="s">
        <v>380</v>
      </c>
      <c r="C21" s="3"/>
      <c r="D21" s="26" t="s">
        <v>455</v>
      </c>
      <c r="E21" s="27">
        <v>500</v>
      </c>
      <c r="F21" s="27">
        <v>500</v>
      </c>
      <c r="G21" s="27">
        <v>500</v>
      </c>
      <c r="H21" s="27">
        <v>500</v>
      </c>
      <c r="I21" s="27">
        <v>1000</v>
      </c>
      <c r="J21" s="27">
        <v>800</v>
      </c>
      <c r="K21" s="27">
        <v>800</v>
      </c>
      <c r="L21" s="27">
        <v>800</v>
      </c>
      <c r="M21" s="27">
        <v>800</v>
      </c>
      <c r="N21" s="27">
        <v>1500</v>
      </c>
      <c r="O21" s="27">
        <v>800</v>
      </c>
      <c r="P21" s="27">
        <v>800</v>
      </c>
      <c r="Q21" s="142">
        <f t="shared" ref="Q21:Q24" si="1">SUM(E21:P21)</f>
        <v>9300</v>
      </c>
      <c r="R21" s="142"/>
      <c r="S21" s="314"/>
      <c r="T21" s="314"/>
    </row>
    <row r="22" spans="1:20" s="84" customFormat="1" ht="24.95" customHeight="1">
      <c r="A22" s="50" t="s">
        <v>464</v>
      </c>
      <c r="B22" s="3" t="s">
        <v>380</v>
      </c>
      <c r="C22" s="3"/>
      <c r="D22" s="26" t="s">
        <v>457</v>
      </c>
      <c r="E22" s="27">
        <v>3000</v>
      </c>
      <c r="F22" s="27">
        <v>1000</v>
      </c>
      <c r="G22" s="27">
        <v>3000</v>
      </c>
      <c r="H22" s="27">
        <v>4000</v>
      </c>
      <c r="I22" s="27">
        <v>6000</v>
      </c>
      <c r="J22" s="27">
        <v>5000</v>
      </c>
      <c r="K22" s="27">
        <v>5000</v>
      </c>
      <c r="L22" s="27">
        <v>5000</v>
      </c>
      <c r="M22" s="27">
        <v>5000</v>
      </c>
      <c r="N22" s="27">
        <v>8000</v>
      </c>
      <c r="O22" s="27">
        <v>5000</v>
      </c>
      <c r="P22" s="27">
        <v>6000</v>
      </c>
      <c r="Q22" s="142">
        <f t="shared" si="1"/>
        <v>56000</v>
      </c>
      <c r="R22" s="142"/>
      <c r="S22" s="314"/>
      <c r="T22" s="314"/>
    </row>
    <row r="23" spans="1:20" s="84" customFormat="1" ht="24.95" customHeight="1">
      <c r="A23" s="50" t="s">
        <v>465</v>
      </c>
      <c r="B23" s="3" t="s">
        <v>380</v>
      </c>
      <c r="C23" s="3"/>
      <c r="D23" s="26" t="s">
        <v>459</v>
      </c>
      <c r="E23" s="27"/>
      <c r="F23" s="27"/>
      <c r="G23" s="27"/>
      <c r="H23" s="27"/>
      <c r="I23" s="27"/>
      <c r="J23" s="27"/>
      <c r="K23" s="27"/>
      <c r="L23" s="27"/>
      <c r="M23" s="27"/>
      <c r="N23" s="27"/>
      <c r="O23" s="27"/>
      <c r="P23" s="27"/>
      <c r="Q23" s="142">
        <f t="shared" si="1"/>
        <v>0</v>
      </c>
      <c r="R23" s="142"/>
      <c r="S23" s="314"/>
      <c r="T23" s="314"/>
    </row>
    <row r="24" spans="1:20" s="84" customFormat="1" ht="24.95" customHeight="1">
      <c r="A24" s="50" t="s">
        <v>466</v>
      </c>
      <c r="B24" s="3" t="s">
        <v>380</v>
      </c>
      <c r="C24" s="3"/>
      <c r="D24" s="26" t="s">
        <v>461</v>
      </c>
      <c r="E24" s="27"/>
      <c r="F24" s="27"/>
      <c r="G24" s="27"/>
      <c r="H24" s="27"/>
      <c r="I24" s="27"/>
      <c r="J24" s="27"/>
      <c r="K24" s="27"/>
      <c r="L24" s="27"/>
      <c r="M24" s="27"/>
      <c r="N24" s="27"/>
      <c r="O24" s="27"/>
      <c r="P24" s="27"/>
      <c r="Q24" s="142">
        <f t="shared" si="1"/>
        <v>0</v>
      </c>
      <c r="R24" s="142"/>
      <c r="S24" s="314"/>
      <c r="T24" s="314"/>
    </row>
    <row r="25" spans="1:20" s="84" customFormat="1" ht="24.95" customHeight="1">
      <c r="A25" s="3"/>
      <c r="B25" s="3"/>
      <c r="C25" s="3"/>
      <c r="D25" s="21" t="s">
        <v>413</v>
      </c>
      <c r="E25" s="45">
        <f>SUM(E20:E24)</f>
        <v>3500</v>
      </c>
      <c r="F25" s="45">
        <f>SUM(F20:F24)</f>
        <v>1500</v>
      </c>
      <c r="G25" s="45">
        <f t="shared" ref="G25:Q25" si="2">SUM(G20:G24)</f>
        <v>3500</v>
      </c>
      <c r="H25" s="45">
        <f t="shared" si="2"/>
        <v>4500</v>
      </c>
      <c r="I25" s="45">
        <f t="shared" si="2"/>
        <v>7000</v>
      </c>
      <c r="J25" s="45">
        <f t="shared" si="2"/>
        <v>5800</v>
      </c>
      <c r="K25" s="45">
        <f t="shared" si="2"/>
        <v>5800</v>
      </c>
      <c r="L25" s="45">
        <f t="shared" si="2"/>
        <v>5800</v>
      </c>
      <c r="M25" s="45">
        <f t="shared" si="2"/>
        <v>5800</v>
      </c>
      <c r="N25" s="45">
        <f t="shared" si="2"/>
        <v>9500</v>
      </c>
      <c r="O25" s="45">
        <f t="shared" si="2"/>
        <v>5800</v>
      </c>
      <c r="P25" s="45">
        <f t="shared" si="2"/>
        <v>6800</v>
      </c>
      <c r="Q25" s="310">
        <f t="shared" si="2"/>
        <v>65300</v>
      </c>
      <c r="R25" s="45"/>
      <c r="S25" s="314"/>
      <c r="T25" s="314"/>
    </row>
    <row r="26" spans="1:20" s="84" customFormat="1" ht="24.95" customHeight="1">
      <c r="A26" s="50" t="s">
        <v>419</v>
      </c>
      <c r="B26" s="3" t="s">
        <v>380</v>
      </c>
      <c r="C26" s="3"/>
      <c r="D26" s="26" t="s">
        <v>420</v>
      </c>
      <c r="E26" s="63">
        <v>60000</v>
      </c>
      <c r="F26" s="63"/>
      <c r="G26" s="63"/>
      <c r="H26" s="63"/>
      <c r="I26" s="63">
        <v>150000</v>
      </c>
      <c r="J26" s="63"/>
      <c r="K26" s="63"/>
      <c r="L26" s="63"/>
      <c r="M26" s="27"/>
      <c r="N26" s="27">
        <v>250000</v>
      </c>
      <c r="O26" s="27"/>
      <c r="P26" s="27"/>
      <c r="Q26" s="142">
        <f>SUM(E26:P26)</f>
        <v>460000</v>
      </c>
      <c r="R26" s="142"/>
      <c r="S26" s="314"/>
      <c r="T26" s="314"/>
    </row>
    <row r="27" spans="1:20" s="84" customFormat="1" ht="24.95" customHeight="1">
      <c r="A27" s="50" t="s">
        <v>126</v>
      </c>
      <c r="B27" s="3" t="s">
        <v>380</v>
      </c>
      <c r="C27" s="3"/>
      <c r="D27" s="26" t="s">
        <v>421</v>
      </c>
      <c r="E27" s="63">
        <f>ROUND(E12*0.1,2)</f>
        <v>12336</v>
      </c>
      <c r="F27" s="63">
        <f t="shared" ref="F27:P27" si="3">ROUND(F12*0.1,2)</f>
        <v>11232</v>
      </c>
      <c r="G27" s="63">
        <f t="shared" si="3"/>
        <v>15048</v>
      </c>
      <c r="H27" s="63">
        <f t="shared" si="3"/>
        <v>17208</v>
      </c>
      <c r="I27" s="63">
        <f t="shared" si="3"/>
        <v>17784</v>
      </c>
      <c r="J27" s="63">
        <f t="shared" si="3"/>
        <v>16488</v>
      </c>
      <c r="K27" s="63">
        <f t="shared" si="3"/>
        <v>18888</v>
      </c>
      <c r="L27" s="63">
        <f t="shared" si="3"/>
        <v>19128</v>
      </c>
      <c r="M27" s="63">
        <f t="shared" si="3"/>
        <v>19368</v>
      </c>
      <c r="N27" s="63">
        <f t="shared" si="3"/>
        <v>19728</v>
      </c>
      <c r="O27" s="63">
        <f t="shared" si="3"/>
        <v>18888</v>
      </c>
      <c r="P27" s="63">
        <f t="shared" si="3"/>
        <v>17928</v>
      </c>
      <c r="Q27" s="142">
        <f>SUM(E27:P27)</f>
        <v>204024</v>
      </c>
      <c r="R27" s="142"/>
      <c r="S27" s="314"/>
      <c r="T27" s="314"/>
    </row>
    <row r="28" spans="1:20" s="84" customFormat="1" ht="24.95" customHeight="1">
      <c r="A28" s="50"/>
      <c r="B28" s="3"/>
      <c r="C28" s="3"/>
      <c r="D28" s="21" t="s">
        <v>422</v>
      </c>
      <c r="E28" s="45">
        <f>E17+E25+E26+E27</f>
        <v>472696</v>
      </c>
      <c r="F28" s="45">
        <f t="shared" ref="F28:Q28" si="4">F17+F25+F26+F27</f>
        <v>317052</v>
      </c>
      <c r="G28" s="45">
        <f t="shared" si="4"/>
        <v>386028</v>
      </c>
      <c r="H28" s="45">
        <f t="shared" si="4"/>
        <v>452788</v>
      </c>
      <c r="I28" s="45">
        <f t="shared" si="4"/>
        <v>658624</v>
      </c>
      <c r="J28" s="45">
        <f t="shared" si="4"/>
        <v>457168</v>
      </c>
      <c r="K28" s="45">
        <f t="shared" si="4"/>
        <v>484568</v>
      </c>
      <c r="L28" s="45">
        <f t="shared" si="4"/>
        <v>487208</v>
      </c>
      <c r="M28" s="45">
        <f t="shared" si="4"/>
        <v>499848</v>
      </c>
      <c r="N28" s="45">
        <f t="shared" si="4"/>
        <v>784508</v>
      </c>
      <c r="O28" s="45">
        <f t="shared" si="4"/>
        <v>499568</v>
      </c>
      <c r="P28" s="45">
        <f t="shared" si="4"/>
        <v>500008</v>
      </c>
      <c r="Q28" s="310">
        <f t="shared" si="4"/>
        <v>6000064</v>
      </c>
      <c r="R28" s="45"/>
      <c r="S28" s="314"/>
      <c r="T28" s="314"/>
    </row>
    <row r="29" spans="1:20" s="84" customFormat="1" ht="24.95" customHeight="1">
      <c r="A29" s="50"/>
      <c r="B29" s="3"/>
      <c r="C29" s="3"/>
      <c r="D29" s="26"/>
      <c r="E29" s="63"/>
      <c r="F29" s="63"/>
      <c r="G29" s="63"/>
      <c r="H29" s="63"/>
      <c r="I29" s="63"/>
      <c r="J29" s="63"/>
      <c r="K29" s="63"/>
      <c r="L29" s="63"/>
      <c r="S29" s="314"/>
      <c r="T29" s="314"/>
    </row>
    <row r="30" spans="1:20" s="84" customFormat="1" ht="24.95" customHeight="1">
      <c r="A30" s="50"/>
      <c r="B30" s="3"/>
      <c r="C30" s="3"/>
      <c r="D30" s="21" t="s">
        <v>423</v>
      </c>
      <c r="E30" s="63"/>
      <c r="F30" s="63"/>
      <c r="G30" s="63"/>
      <c r="H30" s="63"/>
      <c r="I30" s="63"/>
      <c r="J30" s="63"/>
      <c r="K30" s="63"/>
      <c r="L30" s="63"/>
      <c r="S30" s="314"/>
      <c r="T30" s="314"/>
    </row>
    <row r="31" spans="1:20" s="84" customFormat="1" ht="24.95" customHeight="1">
      <c r="A31" s="50" t="s">
        <v>424</v>
      </c>
      <c r="B31" s="3" t="s">
        <v>380</v>
      </c>
      <c r="C31" s="3"/>
      <c r="D31" s="26" t="s">
        <v>425</v>
      </c>
      <c r="E31" s="63">
        <f>ROUND(E17*41%,2)</f>
        <v>162712.6</v>
      </c>
      <c r="F31" s="63">
        <f t="shared" ref="F31:P31" si="5">ROUND(F17*41%,2)</f>
        <v>124771.2</v>
      </c>
      <c r="G31" s="63">
        <f t="shared" si="5"/>
        <v>150666.79999999999</v>
      </c>
      <c r="H31" s="63">
        <f t="shared" si="5"/>
        <v>176742.8</v>
      </c>
      <c r="I31" s="63">
        <f t="shared" si="5"/>
        <v>198374.39999999999</v>
      </c>
      <c r="J31" s="63">
        <f t="shared" si="5"/>
        <v>178300.79999999999</v>
      </c>
      <c r="K31" s="63">
        <f t="shared" si="5"/>
        <v>188550.8</v>
      </c>
      <c r="L31" s="63">
        <f t="shared" si="5"/>
        <v>189534.8</v>
      </c>
      <c r="M31" s="63">
        <f t="shared" si="5"/>
        <v>194618.8</v>
      </c>
      <c r="N31" s="63">
        <f t="shared" si="5"/>
        <v>207164.79999999999</v>
      </c>
      <c r="O31" s="63">
        <f t="shared" si="5"/>
        <v>194700.79999999999</v>
      </c>
      <c r="P31" s="63">
        <f t="shared" si="5"/>
        <v>194864.8</v>
      </c>
      <c r="Q31" s="142">
        <f>SUM(E31:P31)</f>
        <v>2161003.4</v>
      </c>
      <c r="R31" s="168">
        <f>Q31/Q17</f>
        <v>0.41</v>
      </c>
      <c r="S31" s="314"/>
      <c r="T31" s="314"/>
    </row>
    <row r="32" spans="1:20" s="84" customFormat="1" ht="24.95" customHeight="1">
      <c r="A32" s="3" t="s">
        <v>426</v>
      </c>
      <c r="B32" s="3" t="s">
        <v>380</v>
      </c>
      <c r="C32" s="3"/>
      <c r="D32" s="26" t="s">
        <v>427</v>
      </c>
      <c r="E32" s="63">
        <f>ROUND(E25*35%,2)</f>
        <v>1225</v>
      </c>
      <c r="F32" s="63">
        <f t="shared" ref="F32:P32" si="6">ROUND(F25*35%,2)</f>
        <v>525</v>
      </c>
      <c r="G32" s="63">
        <f t="shared" si="6"/>
        <v>1225</v>
      </c>
      <c r="H32" s="63">
        <f t="shared" si="6"/>
        <v>1575</v>
      </c>
      <c r="I32" s="63">
        <f t="shared" si="6"/>
        <v>2450</v>
      </c>
      <c r="J32" s="63">
        <f t="shared" si="6"/>
        <v>2030</v>
      </c>
      <c r="K32" s="63">
        <f t="shared" si="6"/>
        <v>2030</v>
      </c>
      <c r="L32" s="63">
        <f t="shared" si="6"/>
        <v>2030</v>
      </c>
      <c r="M32" s="63">
        <f t="shared" si="6"/>
        <v>2030</v>
      </c>
      <c r="N32" s="63">
        <f t="shared" si="6"/>
        <v>3325</v>
      </c>
      <c r="O32" s="63">
        <f t="shared" si="6"/>
        <v>2030</v>
      </c>
      <c r="P32" s="63">
        <f t="shared" si="6"/>
        <v>2380</v>
      </c>
      <c r="Q32" s="142">
        <f>SUM(E32:P32)</f>
        <v>22855</v>
      </c>
      <c r="R32" s="168">
        <f>Q32/Q25</f>
        <v>0.35</v>
      </c>
      <c r="S32" s="314"/>
      <c r="T32" s="314"/>
    </row>
    <row r="33" spans="1:20" s="84" customFormat="1" ht="24.95" customHeight="1">
      <c r="A33" s="3" t="s">
        <v>467</v>
      </c>
      <c r="B33" s="3" t="s">
        <v>380</v>
      </c>
      <c r="C33" s="3"/>
      <c r="D33" s="26" t="s">
        <v>479</v>
      </c>
      <c r="E33" s="63">
        <f>ROUND(E26*60%,2)</f>
        <v>36000</v>
      </c>
      <c r="F33" s="63">
        <f t="shared" ref="F33:P33" si="7">ROUND(F26*60%,2)</f>
        <v>0</v>
      </c>
      <c r="G33" s="63">
        <f t="shared" si="7"/>
        <v>0</v>
      </c>
      <c r="H33" s="63">
        <f t="shared" si="7"/>
        <v>0</v>
      </c>
      <c r="I33" s="63">
        <f t="shared" si="7"/>
        <v>90000</v>
      </c>
      <c r="J33" s="63">
        <f t="shared" si="7"/>
        <v>0</v>
      </c>
      <c r="K33" s="63">
        <f t="shared" si="7"/>
        <v>0</v>
      </c>
      <c r="L33" s="63">
        <f t="shared" si="7"/>
        <v>0</v>
      </c>
      <c r="M33" s="63">
        <f t="shared" si="7"/>
        <v>0</v>
      </c>
      <c r="N33" s="63">
        <f t="shared" si="7"/>
        <v>150000</v>
      </c>
      <c r="O33" s="63">
        <f t="shared" si="7"/>
        <v>0</v>
      </c>
      <c r="P33" s="63">
        <f t="shared" si="7"/>
        <v>0</v>
      </c>
      <c r="Q33" s="142">
        <f>SUM(E33:P33)</f>
        <v>276000</v>
      </c>
      <c r="R33" s="168"/>
      <c r="S33" s="314"/>
      <c r="T33" s="314"/>
    </row>
    <row r="34" spans="1:20" s="84" customFormat="1" ht="24.95" customHeight="1">
      <c r="A34" s="3"/>
      <c r="B34" s="3"/>
      <c r="C34" s="3"/>
      <c r="D34" s="21" t="s">
        <v>432</v>
      </c>
      <c r="E34" s="45">
        <f>+SUM(E31:E33)</f>
        <v>199937.6</v>
      </c>
      <c r="F34" s="45">
        <f t="shared" ref="F34:P34" si="8">+SUM(F31:F33)</f>
        <v>125296.2</v>
      </c>
      <c r="G34" s="45">
        <f t="shared" si="8"/>
        <v>151891.79999999999</v>
      </c>
      <c r="H34" s="45">
        <f t="shared" si="8"/>
        <v>178317.8</v>
      </c>
      <c r="I34" s="45">
        <f t="shared" si="8"/>
        <v>290824.40000000002</v>
      </c>
      <c r="J34" s="45">
        <f t="shared" si="8"/>
        <v>180330.8</v>
      </c>
      <c r="K34" s="45">
        <f t="shared" si="8"/>
        <v>190580.8</v>
      </c>
      <c r="L34" s="45">
        <f t="shared" si="8"/>
        <v>191564.79999999999</v>
      </c>
      <c r="M34" s="45">
        <f t="shared" si="8"/>
        <v>196648.8</v>
      </c>
      <c r="N34" s="45">
        <f t="shared" si="8"/>
        <v>360489.8</v>
      </c>
      <c r="O34" s="45">
        <f t="shared" si="8"/>
        <v>196730.8</v>
      </c>
      <c r="P34" s="45">
        <f t="shared" si="8"/>
        <v>197244.79999999999</v>
      </c>
      <c r="Q34" s="45">
        <f>SUM(Q31:Q33)</f>
        <v>2459858.4</v>
      </c>
      <c r="R34" s="158">
        <f>Q34/$Q$28</f>
        <v>0.4099720269650457</v>
      </c>
      <c r="S34" s="314"/>
      <c r="T34" s="314"/>
    </row>
    <row r="35" spans="1:20" s="84" customFormat="1" ht="24.95" customHeight="1">
      <c r="A35" s="3"/>
      <c r="B35" s="3"/>
      <c r="C35" s="3"/>
      <c r="D35" s="26"/>
      <c r="E35" s="63"/>
      <c r="F35" s="63"/>
      <c r="G35" s="63"/>
      <c r="H35" s="63"/>
      <c r="I35" s="63"/>
      <c r="J35" s="63"/>
      <c r="K35" s="63"/>
      <c r="L35" s="63"/>
      <c r="Q35" s="159"/>
      <c r="S35" s="314"/>
      <c r="T35" s="314"/>
    </row>
    <row r="36" spans="1:20" s="84" customFormat="1" ht="24.95" customHeight="1">
      <c r="A36" s="3" t="s">
        <v>103</v>
      </c>
      <c r="B36" s="3" t="s">
        <v>380</v>
      </c>
      <c r="C36" s="3"/>
      <c r="D36" s="21" t="s">
        <v>137</v>
      </c>
      <c r="E36" s="45">
        <f>+E163</f>
        <v>95869.65</v>
      </c>
      <c r="F36" s="45">
        <f t="shared" ref="F36:P36" si="9">+F163</f>
        <v>101336.32999999999</v>
      </c>
      <c r="G36" s="45">
        <f t="shared" si="9"/>
        <v>92149.37</v>
      </c>
      <c r="H36" s="45">
        <f t="shared" si="9"/>
        <v>95750.2</v>
      </c>
      <c r="I36" s="45">
        <f t="shared" si="9"/>
        <v>96985.209999999992</v>
      </c>
      <c r="J36" s="45">
        <f t="shared" si="9"/>
        <v>95776.48000000001</v>
      </c>
      <c r="K36" s="45">
        <f t="shared" si="9"/>
        <v>93000.61</v>
      </c>
      <c r="L36" s="45">
        <f t="shared" si="9"/>
        <v>93016.45</v>
      </c>
      <c r="M36" s="45">
        <f t="shared" si="9"/>
        <v>96371.36</v>
      </c>
      <c r="N36" s="45">
        <f t="shared" si="9"/>
        <v>104637.45</v>
      </c>
      <c r="O36" s="45">
        <f t="shared" si="9"/>
        <v>93090.61</v>
      </c>
      <c r="P36" s="45">
        <f t="shared" si="9"/>
        <v>93093.25</v>
      </c>
      <c r="Q36" s="45">
        <f>SUM(E36:P36)</f>
        <v>1151076.97</v>
      </c>
      <c r="R36" s="158">
        <f>Q36/$Q$28</f>
        <v>0.19184411532943649</v>
      </c>
      <c r="S36" s="314"/>
      <c r="T36" s="314"/>
    </row>
    <row r="37" spans="1:20" s="84" customFormat="1" ht="24.95" customHeight="1">
      <c r="A37" s="3"/>
      <c r="B37" s="3"/>
      <c r="C37" s="3"/>
      <c r="D37" s="26"/>
      <c r="E37" s="63"/>
      <c r="F37" s="63"/>
      <c r="G37" s="63"/>
      <c r="H37" s="63"/>
      <c r="I37" s="63"/>
      <c r="J37" s="63"/>
      <c r="K37" s="63"/>
      <c r="L37" s="63"/>
      <c r="S37" s="314"/>
      <c r="T37" s="314"/>
    </row>
    <row r="38" spans="1:20" s="84" customFormat="1" ht="24.95" customHeight="1">
      <c r="A38" s="3"/>
      <c r="B38" s="3"/>
      <c r="C38" s="3"/>
      <c r="D38" s="21" t="s">
        <v>138</v>
      </c>
      <c r="E38" s="63"/>
      <c r="F38" s="63"/>
      <c r="G38" s="63"/>
      <c r="H38" s="63"/>
      <c r="I38" s="63"/>
      <c r="J38" s="63"/>
      <c r="K38" s="63"/>
      <c r="L38" s="63"/>
      <c r="M38" s="63"/>
      <c r="N38" s="63"/>
      <c r="O38" s="63"/>
      <c r="P38" s="63"/>
      <c r="R38" s="34" t="s">
        <v>433</v>
      </c>
      <c r="S38" s="314"/>
      <c r="T38" s="314"/>
    </row>
    <row r="39" spans="1:20" s="84" customFormat="1" ht="24.95" customHeight="1">
      <c r="A39" s="3" t="s">
        <v>140</v>
      </c>
      <c r="B39" s="3" t="s">
        <v>380</v>
      </c>
      <c r="C39" s="3"/>
      <c r="D39" s="26" t="s">
        <v>141</v>
      </c>
      <c r="E39" s="63"/>
      <c r="F39" s="63"/>
      <c r="G39" s="63"/>
      <c r="H39" s="63"/>
      <c r="I39" s="63"/>
      <c r="J39" s="63"/>
      <c r="K39" s="63"/>
      <c r="L39" s="63"/>
      <c r="M39" s="63"/>
      <c r="N39" s="63"/>
      <c r="O39" s="63"/>
      <c r="P39" s="63"/>
      <c r="Q39" s="142">
        <f>SUM(E39:P39)</f>
        <v>0</v>
      </c>
      <c r="R39" s="142">
        <f>Q39/$Q$117</f>
        <v>0</v>
      </c>
      <c r="S39" s="314"/>
      <c r="T39" s="314"/>
    </row>
    <row r="40" spans="1:20" s="84" customFormat="1" ht="24.95" customHeight="1">
      <c r="A40" s="3" t="s">
        <v>142</v>
      </c>
      <c r="B40" s="3" t="s">
        <v>380</v>
      </c>
      <c r="C40" s="3"/>
      <c r="D40" s="26" t="s">
        <v>143</v>
      </c>
      <c r="E40" s="63"/>
      <c r="F40" s="63"/>
      <c r="G40" s="63"/>
      <c r="H40" s="63"/>
      <c r="I40" s="63"/>
      <c r="J40" s="63"/>
      <c r="K40" s="63"/>
      <c r="L40" s="63"/>
      <c r="M40" s="63"/>
      <c r="N40" s="63"/>
      <c r="O40" s="63"/>
      <c r="P40" s="63"/>
      <c r="Q40" s="142">
        <f t="shared" ref="Q40:Q103" si="10">SUM(E40:P40)</f>
        <v>0</v>
      </c>
      <c r="R40" s="142">
        <f t="shared" ref="R40:R103" si="11">Q40/$Q$117</f>
        <v>0</v>
      </c>
      <c r="S40" s="314"/>
      <c r="T40" s="314"/>
    </row>
    <row r="41" spans="1:20" s="84" customFormat="1" ht="24.95" customHeight="1">
      <c r="A41" s="3" t="s">
        <v>144</v>
      </c>
      <c r="B41" s="3" t="s">
        <v>380</v>
      </c>
      <c r="C41" s="3"/>
      <c r="D41" s="26" t="s">
        <v>145</v>
      </c>
      <c r="E41" s="63"/>
      <c r="F41" s="63"/>
      <c r="G41" s="63"/>
      <c r="H41" s="63"/>
      <c r="I41" s="63"/>
      <c r="J41" s="63"/>
      <c r="K41" s="63"/>
      <c r="L41" s="63"/>
      <c r="M41" s="63"/>
      <c r="N41" s="63"/>
      <c r="O41" s="63"/>
      <c r="P41" s="63"/>
      <c r="Q41" s="142">
        <f t="shared" si="10"/>
        <v>0</v>
      </c>
      <c r="R41" s="142">
        <f t="shared" si="11"/>
        <v>0</v>
      </c>
      <c r="S41" s="314"/>
      <c r="T41" s="314"/>
    </row>
    <row r="42" spans="1:20" s="84" customFormat="1" ht="24.95" customHeight="1">
      <c r="A42" s="3" t="s">
        <v>146</v>
      </c>
      <c r="B42" s="3" t="s">
        <v>380</v>
      </c>
      <c r="C42" s="3"/>
      <c r="D42" s="26" t="s">
        <v>147</v>
      </c>
      <c r="E42" s="63">
        <v>3500</v>
      </c>
      <c r="F42" s="63">
        <v>3500</v>
      </c>
      <c r="G42" s="63">
        <v>3500</v>
      </c>
      <c r="H42" s="63">
        <v>3500</v>
      </c>
      <c r="I42" s="63">
        <v>3500</v>
      </c>
      <c r="J42" s="63">
        <v>3500</v>
      </c>
      <c r="K42" s="63">
        <v>3500</v>
      </c>
      <c r="L42" s="63">
        <v>3500</v>
      </c>
      <c r="M42" s="63">
        <v>3500</v>
      </c>
      <c r="N42" s="63">
        <v>3500</v>
      </c>
      <c r="O42" s="63">
        <v>3500</v>
      </c>
      <c r="P42" s="63">
        <v>3500</v>
      </c>
      <c r="Q42" s="142">
        <f t="shared" si="10"/>
        <v>42000</v>
      </c>
      <c r="R42" s="142">
        <f t="shared" si="11"/>
        <v>0.59376702672367354</v>
      </c>
      <c r="S42" s="314"/>
      <c r="T42" s="314"/>
    </row>
    <row r="43" spans="1:20" s="84" customFormat="1" ht="24.95" customHeight="1">
      <c r="A43" s="3" t="s">
        <v>148</v>
      </c>
      <c r="B43" s="3" t="s">
        <v>380</v>
      </c>
      <c r="C43" s="3"/>
      <c r="D43" s="26" t="s">
        <v>149</v>
      </c>
      <c r="Q43" s="142">
        <f t="shared" si="10"/>
        <v>0</v>
      </c>
      <c r="R43" s="142">
        <f t="shared" si="11"/>
        <v>0</v>
      </c>
      <c r="S43" s="314"/>
      <c r="T43" s="314"/>
    </row>
    <row r="44" spans="1:20" s="84" customFormat="1" ht="24.95" customHeight="1">
      <c r="A44" s="3" t="s">
        <v>150</v>
      </c>
      <c r="B44" s="3" t="s">
        <v>380</v>
      </c>
      <c r="C44" s="3"/>
      <c r="D44" s="26" t="s">
        <v>151</v>
      </c>
      <c r="E44" s="63"/>
      <c r="F44" s="63"/>
      <c r="G44" s="63"/>
      <c r="H44" s="63"/>
      <c r="I44" s="63"/>
      <c r="J44" s="63"/>
      <c r="K44" s="63"/>
      <c r="L44" s="63"/>
      <c r="M44" s="63"/>
      <c r="N44" s="63"/>
      <c r="O44" s="63"/>
      <c r="P44" s="63"/>
      <c r="Q44" s="142">
        <f t="shared" si="10"/>
        <v>0</v>
      </c>
      <c r="R44" s="142">
        <f t="shared" si="11"/>
        <v>0</v>
      </c>
      <c r="S44" s="314"/>
      <c r="T44" s="314"/>
    </row>
    <row r="45" spans="1:20" s="84" customFormat="1" ht="24.95" customHeight="1">
      <c r="A45" s="3" t="s">
        <v>152</v>
      </c>
      <c r="B45" s="3" t="s">
        <v>380</v>
      </c>
      <c r="C45" s="3"/>
      <c r="D45" s="26" t="s">
        <v>153</v>
      </c>
      <c r="E45" s="63"/>
      <c r="F45" s="63"/>
      <c r="G45" s="63"/>
      <c r="H45" s="63">
        <v>600</v>
      </c>
      <c r="I45" s="63">
        <v>600</v>
      </c>
      <c r="J45" s="63">
        <v>600</v>
      </c>
      <c r="K45" s="63">
        <v>300</v>
      </c>
      <c r="L45" s="63">
        <v>300</v>
      </c>
      <c r="M45" s="63">
        <v>300</v>
      </c>
      <c r="N45" s="63">
        <v>300</v>
      </c>
      <c r="O45" s="63">
        <v>300</v>
      </c>
      <c r="P45" s="63">
        <v>300</v>
      </c>
      <c r="Q45" s="142">
        <f t="shared" si="10"/>
        <v>3600</v>
      </c>
      <c r="R45" s="142">
        <f t="shared" si="11"/>
        <v>5.0894316576314873E-2</v>
      </c>
      <c r="S45" s="314"/>
      <c r="T45" s="314"/>
    </row>
    <row r="46" spans="1:20" s="84" customFormat="1" ht="24.95" customHeight="1">
      <c r="A46" s="3" t="s">
        <v>154</v>
      </c>
      <c r="B46" s="3" t="s">
        <v>380</v>
      </c>
      <c r="C46" s="3"/>
      <c r="D46" s="26" t="s">
        <v>155</v>
      </c>
      <c r="E46" s="312">
        <f>ROUND(E28*0.004,2)</f>
        <v>1890.78</v>
      </c>
      <c r="F46" s="312">
        <f t="shared" ref="F46:P46" si="12">ROUND(F28*0.004,2)</f>
        <v>1268.21</v>
      </c>
      <c r="G46" s="312">
        <f t="shared" si="12"/>
        <v>1544.11</v>
      </c>
      <c r="H46" s="312">
        <f t="shared" si="12"/>
        <v>1811.15</v>
      </c>
      <c r="I46" s="312">
        <f t="shared" si="12"/>
        <v>2634.5</v>
      </c>
      <c r="J46" s="312">
        <f t="shared" si="12"/>
        <v>1828.67</v>
      </c>
      <c r="K46" s="312">
        <f t="shared" si="12"/>
        <v>1938.27</v>
      </c>
      <c r="L46" s="312">
        <f t="shared" si="12"/>
        <v>1948.83</v>
      </c>
      <c r="M46" s="312">
        <f t="shared" si="12"/>
        <v>1999.39</v>
      </c>
      <c r="N46" s="312">
        <f t="shared" si="12"/>
        <v>3138.03</v>
      </c>
      <c r="O46" s="312">
        <f t="shared" si="12"/>
        <v>1998.27</v>
      </c>
      <c r="P46" s="312">
        <f t="shared" si="12"/>
        <v>2000.03</v>
      </c>
      <c r="Q46" s="142">
        <f t="shared" si="10"/>
        <v>24000.239999999998</v>
      </c>
      <c r="R46" s="142">
        <f t="shared" si="11"/>
        <v>0.33929883679653755</v>
      </c>
      <c r="S46" s="314"/>
      <c r="T46" s="314"/>
    </row>
    <row r="47" spans="1:20" s="353" customFormat="1" ht="24.95" customHeight="1">
      <c r="A47" s="372" t="s">
        <v>156</v>
      </c>
      <c r="B47" s="372" t="s">
        <v>380</v>
      </c>
      <c r="C47" s="372"/>
      <c r="D47" s="367" t="s">
        <v>157</v>
      </c>
      <c r="E47" s="63"/>
      <c r="F47" s="63"/>
      <c r="G47" s="63"/>
      <c r="H47" s="63"/>
      <c r="I47" s="63"/>
      <c r="J47" s="63"/>
      <c r="K47" s="63"/>
      <c r="L47" s="63"/>
      <c r="M47" s="63"/>
      <c r="N47" s="63"/>
      <c r="O47" s="63"/>
      <c r="P47" s="63"/>
      <c r="Q47" s="142">
        <f t="shared" si="10"/>
        <v>0</v>
      </c>
      <c r="R47" s="142">
        <f t="shared" si="11"/>
        <v>0</v>
      </c>
      <c r="S47" s="142"/>
      <c r="T47" s="314"/>
    </row>
    <row r="48" spans="1:20" s="84" customFormat="1" ht="24.95" customHeight="1">
      <c r="A48" s="3" t="s">
        <v>158</v>
      </c>
      <c r="B48" s="3" t="s">
        <v>380</v>
      </c>
      <c r="C48" s="3"/>
      <c r="D48" s="26" t="s">
        <v>159</v>
      </c>
      <c r="E48" s="63">
        <v>600</v>
      </c>
      <c r="F48" s="63"/>
      <c r="G48" s="63"/>
      <c r="H48" s="63">
        <v>200</v>
      </c>
      <c r="I48" s="63">
        <v>200</v>
      </c>
      <c r="J48" s="63">
        <v>200</v>
      </c>
      <c r="K48" s="63">
        <v>200</v>
      </c>
      <c r="L48" s="63">
        <v>200</v>
      </c>
      <c r="M48" s="63">
        <v>200</v>
      </c>
      <c r="N48" s="63">
        <v>200</v>
      </c>
      <c r="O48" s="63">
        <v>200</v>
      </c>
      <c r="P48" s="63">
        <v>200</v>
      </c>
      <c r="Q48" s="142">
        <f t="shared" si="10"/>
        <v>2400</v>
      </c>
      <c r="R48" s="142">
        <f t="shared" si="11"/>
        <v>3.3929544384209913E-2</v>
      </c>
      <c r="S48" s="314"/>
      <c r="T48" s="314"/>
    </row>
    <row r="49" spans="1:20" s="84" customFormat="1" ht="24.95" customHeight="1">
      <c r="A49" s="3" t="s">
        <v>160</v>
      </c>
      <c r="B49" s="3" t="s">
        <v>380</v>
      </c>
      <c r="C49" s="3"/>
      <c r="D49" s="26" t="s">
        <v>161</v>
      </c>
      <c r="E49" s="63"/>
      <c r="F49" s="63"/>
      <c r="G49" s="63"/>
      <c r="H49" s="63"/>
      <c r="I49" s="63"/>
      <c r="J49" s="63"/>
      <c r="K49" s="63"/>
      <c r="L49" s="63"/>
      <c r="M49" s="63"/>
      <c r="N49" s="63"/>
      <c r="O49" s="63"/>
      <c r="P49" s="63"/>
      <c r="Q49" s="142">
        <f t="shared" si="10"/>
        <v>0</v>
      </c>
      <c r="R49" s="142">
        <f t="shared" si="11"/>
        <v>0</v>
      </c>
      <c r="S49" s="314"/>
      <c r="T49" s="314"/>
    </row>
    <row r="50" spans="1:20" s="84" customFormat="1" ht="24.95" customHeight="1">
      <c r="A50" s="3" t="s">
        <v>162</v>
      </c>
      <c r="B50" s="3" t="s">
        <v>380</v>
      </c>
      <c r="C50" s="3"/>
      <c r="D50" s="26" t="s">
        <v>163</v>
      </c>
      <c r="E50" s="63">
        <v>500</v>
      </c>
      <c r="F50" s="63"/>
      <c r="G50" s="63"/>
      <c r="H50" s="63">
        <v>300</v>
      </c>
      <c r="I50" s="63">
        <v>500</v>
      </c>
      <c r="J50" s="63">
        <v>300</v>
      </c>
      <c r="K50" s="63">
        <v>300</v>
      </c>
      <c r="L50" s="63">
        <v>300</v>
      </c>
      <c r="M50" s="63">
        <v>300</v>
      </c>
      <c r="N50" s="63">
        <v>300</v>
      </c>
      <c r="O50" s="63">
        <v>300</v>
      </c>
      <c r="P50" s="63">
        <v>300</v>
      </c>
      <c r="Q50" s="142">
        <f t="shared" si="10"/>
        <v>3400</v>
      </c>
      <c r="R50" s="142">
        <f t="shared" si="11"/>
        <v>4.8066854544297377E-2</v>
      </c>
      <c r="S50" s="314"/>
      <c r="T50" s="314"/>
    </row>
    <row r="51" spans="1:20" s="84" customFormat="1" ht="24.95" customHeight="1">
      <c r="A51" s="3" t="s">
        <v>164</v>
      </c>
      <c r="B51" s="3" t="s">
        <v>380</v>
      </c>
      <c r="C51" s="3"/>
      <c r="D51" s="26" t="s">
        <v>165</v>
      </c>
      <c r="E51" s="63"/>
      <c r="F51" s="63"/>
      <c r="G51" s="63"/>
      <c r="H51" s="63"/>
      <c r="I51" s="63"/>
      <c r="J51" s="63"/>
      <c r="K51" s="63"/>
      <c r="L51" s="63"/>
      <c r="M51" s="63"/>
      <c r="N51" s="63"/>
      <c r="O51" s="63"/>
      <c r="P51" s="63"/>
      <c r="Q51" s="142">
        <f t="shared" si="10"/>
        <v>0</v>
      </c>
      <c r="R51" s="142">
        <f t="shared" si="11"/>
        <v>0</v>
      </c>
      <c r="S51" s="314"/>
      <c r="T51" s="314"/>
    </row>
    <row r="52" spans="1:20" s="84" customFormat="1" ht="24.95" customHeight="1">
      <c r="A52" s="3" t="s">
        <v>166</v>
      </c>
      <c r="B52" s="3" t="s">
        <v>380</v>
      </c>
      <c r="C52" s="3"/>
      <c r="D52" s="26" t="s">
        <v>167</v>
      </c>
      <c r="E52" s="63"/>
      <c r="F52" s="63"/>
      <c r="G52" s="63"/>
      <c r="H52" s="63"/>
      <c r="I52" s="63"/>
      <c r="J52" s="63"/>
      <c r="K52" s="63"/>
      <c r="L52" s="63"/>
      <c r="M52" s="63"/>
      <c r="N52" s="63"/>
      <c r="O52" s="63"/>
      <c r="P52" s="63"/>
      <c r="Q52" s="142">
        <f t="shared" si="10"/>
        <v>0</v>
      </c>
      <c r="R52" s="142">
        <f t="shared" si="11"/>
        <v>0</v>
      </c>
      <c r="S52" s="314"/>
      <c r="T52" s="314"/>
    </row>
    <row r="53" spans="1:20" s="84" customFormat="1" ht="24.95" customHeight="1">
      <c r="A53" s="3" t="s">
        <v>168</v>
      </c>
      <c r="B53" s="3" t="s">
        <v>380</v>
      </c>
      <c r="C53" s="3"/>
      <c r="D53" s="26" t="s">
        <v>169</v>
      </c>
      <c r="E53" s="63"/>
      <c r="F53" s="63"/>
      <c r="G53" s="63"/>
      <c r="H53" s="63"/>
      <c r="I53" s="63"/>
      <c r="J53" s="63"/>
      <c r="K53" s="63"/>
      <c r="L53" s="63"/>
      <c r="M53" s="63"/>
      <c r="N53" s="63"/>
      <c r="O53" s="63"/>
      <c r="P53" s="63"/>
      <c r="Q53" s="142">
        <f t="shared" si="10"/>
        <v>0</v>
      </c>
      <c r="R53" s="142">
        <f t="shared" si="11"/>
        <v>0</v>
      </c>
      <c r="S53" s="314"/>
      <c r="T53" s="314"/>
    </row>
    <row r="54" spans="1:20" s="84" customFormat="1" ht="24.95" customHeight="1">
      <c r="A54" s="3" t="s">
        <v>170</v>
      </c>
      <c r="B54" s="3" t="s">
        <v>380</v>
      </c>
      <c r="C54" s="3"/>
      <c r="D54" s="26" t="s">
        <v>171</v>
      </c>
      <c r="E54" s="63">
        <f>ROUND(E28*0.004,2)</f>
        <v>1890.78</v>
      </c>
      <c r="F54" s="63">
        <f t="shared" ref="F54:P54" si="13">ROUND(F28*0.004,2)</f>
        <v>1268.21</v>
      </c>
      <c r="G54" s="63">
        <f t="shared" si="13"/>
        <v>1544.11</v>
      </c>
      <c r="H54" s="63">
        <f t="shared" si="13"/>
        <v>1811.15</v>
      </c>
      <c r="I54" s="63">
        <f t="shared" si="13"/>
        <v>2634.5</v>
      </c>
      <c r="J54" s="63">
        <f t="shared" si="13"/>
        <v>1828.67</v>
      </c>
      <c r="K54" s="63">
        <f t="shared" si="13"/>
        <v>1938.27</v>
      </c>
      <c r="L54" s="63">
        <f t="shared" si="13"/>
        <v>1948.83</v>
      </c>
      <c r="M54" s="63">
        <f t="shared" si="13"/>
        <v>1999.39</v>
      </c>
      <c r="N54" s="63">
        <f t="shared" si="13"/>
        <v>3138.03</v>
      </c>
      <c r="O54" s="63">
        <f t="shared" si="13"/>
        <v>1998.27</v>
      </c>
      <c r="P54" s="63">
        <f t="shared" si="13"/>
        <v>2000.03</v>
      </c>
      <c r="Q54" s="142">
        <f t="shared" si="10"/>
        <v>24000.239999999998</v>
      </c>
      <c r="R54" s="142">
        <f t="shared" si="11"/>
        <v>0.33929883679653755</v>
      </c>
      <c r="S54" s="314"/>
      <c r="T54" s="314"/>
    </row>
    <row r="55" spans="1:20" s="84" customFormat="1" ht="24.95" customHeight="1">
      <c r="A55" s="3" t="s">
        <v>172</v>
      </c>
      <c r="B55" s="3" t="s">
        <v>380</v>
      </c>
      <c r="C55" s="3"/>
      <c r="D55" s="26" t="s">
        <v>173</v>
      </c>
      <c r="E55" s="63"/>
      <c r="F55" s="63"/>
      <c r="G55" s="63"/>
      <c r="H55" s="63"/>
      <c r="I55" s="63"/>
      <c r="J55" s="63"/>
      <c r="K55" s="63"/>
      <c r="L55" s="63"/>
      <c r="M55" s="63"/>
      <c r="N55" s="63"/>
      <c r="O55" s="63"/>
      <c r="P55" s="63"/>
      <c r="Q55" s="142">
        <f t="shared" si="10"/>
        <v>0</v>
      </c>
      <c r="R55" s="142">
        <f t="shared" si="11"/>
        <v>0</v>
      </c>
      <c r="S55" s="314"/>
      <c r="T55" s="314"/>
    </row>
    <row r="56" spans="1:20" s="84" customFormat="1" ht="24.95" customHeight="1">
      <c r="A56" s="3" t="s">
        <v>174</v>
      </c>
      <c r="B56" s="3" t="s">
        <v>380</v>
      </c>
      <c r="C56" s="3"/>
      <c r="D56" s="26" t="s">
        <v>175</v>
      </c>
      <c r="E56" s="63"/>
      <c r="F56" s="63"/>
      <c r="G56" s="63"/>
      <c r="H56" s="63"/>
      <c r="I56" s="63"/>
      <c r="J56" s="63"/>
      <c r="K56" s="63"/>
      <c r="L56" s="63"/>
      <c r="M56" s="63"/>
      <c r="N56" s="63"/>
      <c r="O56" s="63"/>
      <c r="P56" s="63"/>
      <c r="Q56" s="142">
        <f t="shared" si="10"/>
        <v>0</v>
      </c>
      <c r="R56" s="142">
        <f t="shared" si="11"/>
        <v>0</v>
      </c>
      <c r="S56" s="314"/>
      <c r="T56" s="314"/>
    </row>
    <row r="57" spans="1:20" s="84" customFormat="1" ht="24.95" customHeight="1">
      <c r="A57" s="3" t="s">
        <v>176</v>
      </c>
      <c r="B57" s="3" t="s">
        <v>380</v>
      </c>
      <c r="C57" s="3"/>
      <c r="D57" s="26" t="s">
        <v>177</v>
      </c>
      <c r="E57" s="63"/>
      <c r="F57" s="63"/>
      <c r="G57" s="63"/>
      <c r="H57" s="63"/>
      <c r="I57" s="63"/>
      <c r="J57" s="63"/>
      <c r="K57" s="63"/>
      <c r="L57" s="63"/>
      <c r="M57" s="63"/>
      <c r="N57" s="63"/>
      <c r="O57" s="63"/>
      <c r="P57" s="63"/>
      <c r="Q57" s="142">
        <f t="shared" si="10"/>
        <v>0</v>
      </c>
      <c r="R57" s="142">
        <f t="shared" si="11"/>
        <v>0</v>
      </c>
      <c r="S57" s="314"/>
      <c r="T57" s="314"/>
    </row>
    <row r="58" spans="1:20" s="84" customFormat="1" ht="24.95" customHeight="1">
      <c r="A58" s="3" t="s">
        <v>178</v>
      </c>
      <c r="B58" s="3" t="s">
        <v>380</v>
      </c>
      <c r="C58" s="3"/>
      <c r="D58" s="26" t="s">
        <v>179</v>
      </c>
      <c r="E58" s="312"/>
      <c r="F58" s="312"/>
      <c r="G58" s="312"/>
      <c r="H58" s="312">
        <v>1628.57</v>
      </c>
      <c r="I58" s="312">
        <f t="shared" ref="I58:P58" si="14">ROUND(I28*0.001,2)</f>
        <v>658.62</v>
      </c>
      <c r="J58" s="312">
        <f t="shared" si="14"/>
        <v>457.17</v>
      </c>
      <c r="K58" s="312">
        <f t="shared" si="14"/>
        <v>484.57</v>
      </c>
      <c r="L58" s="312">
        <f t="shared" si="14"/>
        <v>487.21</v>
      </c>
      <c r="M58" s="312">
        <f t="shared" si="14"/>
        <v>499.85</v>
      </c>
      <c r="N58" s="312">
        <f t="shared" si="14"/>
        <v>784.51</v>
      </c>
      <c r="O58" s="312">
        <f t="shared" si="14"/>
        <v>499.57</v>
      </c>
      <c r="P58" s="312">
        <f t="shared" si="14"/>
        <v>500.01</v>
      </c>
      <c r="Q58" s="142">
        <f t="shared" si="10"/>
        <v>6000.0800000000008</v>
      </c>
      <c r="R58" s="142">
        <f t="shared" si="11"/>
        <v>8.4824991945337602E-2</v>
      </c>
      <c r="S58" s="314"/>
      <c r="T58" s="314"/>
    </row>
    <row r="59" spans="1:20" s="84" customFormat="1" ht="24.95" customHeight="1">
      <c r="A59" s="3" t="s">
        <v>180</v>
      </c>
      <c r="B59" s="3" t="s">
        <v>380</v>
      </c>
      <c r="C59" s="3"/>
      <c r="D59" s="26" t="s">
        <v>181</v>
      </c>
      <c r="E59" s="312"/>
      <c r="F59" s="312"/>
      <c r="G59" s="312"/>
      <c r="H59" s="312"/>
      <c r="I59" s="312"/>
      <c r="J59" s="312"/>
      <c r="K59" s="312"/>
      <c r="L59" s="312"/>
      <c r="M59" s="312"/>
      <c r="N59" s="312"/>
      <c r="O59" s="312"/>
      <c r="P59" s="312"/>
      <c r="Q59" s="142">
        <f t="shared" si="10"/>
        <v>0</v>
      </c>
      <c r="R59" s="142">
        <f t="shared" si="11"/>
        <v>0</v>
      </c>
      <c r="S59" s="314"/>
      <c r="T59" s="314"/>
    </row>
    <row r="60" spans="1:20" s="84" customFormat="1" ht="24.95" customHeight="1">
      <c r="A60" s="3" t="s">
        <v>182</v>
      </c>
      <c r="B60" s="3" t="s">
        <v>380</v>
      </c>
      <c r="C60" s="3"/>
      <c r="D60" s="26" t="s">
        <v>183</v>
      </c>
      <c r="E60" s="312"/>
      <c r="F60" s="312"/>
      <c r="G60" s="312"/>
      <c r="H60" s="312">
        <v>1628.57</v>
      </c>
      <c r="I60" s="312">
        <f t="shared" ref="I60:P60" si="15">ROUND(I28*0.001,2)</f>
        <v>658.62</v>
      </c>
      <c r="J60" s="312">
        <f t="shared" si="15"/>
        <v>457.17</v>
      </c>
      <c r="K60" s="312">
        <f t="shared" si="15"/>
        <v>484.57</v>
      </c>
      <c r="L60" s="312">
        <f t="shared" si="15"/>
        <v>487.21</v>
      </c>
      <c r="M60" s="312">
        <f t="shared" si="15"/>
        <v>499.85</v>
      </c>
      <c r="N60" s="312">
        <f t="shared" si="15"/>
        <v>784.51</v>
      </c>
      <c r="O60" s="312">
        <f t="shared" si="15"/>
        <v>499.57</v>
      </c>
      <c r="P60" s="312">
        <f t="shared" si="15"/>
        <v>500.01</v>
      </c>
      <c r="Q60" s="142">
        <f t="shared" si="10"/>
        <v>6000.0800000000008</v>
      </c>
      <c r="R60" s="142">
        <f t="shared" si="11"/>
        <v>8.4824991945337602E-2</v>
      </c>
      <c r="S60" s="314"/>
      <c r="T60" s="314"/>
    </row>
    <row r="61" spans="1:20" s="84" customFormat="1" ht="24.95" customHeight="1">
      <c r="A61" s="3" t="s">
        <v>184</v>
      </c>
      <c r="B61" s="3" t="s">
        <v>380</v>
      </c>
      <c r="C61" s="3"/>
      <c r="D61" s="26" t="s">
        <v>185</v>
      </c>
      <c r="E61" s="312"/>
      <c r="F61" s="312"/>
      <c r="G61" s="312"/>
      <c r="H61" s="312">
        <v>1628.57</v>
      </c>
      <c r="I61" s="312">
        <f t="shared" ref="I61:P61" si="16">ROUND(I28*0.001,2)</f>
        <v>658.62</v>
      </c>
      <c r="J61" s="312">
        <f t="shared" si="16"/>
        <v>457.17</v>
      </c>
      <c r="K61" s="312">
        <f t="shared" si="16"/>
        <v>484.57</v>
      </c>
      <c r="L61" s="312">
        <f t="shared" si="16"/>
        <v>487.21</v>
      </c>
      <c r="M61" s="312">
        <f t="shared" si="16"/>
        <v>499.85</v>
      </c>
      <c r="N61" s="312">
        <f t="shared" si="16"/>
        <v>784.51</v>
      </c>
      <c r="O61" s="312">
        <f t="shared" si="16"/>
        <v>499.57</v>
      </c>
      <c r="P61" s="312">
        <f t="shared" si="16"/>
        <v>500.01</v>
      </c>
      <c r="Q61" s="142">
        <f t="shared" si="10"/>
        <v>6000.0800000000008</v>
      </c>
      <c r="R61" s="142">
        <f t="shared" si="11"/>
        <v>8.4824991945337602E-2</v>
      </c>
      <c r="S61" s="314"/>
      <c r="T61" s="314"/>
    </row>
    <row r="62" spans="1:20" s="84" customFormat="1" ht="24.95" customHeight="1">
      <c r="A62" s="3" t="s">
        <v>186</v>
      </c>
      <c r="B62" s="3" t="s">
        <v>380</v>
      </c>
      <c r="C62" s="3"/>
      <c r="D62" s="26" t="s">
        <v>187</v>
      </c>
      <c r="E62" s="312"/>
      <c r="F62" s="312"/>
      <c r="G62" s="312"/>
      <c r="H62" s="312">
        <v>1628.57</v>
      </c>
      <c r="I62" s="312">
        <f t="shared" ref="I62:P62" si="17">ROUND(I28*0.001,2)</f>
        <v>658.62</v>
      </c>
      <c r="J62" s="312">
        <f t="shared" si="17"/>
        <v>457.17</v>
      </c>
      <c r="K62" s="312">
        <f t="shared" si="17"/>
        <v>484.57</v>
      </c>
      <c r="L62" s="312">
        <f t="shared" si="17"/>
        <v>487.21</v>
      </c>
      <c r="M62" s="312">
        <f t="shared" si="17"/>
        <v>499.85</v>
      </c>
      <c r="N62" s="312">
        <f t="shared" si="17"/>
        <v>784.51</v>
      </c>
      <c r="O62" s="312">
        <f t="shared" si="17"/>
        <v>499.57</v>
      </c>
      <c r="P62" s="312">
        <f t="shared" si="17"/>
        <v>500.01</v>
      </c>
      <c r="Q62" s="142">
        <f t="shared" si="10"/>
        <v>6000.0800000000008</v>
      </c>
      <c r="R62" s="142">
        <f t="shared" si="11"/>
        <v>8.4824991945337602E-2</v>
      </c>
      <c r="S62" s="314"/>
      <c r="T62" s="314"/>
    </row>
    <row r="63" spans="1:20" s="84" customFormat="1" ht="24.95" customHeight="1">
      <c r="A63" s="3" t="s">
        <v>188</v>
      </c>
      <c r="B63" s="3" t="s">
        <v>380</v>
      </c>
      <c r="C63" s="3"/>
      <c r="D63" s="26" t="s">
        <v>189</v>
      </c>
      <c r="E63" s="312"/>
      <c r="F63" s="312"/>
      <c r="G63" s="312"/>
      <c r="H63" s="312"/>
      <c r="I63" s="312"/>
      <c r="J63" s="312"/>
      <c r="K63" s="312"/>
      <c r="L63" s="312"/>
      <c r="M63" s="312"/>
      <c r="N63" s="312"/>
      <c r="O63" s="312"/>
      <c r="P63" s="312"/>
      <c r="Q63" s="142">
        <f t="shared" si="10"/>
        <v>0</v>
      </c>
      <c r="R63" s="142">
        <f t="shared" si="11"/>
        <v>0</v>
      </c>
      <c r="S63" s="314"/>
      <c r="T63" s="314"/>
    </row>
    <row r="64" spans="1:20" s="84" customFormat="1" ht="24.95" customHeight="1">
      <c r="A64" s="3" t="s">
        <v>190</v>
      </c>
      <c r="B64" s="3" t="s">
        <v>380</v>
      </c>
      <c r="C64" s="3"/>
      <c r="D64" s="26" t="s">
        <v>1211</v>
      </c>
      <c r="E64" s="312">
        <f>ROUND(E28*0.005,2)</f>
        <v>2363.48</v>
      </c>
      <c r="F64" s="312">
        <f t="shared" ref="F64:P64" si="18">ROUND(F28*0.005,2)</f>
        <v>1585.26</v>
      </c>
      <c r="G64" s="312">
        <f t="shared" si="18"/>
        <v>1930.14</v>
      </c>
      <c r="H64" s="312">
        <f t="shared" si="18"/>
        <v>2263.94</v>
      </c>
      <c r="I64" s="312">
        <f t="shared" si="18"/>
        <v>3293.12</v>
      </c>
      <c r="J64" s="312">
        <f t="shared" si="18"/>
        <v>2285.84</v>
      </c>
      <c r="K64" s="312">
        <f t="shared" si="18"/>
        <v>2422.84</v>
      </c>
      <c r="L64" s="312">
        <f t="shared" si="18"/>
        <v>2436.04</v>
      </c>
      <c r="M64" s="312">
        <f t="shared" si="18"/>
        <v>2499.2399999999998</v>
      </c>
      <c r="N64" s="312">
        <f t="shared" si="18"/>
        <v>3922.54</v>
      </c>
      <c r="O64" s="312">
        <f t="shared" si="18"/>
        <v>2497.84</v>
      </c>
      <c r="P64" s="312">
        <f t="shared" si="18"/>
        <v>2500.04</v>
      </c>
      <c r="Q64" s="142">
        <f t="shared" si="10"/>
        <v>30000.320000000003</v>
      </c>
      <c r="R64" s="142">
        <f t="shared" si="11"/>
        <v>0.42412382874187521</v>
      </c>
      <c r="S64" s="314"/>
      <c r="T64" s="314"/>
    </row>
    <row r="65" spans="1:20" s="84" customFormat="1" ht="24.95" customHeight="1">
      <c r="A65" s="3" t="s">
        <v>192</v>
      </c>
      <c r="B65" s="3" t="s">
        <v>380</v>
      </c>
      <c r="C65" s="3"/>
      <c r="D65" s="26" t="s">
        <v>193</v>
      </c>
      <c r="E65" s="63"/>
      <c r="F65" s="63"/>
      <c r="G65" s="63"/>
      <c r="H65" s="63"/>
      <c r="I65" s="63"/>
      <c r="J65" s="63"/>
      <c r="K65" s="63"/>
      <c r="L65" s="63"/>
      <c r="M65" s="63"/>
      <c r="N65" s="63"/>
      <c r="O65" s="63"/>
      <c r="P65" s="63"/>
      <c r="Q65" s="142">
        <f t="shared" si="10"/>
        <v>0</v>
      </c>
      <c r="R65" s="142">
        <f t="shared" si="11"/>
        <v>0</v>
      </c>
      <c r="S65" s="314"/>
      <c r="T65" s="314"/>
    </row>
    <row r="66" spans="1:20" s="84" customFormat="1" ht="24.95" customHeight="1">
      <c r="A66" s="3" t="s">
        <v>194</v>
      </c>
      <c r="B66" s="3" t="s">
        <v>380</v>
      </c>
      <c r="C66" s="3"/>
      <c r="D66" s="26" t="s">
        <v>195</v>
      </c>
      <c r="E66" s="63">
        <v>100</v>
      </c>
      <c r="F66" s="63">
        <v>100</v>
      </c>
      <c r="G66" s="63">
        <v>100</v>
      </c>
      <c r="H66" s="63">
        <v>100</v>
      </c>
      <c r="I66" s="63">
        <v>100</v>
      </c>
      <c r="J66" s="63">
        <v>100</v>
      </c>
      <c r="K66" s="63">
        <v>100</v>
      </c>
      <c r="L66" s="63">
        <v>100</v>
      </c>
      <c r="M66" s="63">
        <v>100</v>
      </c>
      <c r="N66" s="63">
        <v>100</v>
      </c>
      <c r="O66" s="63">
        <v>100</v>
      </c>
      <c r="P66" s="63">
        <v>100</v>
      </c>
      <c r="Q66" s="142">
        <f t="shared" si="10"/>
        <v>1200</v>
      </c>
      <c r="R66" s="142">
        <f t="shared" si="11"/>
        <v>1.6964772192104956E-2</v>
      </c>
      <c r="S66" s="314"/>
      <c r="T66" s="314"/>
    </row>
    <row r="67" spans="1:20" s="84" customFormat="1" ht="24.95" customHeight="1">
      <c r="A67" s="3" t="s">
        <v>196</v>
      </c>
      <c r="B67" s="3" t="s">
        <v>380</v>
      </c>
      <c r="C67" s="3"/>
      <c r="D67" s="26" t="s">
        <v>197</v>
      </c>
      <c r="E67" s="63">
        <v>300</v>
      </c>
      <c r="F67" s="63">
        <v>300</v>
      </c>
      <c r="G67" s="63">
        <v>300</v>
      </c>
      <c r="H67" s="63">
        <v>300</v>
      </c>
      <c r="I67" s="63">
        <v>300</v>
      </c>
      <c r="J67" s="63">
        <v>300</v>
      </c>
      <c r="K67" s="63">
        <v>300</v>
      </c>
      <c r="L67" s="63">
        <v>300</v>
      </c>
      <c r="M67" s="63">
        <v>300</v>
      </c>
      <c r="N67" s="63">
        <v>300</v>
      </c>
      <c r="O67" s="63">
        <v>300</v>
      </c>
      <c r="P67" s="63">
        <v>300</v>
      </c>
      <c r="Q67" s="142">
        <f t="shared" si="10"/>
        <v>3600</v>
      </c>
      <c r="R67" s="142">
        <f t="shared" si="11"/>
        <v>5.0894316576314873E-2</v>
      </c>
      <c r="S67" s="314"/>
      <c r="T67" s="314"/>
    </row>
    <row r="68" spans="1:20" s="84" customFormat="1" ht="24.95" customHeight="1">
      <c r="A68" s="3" t="s">
        <v>198</v>
      </c>
      <c r="B68" s="3" t="s">
        <v>380</v>
      </c>
      <c r="C68" s="3"/>
      <c r="D68" s="26" t="s">
        <v>199</v>
      </c>
      <c r="E68" s="63"/>
      <c r="F68" s="63"/>
      <c r="G68" s="63"/>
      <c r="H68" s="63"/>
      <c r="I68" s="63"/>
      <c r="J68" s="63"/>
      <c r="K68" s="63"/>
      <c r="L68" s="63"/>
      <c r="M68" s="63"/>
      <c r="N68" s="63"/>
      <c r="O68" s="63"/>
      <c r="P68" s="63"/>
      <c r="Q68" s="142">
        <f t="shared" si="10"/>
        <v>0</v>
      </c>
      <c r="R68" s="142">
        <f t="shared" si="11"/>
        <v>0</v>
      </c>
      <c r="S68" s="314"/>
      <c r="T68" s="314"/>
    </row>
    <row r="69" spans="1:20" s="84" customFormat="1" ht="24.95" customHeight="1">
      <c r="A69" s="3" t="s">
        <v>200</v>
      </c>
      <c r="B69" s="3" t="s">
        <v>380</v>
      </c>
      <c r="C69" s="3"/>
      <c r="D69" s="26" t="s">
        <v>201</v>
      </c>
      <c r="E69" s="63"/>
      <c r="F69" s="63"/>
      <c r="G69" s="63"/>
      <c r="H69" s="63"/>
      <c r="I69" s="63"/>
      <c r="J69" s="63"/>
      <c r="K69" s="63"/>
      <c r="L69" s="63"/>
      <c r="M69" s="63"/>
      <c r="N69" s="63"/>
      <c r="O69" s="63"/>
      <c r="P69" s="63"/>
      <c r="Q69" s="142">
        <f t="shared" si="10"/>
        <v>0</v>
      </c>
      <c r="R69" s="142">
        <f t="shared" si="11"/>
        <v>0</v>
      </c>
      <c r="S69" s="314"/>
      <c r="T69" s="314"/>
    </row>
    <row r="70" spans="1:20" s="84" customFormat="1" ht="24.95" customHeight="1">
      <c r="A70" s="3" t="s">
        <v>202</v>
      </c>
      <c r="B70" s="3" t="s">
        <v>380</v>
      </c>
      <c r="C70" s="3"/>
      <c r="D70" s="26" t="s">
        <v>203</v>
      </c>
      <c r="E70" s="63"/>
      <c r="F70" s="63"/>
      <c r="G70" s="63"/>
      <c r="H70" s="63">
        <v>3000</v>
      </c>
      <c r="I70" s="63">
        <v>3000</v>
      </c>
      <c r="J70" s="63">
        <v>3000</v>
      </c>
      <c r="K70" s="63">
        <v>1500</v>
      </c>
      <c r="L70" s="63">
        <v>1500</v>
      </c>
      <c r="M70" s="63">
        <v>1500</v>
      </c>
      <c r="N70" s="63">
        <v>1500</v>
      </c>
      <c r="O70" s="63">
        <v>1500</v>
      </c>
      <c r="P70" s="63">
        <v>1500</v>
      </c>
      <c r="Q70" s="142">
        <f t="shared" si="10"/>
        <v>18000</v>
      </c>
      <c r="R70" s="142">
        <f t="shared" si="11"/>
        <v>0.25447158288157434</v>
      </c>
      <c r="S70" s="314"/>
      <c r="T70" s="314"/>
    </row>
    <row r="71" spans="1:20" s="84" customFormat="1" ht="24.95" customHeight="1">
      <c r="A71" s="3" t="s">
        <v>204</v>
      </c>
      <c r="B71" s="3" t="s">
        <v>380</v>
      </c>
      <c r="C71" s="3"/>
      <c r="D71" s="26" t="s">
        <v>205</v>
      </c>
      <c r="E71" s="63"/>
      <c r="F71" s="63"/>
      <c r="G71" s="63"/>
      <c r="H71" s="63"/>
      <c r="I71" s="63"/>
      <c r="J71" s="63"/>
      <c r="K71" s="63"/>
      <c r="L71" s="63"/>
      <c r="M71" s="63"/>
      <c r="N71" s="63"/>
      <c r="O71" s="63"/>
      <c r="P71" s="63"/>
      <c r="Q71" s="142">
        <f t="shared" si="10"/>
        <v>0</v>
      </c>
      <c r="R71" s="142">
        <f t="shared" si="11"/>
        <v>0</v>
      </c>
      <c r="S71" s="314"/>
      <c r="T71" s="314"/>
    </row>
    <row r="72" spans="1:20" s="84" customFormat="1" ht="24.95" customHeight="1">
      <c r="A72" s="3" t="s">
        <v>206</v>
      </c>
      <c r="B72" s="3" t="s">
        <v>380</v>
      </c>
      <c r="C72" s="3"/>
      <c r="D72" s="26" t="s">
        <v>207</v>
      </c>
      <c r="E72" s="63"/>
      <c r="F72" s="63"/>
      <c r="G72" s="63"/>
      <c r="H72" s="63"/>
      <c r="I72" s="63"/>
      <c r="J72" s="63"/>
      <c r="K72" s="63"/>
      <c r="L72" s="63"/>
      <c r="M72" s="63"/>
      <c r="N72" s="63"/>
      <c r="O72" s="63"/>
      <c r="P72" s="63"/>
      <c r="Q72" s="142">
        <f t="shared" si="10"/>
        <v>0</v>
      </c>
      <c r="R72" s="142">
        <f t="shared" si="11"/>
        <v>0</v>
      </c>
      <c r="S72" s="314"/>
      <c r="T72" s="314"/>
    </row>
    <row r="73" spans="1:20" s="84" customFormat="1" ht="24.95" customHeight="1">
      <c r="A73" s="3" t="s">
        <v>208</v>
      </c>
      <c r="B73" s="3" t="s">
        <v>380</v>
      </c>
      <c r="C73" s="3"/>
      <c r="D73" s="26" t="s">
        <v>209</v>
      </c>
      <c r="E73" s="63"/>
      <c r="F73" s="63"/>
      <c r="G73" s="63"/>
      <c r="H73" s="63"/>
      <c r="I73" s="63"/>
      <c r="J73" s="63"/>
      <c r="K73" s="63"/>
      <c r="L73" s="63"/>
      <c r="M73" s="63"/>
      <c r="N73" s="63"/>
      <c r="O73" s="63"/>
      <c r="P73" s="63"/>
      <c r="Q73" s="142">
        <f t="shared" si="10"/>
        <v>0</v>
      </c>
      <c r="R73" s="142">
        <f t="shared" si="11"/>
        <v>0</v>
      </c>
      <c r="S73" s="314"/>
      <c r="T73" s="314"/>
    </row>
    <row r="74" spans="1:20" s="84" customFormat="1" ht="24.95" customHeight="1">
      <c r="A74" s="3" t="s">
        <v>210</v>
      </c>
      <c r="B74" s="3" t="s">
        <v>380</v>
      </c>
      <c r="C74" s="3"/>
      <c r="D74" s="26" t="s">
        <v>211</v>
      </c>
      <c r="E74" s="63">
        <v>1000</v>
      </c>
      <c r="F74" s="63">
        <v>1000</v>
      </c>
      <c r="G74" s="63">
        <v>1000</v>
      </c>
      <c r="H74" s="63">
        <v>1000</v>
      </c>
      <c r="I74" s="63">
        <v>1000</v>
      </c>
      <c r="J74" s="63">
        <v>1000</v>
      </c>
      <c r="K74" s="63">
        <v>1000</v>
      </c>
      <c r="L74" s="63">
        <v>1000</v>
      </c>
      <c r="M74" s="63">
        <v>1000</v>
      </c>
      <c r="N74" s="63">
        <v>1000</v>
      </c>
      <c r="O74" s="63">
        <v>1000</v>
      </c>
      <c r="P74" s="63">
        <v>1000</v>
      </c>
      <c r="Q74" s="142">
        <f t="shared" si="10"/>
        <v>12000</v>
      </c>
      <c r="R74" s="142">
        <f t="shared" si="11"/>
        <v>0.16964772192104957</v>
      </c>
      <c r="S74" s="314"/>
      <c r="T74" s="314"/>
    </row>
    <row r="75" spans="1:20" s="84" customFormat="1" ht="24.95" customHeight="1">
      <c r="A75" s="3" t="s">
        <v>212</v>
      </c>
      <c r="B75" s="3" t="s">
        <v>380</v>
      </c>
      <c r="C75" s="3"/>
      <c r="D75" s="26" t="s">
        <v>213</v>
      </c>
      <c r="E75" s="63"/>
      <c r="F75" s="63"/>
      <c r="G75" s="63"/>
      <c r="H75" s="63"/>
      <c r="I75" s="63"/>
      <c r="J75" s="63"/>
      <c r="K75" s="63"/>
      <c r="L75" s="63"/>
      <c r="M75" s="63"/>
      <c r="N75" s="63"/>
      <c r="O75" s="63"/>
      <c r="P75" s="63"/>
      <c r="Q75" s="142">
        <f t="shared" si="10"/>
        <v>0</v>
      </c>
      <c r="R75" s="142">
        <f t="shared" si="11"/>
        <v>0</v>
      </c>
      <c r="S75" s="314"/>
      <c r="T75" s="314"/>
    </row>
    <row r="76" spans="1:20" s="84" customFormat="1" ht="24.95" customHeight="1">
      <c r="A76" s="3" t="s">
        <v>214</v>
      </c>
      <c r="B76" s="3" t="s">
        <v>380</v>
      </c>
      <c r="C76" s="3"/>
      <c r="D76" s="26" t="s">
        <v>215</v>
      </c>
      <c r="E76" s="63"/>
      <c r="F76" s="63"/>
      <c r="G76" s="63"/>
      <c r="H76" s="63"/>
      <c r="I76" s="63"/>
      <c r="J76" s="63"/>
      <c r="K76" s="63"/>
      <c r="L76" s="63"/>
      <c r="M76" s="63"/>
      <c r="N76" s="63"/>
      <c r="O76" s="63"/>
      <c r="P76" s="63"/>
      <c r="Q76" s="142">
        <f t="shared" si="10"/>
        <v>0</v>
      </c>
      <c r="R76" s="142">
        <f t="shared" si="11"/>
        <v>0</v>
      </c>
      <c r="S76" s="314"/>
      <c r="T76" s="314"/>
    </row>
    <row r="77" spans="1:20" s="84" customFormat="1" ht="24.95" customHeight="1">
      <c r="A77" s="3" t="s">
        <v>216</v>
      </c>
      <c r="B77" s="3" t="s">
        <v>380</v>
      </c>
      <c r="C77" s="3"/>
      <c r="D77" s="26" t="s">
        <v>217</v>
      </c>
      <c r="E77" s="312">
        <v>500</v>
      </c>
      <c r="F77" s="312">
        <v>500</v>
      </c>
      <c r="G77" s="312">
        <v>500</v>
      </c>
      <c r="H77" s="312">
        <v>500</v>
      </c>
      <c r="I77" s="312">
        <v>500</v>
      </c>
      <c r="J77" s="312">
        <v>500</v>
      </c>
      <c r="K77" s="312">
        <v>500</v>
      </c>
      <c r="L77" s="312">
        <v>500</v>
      </c>
      <c r="M77" s="312">
        <v>500</v>
      </c>
      <c r="N77" s="312">
        <v>500</v>
      </c>
      <c r="O77" s="312">
        <v>500</v>
      </c>
      <c r="P77" s="312">
        <v>500</v>
      </c>
      <c r="Q77" s="142">
        <f t="shared" si="10"/>
        <v>6000</v>
      </c>
      <c r="R77" s="142">
        <f t="shared" si="11"/>
        <v>8.4823860960524786E-2</v>
      </c>
      <c r="S77" s="314"/>
      <c r="T77" s="314"/>
    </row>
    <row r="78" spans="1:20" s="84" customFormat="1" ht="24.95" customHeight="1">
      <c r="A78" s="3" t="s">
        <v>218</v>
      </c>
      <c r="B78" s="3" t="s">
        <v>380</v>
      </c>
      <c r="C78" s="3"/>
      <c r="D78" s="26" t="s">
        <v>219</v>
      </c>
      <c r="E78" s="63"/>
      <c r="F78" s="63"/>
      <c r="G78" s="63"/>
      <c r="H78" s="63"/>
      <c r="I78" s="63"/>
      <c r="J78" s="63"/>
      <c r="K78" s="63"/>
      <c r="L78" s="63"/>
      <c r="M78" s="63"/>
      <c r="N78" s="63"/>
      <c r="O78" s="63"/>
      <c r="P78" s="63"/>
      <c r="Q78" s="142">
        <f t="shared" si="10"/>
        <v>0</v>
      </c>
      <c r="R78" s="142">
        <f t="shared" si="11"/>
        <v>0</v>
      </c>
      <c r="S78" s="314"/>
      <c r="T78" s="314"/>
    </row>
    <row r="79" spans="1:20" s="84" customFormat="1" ht="24.95" customHeight="1">
      <c r="A79" s="3" t="s">
        <v>220</v>
      </c>
      <c r="B79" s="3" t="s">
        <v>380</v>
      </c>
      <c r="C79" s="3"/>
      <c r="D79" s="26" t="s">
        <v>221</v>
      </c>
      <c r="E79" s="63"/>
      <c r="F79" s="63"/>
      <c r="G79" s="63"/>
      <c r="H79" s="63"/>
      <c r="I79" s="63"/>
      <c r="J79" s="63"/>
      <c r="K79" s="63"/>
      <c r="L79" s="63"/>
      <c r="M79" s="63"/>
      <c r="N79" s="63"/>
      <c r="O79" s="63"/>
      <c r="P79" s="63"/>
      <c r="Q79" s="142">
        <f t="shared" si="10"/>
        <v>0</v>
      </c>
      <c r="R79" s="142">
        <f t="shared" si="11"/>
        <v>0</v>
      </c>
      <c r="S79" s="314"/>
      <c r="T79" s="314"/>
    </row>
    <row r="80" spans="1:20" s="84" customFormat="1" ht="24.95" customHeight="1">
      <c r="A80" s="3" t="s">
        <v>222</v>
      </c>
      <c r="B80" s="3" t="s">
        <v>380</v>
      </c>
      <c r="C80" s="3"/>
      <c r="D80" s="26" t="s">
        <v>223</v>
      </c>
      <c r="E80" s="63"/>
      <c r="F80" s="63"/>
      <c r="G80" s="63"/>
      <c r="H80" s="63"/>
      <c r="I80" s="63"/>
      <c r="J80" s="63"/>
      <c r="K80" s="63"/>
      <c r="L80" s="63"/>
      <c r="M80" s="63"/>
      <c r="N80" s="63"/>
      <c r="O80" s="63"/>
      <c r="P80" s="63"/>
      <c r="Q80" s="142">
        <f t="shared" si="10"/>
        <v>0</v>
      </c>
      <c r="R80" s="142">
        <f t="shared" si="11"/>
        <v>0</v>
      </c>
      <c r="S80" s="314"/>
      <c r="T80" s="314"/>
    </row>
    <row r="81" spans="1:20" s="84" customFormat="1" ht="24.95" customHeight="1">
      <c r="A81" s="3" t="s">
        <v>224</v>
      </c>
      <c r="B81" s="3" t="s">
        <v>380</v>
      </c>
      <c r="C81" s="3"/>
      <c r="D81" s="26" t="s">
        <v>225</v>
      </c>
      <c r="E81" s="63"/>
      <c r="F81" s="63"/>
      <c r="G81" s="63"/>
      <c r="H81" s="63"/>
      <c r="I81" s="63"/>
      <c r="J81" s="63"/>
      <c r="K81" s="63"/>
      <c r="L81" s="63"/>
      <c r="M81" s="63"/>
      <c r="N81" s="63"/>
      <c r="O81" s="63"/>
      <c r="P81" s="63"/>
      <c r="Q81" s="142">
        <f t="shared" si="10"/>
        <v>0</v>
      </c>
      <c r="R81" s="142">
        <f t="shared" si="11"/>
        <v>0</v>
      </c>
      <c r="S81" s="314"/>
      <c r="T81" s="314"/>
    </row>
    <row r="82" spans="1:20" s="84" customFormat="1" ht="24.95" hidden="1" customHeight="1">
      <c r="A82" s="3" t="s">
        <v>226</v>
      </c>
      <c r="B82" s="3" t="s">
        <v>380</v>
      </c>
      <c r="C82" s="3"/>
      <c r="D82" s="26" t="s">
        <v>227</v>
      </c>
      <c r="E82" s="63"/>
      <c r="F82" s="63"/>
      <c r="G82" s="63"/>
      <c r="H82" s="63"/>
      <c r="I82" s="63"/>
      <c r="J82" s="63"/>
      <c r="K82" s="63"/>
      <c r="L82" s="63"/>
      <c r="M82" s="63"/>
      <c r="N82" s="63"/>
      <c r="O82" s="63"/>
      <c r="P82" s="63"/>
      <c r="Q82" s="142">
        <f t="shared" si="10"/>
        <v>0</v>
      </c>
      <c r="R82" s="142">
        <f t="shared" si="11"/>
        <v>0</v>
      </c>
      <c r="S82" s="314"/>
      <c r="T82" s="314"/>
    </row>
    <row r="83" spans="1:20" s="84" customFormat="1" ht="24.95" hidden="1" customHeight="1">
      <c r="A83" s="3" t="s">
        <v>228</v>
      </c>
      <c r="B83" s="3" t="s">
        <v>380</v>
      </c>
      <c r="C83" s="3"/>
      <c r="D83" s="26" t="s">
        <v>229</v>
      </c>
      <c r="E83" s="63"/>
      <c r="F83" s="63"/>
      <c r="G83" s="63"/>
      <c r="H83" s="63"/>
      <c r="I83" s="63"/>
      <c r="J83" s="63"/>
      <c r="K83" s="63"/>
      <c r="L83" s="63"/>
      <c r="M83" s="63"/>
      <c r="N83" s="63"/>
      <c r="O83" s="63"/>
      <c r="P83" s="63"/>
      <c r="Q83" s="142">
        <f t="shared" si="10"/>
        <v>0</v>
      </c>
      <c r="R83" s="142">
        <f t="shared" si="11"/>
        <v>0</v>
      </c>
      <c r="S83" s="314"/>
      <c r="T83" s="314"/>
    </row>
    <row r="84" spans="1:20" s="84" customFormat="1" ht="24.95" hidden="1" customHeight="1">
      <c r="A84" s="3" t="s">
        <v>230</v>
      </c>
      <c r="B84" s="3" t="s">
        <v>380</v>
      </c>
      <c r="C84" s="3"/>
      <c r="D84" s="26" t="s">
        <v>231</v>
      </c>
      <c r="E84" s="63"/>
      <c r="F84" s="63"/>
      <c r="G84" s="63"/>
      <c r="H84" s="63"/>
      <c r="I84" s="63"/>
      <c r="J84" s="63"/>
      <c r="K84" s="63"/>
      <c r="L84" s="63"/>
      <c r="M84" s="63"/>
      <c r="N84" s="63"/>
      <c r="O84" s="63"/>
      <c r="P84" s="63"/>
      <c r="Q84" s="142">
        <f t="shared" si="10"/>
        <v>0</v>
      </c>
      <c r="R84" s="142">
        <f t="shared" si="11"/>
        <v>0</v>
      </c>
      <c r="S84" s="314"/>
      <c r="T84" s="314"/>
    </row>
    <row r="85" spans="1:20" s="84" customFormat="1" ht="24.95" hidden="1" customHeight="1">
      <c r="A85" s="3" t="s">
        <v>232</v>
      </c>
      <c r="B85" s="3" t="s">
        <v>380</v>
      </c>
      <c r="C85" s="3"/>
      <c r="D85" s="26" t="s">
        <v>233</v>
      </c>
      <c r="E85" s="63"/>
      <c r="F85" s="63"/>
      <c r="G85" s="63"/>
      <c r="H85" s="63"/>
      <c r="I85" s="63"/>
      <c r="J85" s="63"/>
      <c r="K85" s="63"/>
      <c r="L85" s="63"/>
      <c r="M85" s="63"/>
      <c r="N85" s="63"/>
      <c r="O85" s="63"/>
      <c r="P85" s="63"/>
      <c r="Q85" s="142">
        <f t="shared" si="10"/>
        <v>0</v>
      </c>
      <c r="R85" s="142">
        <f t="shared" si="11"/>
        <v>0</v>
      </c>
      <c r="S85" s="314"/>
      <c r="T85" s="314"/>
    </row>
    <row r="86" spans="1:20" s="84" customFormat="1" ht="24.95" hidden="1" customHeight="1">
      <c r="A86" s="3" t="s">
        <v>434</v>
      </c>
      <c r="B86" s="3" t="s">
        <v>380</v>
      </c>
      <c r="C86" s="3"/>
      <c r="D86" s="26" t="s">
        <v>435</v>
      </c>
      <c r="E86" s="63"/>
      <c r="F86" s="63"/>
      <c r="G86" s="63"/>
      <c r="H86" s="63"/>
      <c r="I86" s="63"/>
      <c r="J86" s="63"/>
      <c r="K86" s="63"/>
      <c r="L86" s="63"/>
      <c r="M86" s="63"/>
      <c r="N86" s="63"/>
      <c r="O86" s="63"/>
      <c r="P86" s="63"/>
      <c r="Q86" s="142">
        <f t="shared" si="10"/>
        <v>0</v>
      </c>
      <c r="R86" s="142">
        <f t="shared" si="11"/>
        <v>0</v>
      </c>
      <c r="S86" s="314"/>
      <c r="T86" s="314"/>
    </row>
    <row r="87" spans="1:20" s="84" customFormat="1" ht="24.95" hidden="1" customHeight="1">
      <c r="A87" s="3" t="s">
        <v>234</v>
      </c>
      <c r="B87" s="3" t="s">
        <v>380</v>
      </c>
      <c r="C87" s="3"/>
      <c r="D87" s="26" t="s">
        <v>235</v>
      </c>
      <c r="E87" s="63"/>
      <c r="F87" s="63"/>
      <c r="G87" s="63"/>
      <c r="H87" s="63"/>
      <c r="I87" s="63"/>
      <c r="J87" s="63"/>
      <c r="K87" s="63"/>
      <c r="L87" s="63"/>
      <c r="M87" s="63"/>
      <c r="N87" s="63"/>
      <c r="O87" s="63"/>
      <c r="P87" s="63"/>
      <c r="Q87" s="142">
        <f t="shared" si="10"/>
        <v>0</v>
      </c>
      <c r="R87" s="142">
        <f t="shared" si="11"/>
        <v>0</v>
      </c>
      <c r="S87" s="314"/>
      <c r="T87" s="314"/>
    </row>
    <row r="88" spans="1:20" s="84" customFormat="1" ht="24.95" hidden="1" customHeight="1">
      <c r="A88" s="3" t="s">
        <v>236</v>
      </c>
      <c r="B88" s="3" t="s">
        <v>380</v>
      </c>
      <c r="C88" s="3"/>
      <c r="D88" s="26" t="s">
        <v>237</v>
      </c>
      <c r="E88" s="63"/>
      <c r="F88" s="63"/>
      <c r="G88" s="63"/>
      <c r="H88" s="63"/>
      <c r="I88" s="63"/>
      <c r="J88" s="63"/>
      <c r="K88" s="63"/>
      <c r="L88" s="63"/>
      <c r="M88" s="63"/>
      <c r="N88" s="63"/>
      <c r="O88" s="63"/>
      <c r="P88" s="63"/>
      <c r="Q88" s="142">
        <f t="shared" si="10"/>
        <v>0</v>
      </c>
      <c r="R88" s="142">
        <f t="shared" si="11"/>
        <v>0</v>
      </c>
      <c r="S88" s="314"/>
      <c r="T88" s="314"/>
    </row>
    <row r="89" spans="1:20" s="84" customFormat="1" ht="24.95" hidden="1" customHeight="1">
      <c r="A89" s="3" t="s">
        <v>238</v>
      </c>
      <c r="B89" s="3" t="s">
        <v>380</v>
      </c>
      <c r="C89" s="3"/>
      <c r="D89" s="26" t="s">
        <v>239</v>
      </c>
      <c r="E89" s="63"/>
      <c r="F89" s="63"/>
      <c r="G89" s="63"/>
      <c r="H89" s="63"/>
      <c r="I89" s="63"/>
      <c r="J89" s="63"/>
      <c r="K89" s="63"/>
      <c r="L89" s="63"/>
      <c r="M89" s="63"/>
      <c r="N89" s="63"/>
      <c r="O89" s="63"/>
      <c r="P89" s="63"/>
      <c r="Q89" s="142">
        <f t="shared" si="10"/>
        <v>0</v>
      </c>
      <c r="R89" s="142">
        <f t="shared" si="11"/>
        <v>0</v>
      </c>
      <c r="S89" s="314"/>
      <c r="T89" s="314"/>
    </row>
    <row r="90" spans="1:20" s="84" customFormat="1" ht="24.95" hidden="1" customHeight="1">
      <c r="A90" s="3" t="s">
        <v>240</v>
      </c>
      <c r="B90" s="3" t="s">
        <v>380</v>
      </c>
      <c r="C90" s="3"/>
      <c r="D90" s="26" t="s">
        <v>241</v>
      </c>
      <c r="E90" s="63"/>
      <c r="F90" s="63"/>
      <c r="G90" s="63"/>
      <c r="H90" s="63"/>
      <c r="I90" s="63"/>
      <c r="J90" s="63"/>
      <c r="K90" s="63"/>
      <c r="L90" s="63"/>
      <c r="M90" s="63"/>
      <c r="N90" s="63"/>
      <c r="O90" s="63"/>
      <c r="P90" s="63"/>
      <c r="Q90" s="142">
        <f t="shared" si="10"/>
        <v>0</v>
      </c>
      <c r="R90" s="142">
        <f t="shared" si="11"/>
        <v>0</v>
      </c>
      <c r="S90" s="314"/>
      <c r="T90" s="314"/>
    </row>
    <row r="91" spans="1:20" s="84" customFormat="1" ht="24.95" hidden="1" customHeight="1">
      <c r="A91" s="3" t="s">
        <v>242</v>
      </c>
      <c r="B91" s="3" t="s">
        <v>380</v>
      </c>
      <c r="C91" s="3"/>
      <c r="D91" s="26" t="s">
        <v>243</v>
      </c>
      <c r="E91" s="63"/>
      <c r="F91" s="63"/>
      <c r="G91" s="63"/>
      <c r="H91" s="63"/>
      <c r="I91" s="63"/>
      <c r="J91" s="63"/>
      <c r="K91" s="63"/>
      <c r="L91" s="63"/>
      <c r="M91" s="63"/>
      <c r="N91" s="63"/>
      <c r="O91" s="63"/>
      <c r="P91" s="63"/>
      <c r="Q91" s="142">
        <f t="shared" si="10"/>
        <v>0</v>
      </c>
      <c r="R91" s="142">
        <f t="shared" si="11"/>
        <v>0</v>
      </c>
      <c r="S91" s="314"/>
      <c r="T91" s="314"/>
    </row>
    <row r="92" spans="1:20" s="84" customFormat="1" ht="24.95" hidden="1" customHeight="1">
      <c r="A92" s="3" t="s">
        <v>244</v>
      </c>
      <c r="B92" s="3" t="s">
        <v>380</v>
      </c>
      <c r="C92" s="3"/>
      <c r="D92" s="26" t="s">
        <v>245</v>
      </c>
      <c r="E92" s="63"/>
      <c r="F92" s="63"/>
      <c r="G92" s="63"/>
      <c r="H92" s="63"/>
      <c r="I92" s="63"/>
      <c r="J92" s="63"/>
      <c r="K92" s="63"/>
      <c r="L92" s="63"/>
      <c r="M92" s="63"/>
      <c r="N92" s="63"/>
      <c r="O92" s="63"/>
      <c r="P92" s="63"/>
      <c r="Q92" s="142">
        <f t="shared" si="10"/>
        <v>0</v>
      </c>
      <c r="R92" s="142">
        <f t="shared" si="11"/>
        <v>0</v>
      </c>
      <c r="S92" s="314"/>
      <c r="T92" s="314"/>
    </row>
    <row r="93" spans="1:20" s="84" customFormat="1" ht="24.95" customHeight="1">
      <c r="A93" s="3" t="s">
        <v>246</v>
      </c>
      <c r="B93" s="3" t="s">
        <v>380</v>
      </c>
      <c r="C93" s="3"/>
      <c r="D93" s="26" t="s">
        <v>247</v>
      </c>
      <c r="E93" s="63"/>
      <c r="F93" s="63"/>
      <c r="G93" s="63"/>
      <c r="H93" s="63"/>
      <c r="I93" s="63"/>
      <c r="J93" s="63"/>
      <c r="K93" s="63"/>
      <c r="L93" s="63"/>
      <c r="M93" s="63"/>
      <c r="N93" s="63"/>
      <c r="O93" s="63"/>
      <c r="P93" s="63"/>
      <c r="Q93" s="142">
        <f t="shared" si="10"/>
        <v>0</v>
      </c>
      <c r="R93" s="142">
        <f t="shared" si="11"/>
        <v>0</v>
      </c>
      <c r="S93" s="314"/>
      <c r="T93" s="314"/>
    </row>
    <row r="94" spans="1:20" s="84" customFormat="1" ht="24.6" customHeight="1">
      <c r="A94" s="3" t="s">
        <v>248</v>
      </c>
      <c r="B94" s="3" t="s">
        <v>380</v>
      </c>
      <c r="C94" s="3"/>
      <c r="D94" s="26" t="s">
        <v>249</v>
      </c>
      <c r="E94" s="63">
        <v>150</v>
      </c>
      <c r="F94" s="63">
        <v>150</v>
      </c>
      <c r="G94" s="63">
        <v>150</v>
      </c>
      <c r="H94" s="63">
        <v>150</v>
      </c>
      <c r="I94" s="63">
        <v>150</v>
      </c>
      <c r="J94" s="63">
        <v>150</v>
      </c>
      <c r="K94" s="63">
        <v>150</v>
      </c>
      <c r="L94" s="63">
        <v>150</v>
      </c>
      <c r="M94" s="63">
        <v>150</v>
      </c>
      <c r="N94" s="63">
        <v>150</v>
      </c>
      <c r="O94" s="63">
        <v>150</v>
      </c>
      <c r="P94" s="63">
        <v>150</v>
      </c>
      <c r="Q94" s="142">
        <f t="shared" si="10"/>
        <v>1800</v>
      </c>
      <c r="R94" s="142">
        <f t="shared" si="11"/>
        <v>2.5447158288157436E-2</v>
      </c>
      <c r="S94" s="314"/>
      <c r="T94" s="314"/>
    </row>
    <row r="95" spans="1:20" s="84" customFormat="1" ht="24.95" customHeight="1">
      <c r="A95" s="3" t="s">
        <v>250</v>
      </c>
      <c r="B95" s="3" t="s">
        <v>380</v>
      </c>
      <c r="C95" s="3"/>
      <c r="D95" s="26" t="s">
        <v>251</v>
      </c>
      <c r="E95" s="63">
        <f>Laundry!E205</f>
        <v>4741.08</v>
      </c>
      <c r="F95" s="63">
        <f>Laundry!F205</f>
        <v>5085.1099999999997</v>
      </c>
      <c r="G95" s="63">
        <f>Laundry!G205</f>
        <v>4728.37</v>
      </c>
      <c r="H95" s="63">
        <f>Laundry!H205</f>
        <v>5114.6000000000004</v>
      </c>
      <c r="I95" s="63">
        <f>Laundry!I205</f>
        <v>5162.21</v>
      </c>
      <c r="J95" s="63">
        <f>Laundry!J205</f>
        <v>5197</v>
      </c>
      <c r="K95" s="63">
        <f>Laundry!K205</f>
        <v>5158.6499999999996</v>
      </c>
      <c r="L95" s="63">
        <f>Laundry!L205</f>
        <v>5176.96</v>
      </c>
      <c r="M95" s="63">
        <f>Laundry!M205</f>
        <v>5416.72</v>
      </c>
      <c r="N95" s="63">
        <f>Laundry!N205</f>
        <v>5760.73</v>
      </c>
      <c r="O95" s="63">
        <f>Laundry!O205</f>
        <v>5017.66</v>
      </c>
      <c r="P95" s="63">
        <f>Laundry!P205</f>
        <v>4948.09</v>
      </c>
      <c r="Q95" s="142">
        <f t="shared" si="10"/>
        <v>61507.179999999993</v>
      </c>
      <c r="R95" s="142">
        <f t="shared" si="11"/>
        <v>0.86954608073232842</v>
      </c>
      <c r="S95" s="314"/>
      <c r="T95" s="314"/>
    </row>
    <row r="96" spans="1:20" s="84" customFormat="1" ht="24.95" customHeight="1">
      <c r="A96" s="3" t="s">
        <v>252</v>
      </c>
      <c r="B96" s="3" t="s">
        <v>380</v>
      </c>
      <c r="C96" s="3"/>
      <c r="D96" s="26" t="s">
        <v>253</v>
      </c>
      <c r="E96" s="27"/>
      <c r="F96" s="27"/>
      <c r="G96" s="27"/>
      <c r="H96" s="27"/>
      <c r="I96" s="27"/>
      <c r="J96" s="27"/>
      <c r="K96" s="27"/>
      <c r="L96" s="27"/>
      <c r="M96" s="27"/>
      <c r="N96" s="27"/>
      <c r="O96" s="27"/>
      <c r="P96" s="27"/>
      <c r="Q96" s="142">
        <f t="shared" si="10"/>
        <v>0</v>
      </c>
      <c r="R96" s="142">
        <f t="shared" si="11"/>
        <v>0</v>
      </c>
      <c r="S96" s="314"/>
      <c r="T96" s="314"/>
    </row>
    <row r="97" spans="1:20" s="84" customFormat="1" ht="24.95" customHeight="1">
      <c r="A97" s="3" t="s">
        <v>254</v>
      </c>
      <c r="B97" s="3" t="s">
        <v>380</v>
      </c>
      <c r="C97" s="3"/>
      <c r="D97" s="26" t="s">
        <v>255</v>
      </c>
      <c r="E97" s="63">
        <v>800</v>
      </c>
      <c r="F97" s="63">
        <v>800</v>
      </c>
      <c r="G97" s="63">
        <v>800</v>
      </c>
      <c r="H97" s="63">
        <v>800</v>
      </c>
      <c r="I97" s="63">
        <v>800</v>
      </c>
      <c r="J97" s="63">
        <v>800</v>
      </c>
      <c r="K97" s="63">
        <v>800</v>
      </c>
      <c r="L97" s="63">
        <v>800</v>
      </c>
      <c r="M97" s="63">
        <v>800</v>
      </c>
      <c r="N97" s="63">
        <v>800</v>
      </c>
      <c r="O97" s="63">
        <v>800</v>
      </c>
      <c r="P97" s="63">
        <v>800</v>
      </c>
      <c r="Q97" s="142">
        <f t="shared" si="10"/>
        <v>9600</v>
      </c>
      <c r="R97" s="142">
        <f t="shared" si="11"/>
        <v>0.13571817753683965</v>
      </c>
      <c r="S97" s="314"/>
      <c r="T97" s="314"/>
    </row>
    <row r="98" spans="1:20" s="84" customFormat="1" ht="24.95" customHeight="1">
      <c r="A98" s="3" t="s">
        <v>256</v>
      </c>
      <c r="B98" s="3" t="s">
        <v>380</v>
      </c>
      <c r="C98" s="3"/>
      <c r="D98" s="26" t="s">
        <v>257</v>
      </c>
      <c r="E98" s="63"/>
      <c r="F98" s="63"/>
      <c r="G98" s="63"/>
      <c r="H98" s="63"/>
      <c r="I98" s="63"/>
      <c r="J98" s="63"/>
      <c r="K98" s="63"/>
      <c r="L98" s="63"/>
      <c r="M98" s="63"/>
      <c r="N98" s="63"/>
      <c r="O98" s="63"/>
      <c r="P98" s="63"/>
      <c r="Q98" s="142">
        <f t="shared" si="10"/>
        <v>0</v>
      </c>
      <c r="R98" s="142">
        <f t="shared" si="11"/>
        <v>0</v>
      </c>
      <c r="S98" s="314"/>
      <c r="T98" s="314"/>
    </row>
    <row r="99" spans="1:20" s="84" customFormat="1" ht="24.95" customHeight="1">
      <c r="A99" s="3" t="s">
        <v>258</v>
      </c>
      <c r="B99" s="3" t="s">
        <v>380</v>
      </c>
      <c r="C99" s="3"/>
      <c r="D99" s="26" t="s">
        <v>259</v>
      </c>
      <c r="E99" s="63">
        <v>100</v>
      </c>
      <c r="F99" s="63">
        <v>100</v>
      </c>
      <c r="G99" s="63">
        <v>100</v>
      </c>
      <c r="H99" s="63">
        <v>100</v>
      </c>
      <c r="I99" s="63">
        <v>100</v>
      </c>
      <c r="J99" s="63">
        <v>100</v>
      </c>
      <c r="K99" s="63">
        <v>100</v>
      </c>
      <c r="L99" s="63">
        <v>100</v>
      </c>
      <c r="M99" s="63">
        <v>100</v>
      </c>
      <c r="N99" s="63">
        <v>100</v>
      </c>
      <c r="O99" s="63">
        <v>100</v>
      </c>
      <c r="P99" s="63">
        <v>100</v>
      </c>
      <c r="Q99" s="142">
        <f t="shared" si="10"/>
        <v>1200</v>
      </c>
      <c r="R99" s="142">
        <f t="shared" si="11"/>
        <v>1.6964772192104956E-2</v>
      </c>
      <c r="S99" s="314"/>
      <c r="T99" s="314"/>
    </row>
    <row r="100" spans="1:20" s="84" customFormat="1" ht="24.95" customHeight="1">
      <c r="A100" s="3" t="s">
        <v>260</v>
      </c>
      <c r="B100" s="3" t="s">
        <v>380</v>
      </c>
      <c r="C100" s="3"/>
      <c r="D100" s="26" t="s">
        <v>261</v>
      </c>
      <c r="E100" s="63"/>
      <c r="F100" s="63"/>
      <c r="G100" s="63"/>
      <c r="H100" s="63">
        <v>1500</v>
      </c>
      <c r="I100" s="63">
        <v>1500</v>
      </c>
      <c r="J100" s="63">
        <v>1500</v>
      </c>
      <c r="K100" s="63">
        <v>1500</v>
      </c>
      <c r="L100" s="63">
        <v>1500</v>
      </c>
      <c r="M100" s="63">
        <v>1500</v>
      </c>
      <c r="N100" s="63">
        <v>1500</v>
      </c>
      <c r="O100" s="63">
        <v>1500</v>
      </c>
      <c r="P100" s="63">
        <v>1500</v>
      </c>
      <c r="Q100" s="142">
        <f t="shared" si="10"/>
        <v>13500</v>
      </c>
      <c r="R100" s="142">
        <f t="shared" si="11"/>
        <v>0.19085368716118079</v>
      </c>
      <c r="S100" s="314"/>
      <c r="T100" s="314"/>
    </row>
    <row r="101" spans="1:20" s="84" customFormat="1" ht="24.95" customHeight="1">
      <c r="A101" s="3" t="s">
        <v>262</v>
      </c>
      <c r="B101" s="3" t="s">
        <v>380</v>
      </c>
      <c r="C101" s="3"/>
      <c r="D101" s="26" t="s">
        <v>263</v>
      </c>
      <c r="E101" s="63"/>
      <c r="F101" s="63"/>
      <c r="G101" s="63"/>
      <c r="H101" s="63"/>
      <c r="I101" s="63"/>
      <c r="J101" s="63"/>
      <c r="K101" s="63"/>
      <c r="L101" s="63"/>
      <c r="M101" s="63"/>
      <c r="N101" s="63"/>
      <c r="O101" s="63"/>
      <c r="P101" s="63"/>
      <c r="Q101" s="142">
        <f t="shared" si="10"/>
        <v>0</v>
      </c>
      <c r="R101" s="142">
        <f t="shared" si="11"/>
        <v>0</v>
      </c>
      <c r="S101" s="314"/>
      <c r="T101" s="314"/>
    </row>
    <row r="102" spans="1:20" s="84" customFormat="1" ht="24.95" customHeight="1">
      <c r="A102" s="3" t="s">
        <v>264</v>
      </c>
      <c r="B102" s="3" t="s">
        <v>380</v>
      </c>
      <c r="C102" s="3"/>
      <c r="D102" s="26" t="s">
        <v>265</v>
      </c>
      <c r="E102" s="63"/>
      <c r="F102" s="63"/>
      <c r="G102" s="63"/>
      <c r="H102" s="63"/>
      <c r="I102" s="63"/>
      <c r="J102" s="63"/>
      <c r="K102" s="63"/>
      <c r="L102" s="63"/>
      <c r="M102" s="63"/>
      <c r="N102" s="63"/>
      <c r="O102" s="63"/>
      <c r="P102" s="63"/>
      <c r="Q102" s="142">
        <f t="shared" si="10"/>
        <v>0</v>
      </c>
      <c r="R102" s="142">
        <f t="shared" si="11"/>
        <v>0</v>
      </c>
      <c r="S102" s="314"/>
      <c r="T102" s="314"/>
    </row>
    <row r="103" spans="1:20" s="84" customFormat="1" ht="24.95" customHeight="1">
      <c r="A103" s="3" t="s">
        <v>266</v>
      </c>
      <c r="B103" s="3" t="s">
        <v>380</v>
      </c>
      <c r="C103" s="3"/>
      <c r="D103" s="26" t="s">
        <v>267</v>
      </c>
      <c r="E103" s="63"/>
      <c r="F103" s="63"/>
      <c r="G103" s="63"/>
      <c r="H103" s="63"/>
      <c r="I103" s="63"/>
      <c r="J103" s="63"/>
      <c r="K103" s="63"/>
      <c r="L103" s="63"/>
      <c r="M103" s="63"/>
      <c r="N103" s="63"/>
      <c r="O103" s="63"/>
      <c r="P103" s="63"/>
      <c r="Q103" s="142">
        <f t="shared" si="10"/>
        <v>0</v>
      </c>
      <c r="R103" s="142">
        <f t="shared" si="11"/>
        <v>0</v>
      </c>
      <c r="S103" s="314"/>
      <c r="T103" s="314"/>
    </row>
    <row r="104" spans="1:20" s="84" customFormat="1" ht="24.95" customHeight="1">
      <c r="A104" s="3" t="s">
        <v>268</v>
      </c>
      <c r="B104" s="3" t="s">
        <v>380</v>
      </c>
      <c r="C104" s="3"/>
      <c r="D104" s="26" t="s">
        <v>269</v>
      </c>
      <c r="E104" s="63"/>
      <c r="F104" s="63"/>
      <c r="G104" s="63"/>
      <c r="H104" s="63"/>
      <c r="I104" s="63"/>
      <c r="J104" s="63"/>
      <c r="K104" s="63"/>
      <c r="L104" s="63"/>
      <c r="M104" s="63"/>
      <c r="N104" s="63"/>
      <c r="O104" s="63"/>
      <c r="P104" s="63"/>
      <c r="Q104" s="142">
        <f t="shared" ref="Q104:Q107" si="19">SUM(E104:P104)</f>
        <v>0</v>
      </c>
      <c r="R104" s="142">
        <f>Q104/$Q$117</f>
        <v>0</v>
      </c>
      <c r="S104" s="314"/>
      <c r="T104" s="314"/>
    </row>
    <row r="105" spans="1:20" s="84" customFormat="1" ht="24.95" customHeight="1">
      <c r="A105" s="3" t="s">
        <v>270</v>
      </c>
      <c r="B105" s="3" t="s">
        <v>380</v>
      </c>
      <c r="C105" s="3"/>
      <c r="D105" s="26" t="s">
        <v>271</v>
      </c>
      <c r="E105" s="63"/>
      <c r="F105" s="63"/>
      <c r="G105" s="63"/>
      <c r="H105" s="63"/>
      <c r="I105" s="63"/>
      <c r="J105" s="63"/>
      <c r="K105" s="63"/>
      <c r="L105" s="63"/>
      <c r="M105" s="63"/>
      <c r="N105" s="63"/>
      <c r="O105" s="63"/>
      <c r="P105" s="63"/>
      <c r="Q105" s="142">
        <f t="shared" si="19"/>
        <v>0</v>
      </c>
      <c r="R105" s="142">
        <f>Q105/$Q$117</f>
        <v>0</v>
      </c>
      <c r="S105" s="314"/>
      <c r="T105" s="314"/>
    </row>
    <row r="106" spans="1:20" s="84" customFormat="1" ht="24.95" customHeight="1">
      <c r="A106" s="3" t="s">
        <v>272</v>
      </c>
      <c r="B106" s="3" t="s">
        <v>380</v>
      </c>
      <c r="C106" s="3"/>
      <c r="D106" s="26" t="s">
        <v>273</v>
      </c>
      <c r="E106" s="63">
        <v>200</v>
      </c>
      <c r="F106" s="63">
        <v>200</v>
      </c>
      <c r="G106" s="63">
        <v>200</v>
      </c>
      <c r="H106" s="63">
        <v>200</v>
      </c>
      <c r="I106" s="63">
        <v>200</v>
      </c>
      <c r="J106" s="63">
        <v>200</v>
      </c>
      <c r="K106" s="63">
        <v>200</v>
      </c>
      <c r="L106" s="63">
        <v>200</v>
      </c>
      <c r="M106" s="63">
        <v>200</v>
      </c>
      <c r="N106" s="63">
        <v>200</v>
      </c>
      <c r="O106" s="63">
        <v>200</v>
      </c>
      <c r="P106" s="63">
        <v>200</v>
      </c>
      <c r="Q106" s="142">
        <f t="shared" si="19"/>
        <v>2400</v>
      </c>
      <c r="R106" s="142">
        <f>Q106/$Q$117</f>
        <v>3.3929544384209913E-2</v>
      </c>
      <c r="S106" s="314"/>
      <c r="T106" s="314"/>
    </row>
    <row r="107" spans="1:20" s="353" customFormat="1" ht="24.6" customHeight="1">
      <c r="A107" s="372" t="s">
        <v>468</v>
      </c>
      <c r="B107" s="372" t="s">
        <v>380</v>
      </c>
      <c r="C107" s="372"/>
      <c r="D107" s="367" t="s">
        <v>480</v>
      </c>
      <c r="E107" s="63">
        <f>'Main Kitchen'!E133+STW!E134</f>
        <v>159693.56</v>
      </c>
      <c r="F107" s="63">
        <f>'Main Kitchen'!F133+STW!F134</f>
        <v>177355.46</v>
      </c>
      <c r="G107" s="63">
        <f>'Main Kitchen'!G133+STW!G134</f>
        <v>155586.32999999999</v>
      </c>
      <c r="H107" s="63">
        <f>'Main Kitchen'!H133+STW!H134</f>
        <v>158141.60999999999</v>
      </c>
      <c r="I107" s="63">
        <f>'Main Kitchen'!I133+STW!I134</f>
        <v>168772.38</v>
      </c>
      <c r="J107" s="63">
        <f>'Main Kitchen'!J133+STW!J134</f>
        <v>166962.43</v>
      </c>
      <c r="K107" s="63">
        <f>'Main Kitchen'!K133+STW!K134</f>
        <v>150458.92000000001</v>
      </c>
      <c r="L107" s="63">
        <f>'Main Kitchen'!L133+STW!L134</f>
        <v>144606.70000000001</v>
      </c>
      <c r="M107" s="63">
        <f>'Main Kitchen'!M133+STW!M134</f>
        <v>143063.62</v>
      </c>
      <c r="N107" s="63">
        <f>'Main Kitchen'!N133+STW!N134</f>
        <v>173528.75</v>
      </c>
      <c r="O107" s="63">
        <f>'Main Kitchen'!O133+STW!O134</f>
        <v>171157.03</v>
      </c>
      <c r="P107" s="63">
        <f>'Main Kitchen'!P133+STW!P134</f>
        <v>176630.21000000002</v>
      </c>
      <c r="Q107" s="336">
        <f t="shared" si="19"/>
        <v>1945956.9999999998</v>
      </c>
      <c r="R107" s="142">
        <f>Q107/$Q$117</f>
        <v>27.51059766719332</v>
      </c>
      <c r="S107" s="142"/>
      <c r="T107" s="142"/>
    </row>
    <row r="108" spans="1:20" s="84" customFormat="1" ht="24.95" customHeight="1">
      <c r="A108" s="3"/>
      <c r="B108" s="3"/>
      <c r="C108" s="3"/>
      <c r="D108" s="19" t="s">
        <v>274</v>
      </c>
      <c r="E108" s="160">
        <f t="shared" ref="E108:Q108" si="20">SUM(E39:E107)</f>
        <v>178329.68</v>
      </c>
      <c r="F108" s="160">
        <f t="shared" si="20"/>
        <v>193212.25</v>
      </c>
      <c r="G108" s="160">
        <f t="shared" si="20"/>
        <v>171983.06</v>
      </c>
      <c r="H108" s="160">
        <f>SUM(H39:H107)</f>
        <v>187906.72999999998</v>
      </c>
      <c r="I108" s="160">
        <f t="shared" si="20"/>
        <v>197581.19</v>
      </c>
      <c r="J108" s="160">
        <f t="shared" si="20"/>
        <v>192181.28999999998</v>
      </c>
      <c r="K108" s="160">
        <f t="shared" si="20"/>
        <v>174305.23</v>
      </c>
      <c r="L108" s="160">
        <f t="shared" si="20"/>
        <v>168516.2</v>
      </c>
      <c r="M108" s="160">
        <f t="shared" si="20"/>
        <v>167427.76</v>
      </c>
      <c r="N108" s="160">
        <f t="shared" si="20"/>
        <v>203076.12</v>
      </c>
      <c r="O108" s="160">
        <f t="shared" si="20"/>
        <v>195117.35</v>
      </c>
      <c r="P108" s="160">
        <f t="shared" si="20"/>
        <v>200528.44000000003</v>
      </c>
      <c r="Q108" s="160">
        <f t="shared" si="20"/>
        <v>2230165.2999999998</v>
      </c>
      <c r="R108" s="142">
        <f>Q108/$Q$117</f>
        <v>31.528538554364506</v>
      </c>
      <c r="S108" s="314"/>
      <c r="T108" s="314"/>
    </row>
    <row r="109" spans="1:20" s="84" customFormat="1" ht="24.95" customHeight="1">
      <c r="A109" s="3"/>
      <c r="B109" s="3"/>
      <c r="C109" s="3"/>
      <c r="D109" s="19" t="s">
        <v>275</v>
      </c>
      <c r="E109" s="160">
        <f t="shared" ref="E109:Q109" si="21">E28-E34-E36-E108</f>
        <v>-1440.9299999999639</v>
      </c>
      <c r="F109" s="160">
        <f t="shared" si="21"/>
        <v>-102792.78</v>
      </c>
      <c r="G109" s="160">
        <f t="shared" si="21"/>
        <v>-29996.229999999981</v>
      </c>
      <c r="H109" s="160">
        <f t="shared" si="21"/>
        <v>-9186.7299999999814</v>
      </c>
      <c r="I109" s="160">
        <f t="shared" si="21"/>
        <v>73233.200000000012</v>
      </c>
      <c r="J109" s="160">
        <f t="shared" si="21"/>
        <v>-11120.569999999978</v>
      </c>
      <c r="K109" s="160">
        <f t="shared" si="21"/>
        <v>26681.360000000015</v>
      </c>
      <c r="L109" s="160">
        <f t="shared" si="21"/>
        <v>34110.549999999988</v>
      </c>
      <c r="M109" s="160">
        <f t="shared" si="21"/>
        <v>39400.080000000016</v>
      </c>
      <c r="N109" s="160">
        <f t="shared" si="21"/>
        <v>116304.63</v>
      </c>
      <c r="O109" s="160">
        <f t="shared" si="21"/>
        <v>14629.24000000002</v>
      </c>
      <c r="P109" s="160">
        <f t="shared" si="21"/>
        <v>9141.5099999999802</v>
      </c>
      <c r="Q109" s="160">
        <f t="shared" si="21"/>
        <v>158963.33000000007</v>
      </c>
      <c r="R109" s="160"/>
      <c r="S109" s="314"/>
      <c r="T109" s="314"/>
    </row>
    <row r="110" spans="1:20" s="84" customFormat="1" ht="24.95" customHeight="1">
      <c r="A110" s="3"/>
      <c r="B110" s="3"/>
      <c r="C110" s="3"/>
      <c r="D110" s="19" t="s">
        <v>276</v>
      </c>
      <c r="E110" s="137">
        <f t="shared" ref="E110:Q110" si="22">IF(E109=0,0,E109/E28)</f>
        <v>-3.0483228121244181E-3</v>
      </c>
      <c r="F110" s="137">
        <f t="shared" si="22"/>
        <v>-0.32421426138299081</v>
      </c>
      <c r="G110" s="137">
        <f t="shared" si="22"/>
        <v>-7.7704803796615735E-2</v>
      </c>
      <c r="H110" s="137">
        <f t="shared" si="22"/>
        <v>-2.0289252365345331E-2</v>
      </c>
      <c r="I110" s="137">
        <f t="shared" si="22"/>
        <v>0.11119121076668936</v>
      </c>
      <c r="J110" s="137">
        <f t="shared" si="22"/>
        <v>-2.4324909005004676E-2</v>
      </c>
      <c r="K110" s="137">
        <f t="shared" si="22"/>
        <v>5.5062158458668374E-2</v>
      </c>
      <c r="L110" s="137">
        <f t="shared" si="22"/>
        <v>7.0012294543603526E-2</v>
      </c>
      <c r="M110" s="137">
        <f t="shared" si="22"/>
        <v>7.8824122533250135E-2</v>
      </c>
      <c r="N110" s="137">
        <f t="shared" si="22"/>
        <v>0.14825168130853988</v>
      </c>
      <c r="O110" s="137">
        <f t="shared" si="22"/>
        <v>2.9283781186945562E-2</v>
      </c>
      <c r="P110" s="137">
        <f t="shared" si="22"/>
        <v>1.8282727476360339E-2</v>
      </c>
      <c r="Q110" s="137">
        <f t="shared" si="22"/>
        <v>2.6493605734872173E-2</v>
      </c>
      <c r="R110" s="137"/>
      <c r="S110" s="314"/>
      <c r="T110" s="314"/>
    </row>
    <row r="111" spans="1:20" s="84" customFormat="1" ht="24.95" customHeight="1">
      <c r="A111" s="3"/>
      <c r="B111" s="3"/>
      <c r="C111" s="3"/>
      <c r="D111" s="19" t="s">
        <v>436</v>
      </c>
      <c r="E111" s="3"/>
      <c r="F111" s="3"/>
      <c r="G111" s="3"/>
      <c r="H111" s="3"/>
      <c r="I111" s="3"/>
      <c r="J111" s="3"/>
      <c r="K111" s="3"/>
      <c r="L111" s="3"/>
      <c r="S111" s="314"/>
      <c r="T111" s="314"/>
    </row>
    <row r="112" spans="1:20" s="84" customFormat="1" ht="28.35" customHeight="1">
      <c r="A112" s="50" t="s">
        <v>470</v>
      </c>
      <c r="B112" s="3" t="s">
        <v>380</v>
      </c>
      <c r="C112" s="3"/>
      <c r="D112" s="26" t="s">
        <v>453</v>
      </c>
      <c r="E112" s="81">
        <v>3084</v>
      </c>
      <c r="F112" s="81">
        <v>2808</v>
      </c>
      <c r="G112" s="81">
        <v>3762</v>
      </c>
      <c r="H112" s="81">
        <v>4302</v>
      </c>
      <c r="I112" s="81">
        <v>4446</v>
      </c>
      <c r="J112" s="81">
        <v>4122</v>
      </c>
      <c r="K112" s="81">
        <v>4722</v>
      </c>
      <c r="L112" s="81">
        <v>4782</v>
      </c>
      <c r="M112" s="81">
        <v>4842</v>
      </c>
      <c r="N112" s="81">
        <v>4932</v>
      </c>
      <c r="O112" s="81">
        <v>4722</v>
      </c>
      <c r="P112" s="81">
        <v>4482</v>
      </c>
      <c r="Q112" s="171">
        <f>SUM(E112:P112)</f>
        <v>51006</v>
      </c>
      <c r="R112" s="171"/>
      <c r="S112" s="314"/>
      <c r="T112" s="314"/>
    </row>
    <row r="113" spans="1:20" s="84" customFormat="1" ht="24.95" customHeight="1">
      <c r="A113" s="3" t="s">
        <v>471</v>
      </c>
      <c r="B113" s="3" t="s">
        <v>380</v>
      </c>
      <c r="C113" s="3"/>
      <c r="D113" s="26" t="s">
        <v>455</v>
      </c>
      <c r="E113" s="81">
        <v>652.17391304347825</v>
      </c>
      <c r="F113" s="81">
        <v>507.24637681159419</v>
      </c>
      <c r="G113" s="81">
        <v>703.125</v>
      </c>
      <c r="H113" s="81">
        <v>742.1875</v>
      </c>
      <c r="I113" s="81">
        <v>859.375</v>
      </c>
      <c r="J113" s="81">
        <v>703.125</v>
      </c>
      <c r="K113" s="81">
        <v>703.125</v>
      </c>
      <c r="L113" s="81">
        <v>703.125</v>
      </c>
      <c r="M113" s="81">
        <v>703.125</v>
      </c>
      <c r="N113" s="81">
        <v>781.25</v>
      </c>
      <c r="O113" s="81">
        <v>703.125</v>
      </c>
      <c r="P113" s="81">
        <v>703.125</v>
      </c>
      <c r="Q113" s="171">
        <f>SUM(E113:P113)</f>
        <v>8464.107789855072</v>
      </c>
      <c r="R113" s="171"/>
      <c r="S113" s="314"/>
      <c r="T113" s="314"/>
    </row>
    <row r="114" spans="1:20" s="84" customFormat="1" ht="24.95" customHeight="1">
      <c r="A114" s="3" t="s">
        <v>472</v>
      </c>
      <c r="B114" s="3" t="s">
        <v>380</v>
      </c>
      <c r="C114" s="3"/>
      <c r="D114" s="26" t="s">
        <v>457</v>
      </c>
      <c r="E114" s="81">
        <v>900</v>
      </c>
      <c r="F114" s="81">
        <v>600</v>
      </c>
      <c r="G114" s="81">
        <v>625</v>
      </c>
      <c r="H114" s="81">
        <v>800</v>
      </c>
      <c r="I114" s="81">
        <v>950</v>
      </c>
      <c r="J114" s="81">
        <v>875</v>
      </c>
      <c r="K114" s="81">
        <v>875</v>
      </c>
      <c r="L114" s="81">
        <v>875</v>
      </c>
      <c r="M114" s="81">
        <v>925</v>
      </c>
      <c r="N114" s="81">
        <v>1000</v>
      </c>
      <c r="O114" s="81">
        <v>950</v>
      </c>
      <c r="P114" s="81">
        <v>1000</v>
      </c>
      <c r="Q114" s="171">
        <f>SUM(E114:P114)</f>
        <v>10375</v>
      </c>
      <c r="R114" s="171"/>
      <c r="S114" s="314"/>
      <c r="T114" s="314"/>
    </row>
    <row r="115" spans="1:20" s="84" customFormat="1" ht="24.95" customHeight="1">
      <c r="A115" s="3" t="s">
        <v>473</v>
      </c>
      <c r="B115" s="3" t="s">
        <v>380</v>
      </c>
      <c r="C115" s="3"/>
      <c r="D115" s="26" t="s">
        <v>459</v>
      </c>
      <c r="E115" s="81">
        <v>51.470588235294116</v>
      </c>
      <c r="F115" s="81">
        <v>29.411764705882351</v>
      </c>
      <c r="G115" s="81">
        <v>29.411764705882351</v>
      </c>
      <c r="H115" s="81">
        <v>58.823529411764703</v>
      </c>
      <c r="I115" s="81">
        <v>88.235294117647058</v>
      </c>
      <c r="J115" s="81">
        <v>73.529411764705884</v>
      </c>
      <c r="K115" s="81">
        <v>88.235294117647058</v>
      </c>
      <c r="L115" s="81">
        <v>88.235294117647058</v>
      </c>
      <c r="M115" s="80">
        <v>88.235294117647058</v>
      </c>
      <c r="N115" s="80">
        <v>117.64705882352941</v>
      </c>
      <c r="O115" s="80">
        <v>88.235294117647058</v>
      </c>
      <c r="P115" s="80">
        <v>88.235294117647058</v>
      </c>
      <c r="Q115" s="171">
        <f>SUM(E115:P115)</f>
        <v>889.70588235294122</v>
      </c>
      <c r="R115" s="171"/>
      <c r="S115" s="314"/>
      <c r="T115" s="314"/>
    </row>
    <row r="116" spans="1:20" s="84" customFormat="1" ht="24.95" customHeight="1">
      <c r="A116" s="3" t="s">
        <v>474</v>
      </c>
      <c r="B116" s="3" t="s">
        <v>380</v>
      </c>
      <c r="C116" s="3"/>
      <c r="D116" s="26" t="s">
        <v>461</v>
      </c>
      <c r="E116" s="81"/>
      <c r="F116" s="81"/>
      <c r="G116" s="81"/>
      <c r="H116" s="81"/>
      <c r="I116" s="81"/>
      <c r="J116" s="81"/>
      <c r="K116" s="81"/>
      <c r="L116" s="81"/>
      <c r="M116" s="27"/>
      <c r="N116" s="27"/>
      <c r="O116" s="27"/>
      <c r="P116" s="27"/>
      <c r="Q116" s="171">
        <f>SUM(E116:P116)</f>
        <v>0</v>
      </c>
      <c r="R116" s="171"/>
      <c r="S116" s="314"/>
      <c r="T116" s="314"/>
    </row>
    <row r="117" spans="1:20" s="84" customFormat="1" ht="24.95" customHeight="1">
      <c r="A117" s="3"/>
      <c r="B117" s="3"/>
      <c r="C117" s="3"/>
      <c r="D117" s="19" t="s">
        <v>439</v>
      </c>
      <c r="E117" s="169">
        <f>SUM(E112:E116)</f>
        <v>4687.6445012787717</v>
      </c>
      <c r="F117" s="169">
        <f t="shared" ref="F117:Q117" si="23">SUM(F112:F116)</f>
        <v>3944.6581415174765</v>
      </c>
      <c r="G117" s="169">
        <f t="shared" si="23"/>
        <v>5119.536764705882</v>
      </c>
      <c r="H117" s="169">
        <f t="shared" si="23"/>
        <v>5903.0110294117649</v>
      </c>
      <c r="I117" s="169">
        <f t="shared" si="23"/>
        <v>6343.6102941176468</v>
      </c>
      <c r="J117" s="169">
        <f t="shared" si="23"/>
        <v>5773.6544117647063</v>
      </c>
      <c r="K117" s="169">
        <f t="shared" si="23"/>
        <v>6388.3602941176468</v>
      </c>
      <c r="L117" s="169">
        <f t="shared" si="23"/>
        <v>6448.3602941176468</v>
      </c>
      <c r="M117" s="169">
        <f t="shared" si="23"/>
        <v>6558.3602941176468</v>
      </c>
      <c r="N117" s="169">
        <f t="shared" si="23"/>
        <v>6830.8970588235297</v>
      </c>
      <c r="O117" s="169">
        <f t="shared" si="23"/>
        <v>6463.3602941176468</v>
      </c>
      <c r="P117" s="169">
        <f t="shared" si="23"/>
        <v>6273.3602941176468</v>
      </c>
      <c r="Q117" s="169">
        <f t="shared" si="23"/>
        <v>70734.813672208009</v>
      </c>
      <c r="R117" s="169"/>
      <c r="S117" s="314"/>
      <c r="T117" s="314"/>
    </row>
    <row r="118" spans="1:20" s="84" customFormat="1" ht="24.95" customHeight="1">
      <c r="A118" s="3"/>
      <c r="B118" s="3"/>
      <c r="C118" s="3"/>
      <c r="D118" s="3"/>
      <c r="E118" s="3"/>
      <c r="F118" s="3"/>
      <c r="G118" s="3"/>
      <c r="H118" s="3"/>
      <c r="I118" s="3"/>
      <c r="J118" s="3"/>
      <c r="K118" s="3"/>
      <c r="L118" s="3"/>
      <c r="M118" s="3"/>
      <c r="N118" s="3"/>
      <c r="O118" s="3"/>
      <c r="P118" s="3"/>
      <c r="S118" s="314"/>
      <c r="T118" s="314"/>
    </row>
    <row r="119" spans="1:20" s="84" customFormat="1" ht="24.95" customHeight="1">
      <c r="A119" s="3"/>
      <c r="B119" s="3"/>
      <c r="C119" s="3"/>
      <c r="D119" s="19" t="s">
        <v>440</v>
      </c>
      <c r="E119" s="3"/>
      <c r="F119" s="3"/>
      <c r="G119" s="3"/>
      <c r="H119" s="3"/>
      <c r="I119" s="3"/>
      <c r="J119" s="3"/>
      <c r="K119" s="3"/>
      <c r="L119" s="3"/>
      <c r="M119" s="3"/>
      <c r="N119" s="3"/>
      <c r="O119" s="3"/>
      <c r="P119" s="3"/>
      <c r="S119" s="314"/>
      <c r="T119" s="314"/>
    </row>
    <row r="120" spans="1:20" s="84" customFormat="1" ht="24.95" customHeight="1">
      <c r="A120" s="3"/>
      <c r="B120" s="3"/>
      <c r="C120" s="3"/>
      <c r="D120" s="26" t="s">
        <v>453</v>
      </c>
      <c r="E120" s="61">
        <f t="shared" ref="E120:Q121" si="24">IF(E112=0,0,ROUND(E12/E112,2))</f>
        <v>40</v>
      </c>
      <c r="F120" s="61">
        <f t="shared" si="24"/>
        <v>40</v>
      </c>
      <c r="G120" s="61">
        <f t="shared" si="24"/>
        <v>40</v>
      </c>
      <c r="H120" s="61">
        <f t="shared" si="24"/>
        <v>40</v>
      </c>
      <c r="I120" s="61">
        <f t="shared" si="24"/>
        <v>40</v>
      </c>
      <c r="J120" s="61">
        <f t="shared" si="24"/>
        <v>40</v>
      </c>
      <c r="K120" s="61">
        <f t="shared" si="24"/>
        <v>40</v>
      </c>
      <c r="L120" s="61">
        <f t="shared" si="24"/>
        <v>40</v>
      </c>
      <c r="M120" s="61">
        <f t="shared" si="24"/>
        <v>40</v>
      </c>
      <c r="N120" s="61">
        <f t="shared" si="24"/>
        <v>40</v>
      </c>
      <c r="O120" s="61">
        <f t="shared" si="24"/>
        <v>40</v>
      </c>
      <c r="P120" s="61">
        <f t="shared" si="24"/>
        <v>40</v>
      </c>
      <c r="Q120" s="61">
        <f t="shared" si="24"/>
        <v>40</v>
      </c>
      <c r="R120" s="172"/>
      <c r="S120" s="314"/>
      <c r="T120" s="314"/>
    </row>
    <row r="121" spans="1:20" s="84" customFormat="1" ht="24.95" customHeight="1">
      <c r="A121" s="3"/>
      <c r="B121" s="3"/>
      <c r="C121" s="3"/>
      <c r="D121" s="26" t="s">
        <v>455</v>
      </c>
      <c r="E121" s="61">
        <f t="shared" si="24"/>
        <v>138</v>
      </c>
      <c r="F121" s="61">
        <f t="shared" si="24"/>
        <v>138</v>
      </c>
      <c r="G121" s="61">
        <f t="shared" si="24"/>
        <v>128</v>
      </c>
      <c r="H121" s="61">
        <f t="shared" si="24"/>
        <v>128</v>
      </c>
      <c r="I121" s="61">
        <f t="shared" si="24"/>
        <v>128</v>
      </c>
      <c r="J121" s="61">
        <f t="shared" si="24"/>
        <v>128</v>
      </c>
      <c r="K121" s="61">
        <f t="shared" si="24"/>
        <v>128</v>
      </c>
      <c r="L121" s="61">
        <f t="shared" si="24"/>
        <v>128</v>
      </c>
      <c r="M121" s="61">
        <f t="shared" si="24"/>
        <v>128</v>
      </c>
      <c r="N121" s="61">
        <f t="shared" si="24"/>
        <v>128</v>
      </c>
      <c r="O121" s="61">
        <f t="shared" si="24"/>
        <v>128</v>
      </c>
      <c r="P121" s="61">
        <f t="shared" si="24"/>
        <v>128</v>
      </c>
      <c r="Q121" s="61">
        <f t="shared" si="24"/>
        <v>129.37</v>
      </c>
      <c r="R121" s="172"/>
      <c r="S121" s="314"/>
      <c r="T121" s="314"/>
    </row>
    <row r="122" spans="1:20" s="84" customFormat="1" ht="24.95" customHeight="1">
      <c r="A122" s="3"/>
      <c r="B122" s="3"/>
      <c r="C122" s="3"/>
      <c r="D122" s="26" t="s">
        <v>459</v>
      </c>
      <c r="E122" s="61">
        <f t="shared" ref="E122:Q122" si="25">IF(E115=0,0,ROUND(E15/E115,2))</f>
        <v>68</v>
      </c>
      <c r="F122" s="61">
        <f t="shared" si="25"/>
        <v>68</v>
      </c>
      <c r="G122" s="61">
        <f t="shared" si="25"/>
        <v>68</v>
      </c>
      <c r="H122" s="61">
        <f t="shared" si="25"/>
        <v>68</v>
      </c>
      <c r="I122" s="61">
        <f t="shared" si="25"/>
        <v>68</v>
      </c>
      <c r="J122" s="61">
        <f t="shared" si="25"/>
        <v>68</v>
      </c>
      <c r="K122" s="61">
        <f t="shared" si="25"/>
        <v>68</v>
      </c>
      <c r="L122" s="61">
        <f t="shared" si="25"/>
        <v>68</v>
      </c>
      <c r="M122" s="61">
        <f t="shared" si="25"/>
        <v>68</v>
      </c>
      <c r="N122" s="61">
        <f t="shared" si="25"/>
        <v>68</v>
      </c>
      <c r="O122" s="61">
        <f t="shared" si="25"/>
        <v>68</v>
      </c>
      <c r="P122" s="61">
        <f t="shared" si="25"/>
        <v>68</v>
      </c>
      <c r="Q122" s="61">
        <f t="shared" si="25"/>
        <v>68</v>
      </c>
      <c r="R122" s="172"/>
      <c r="S122" s="314"/>
      <c r="T122" s="314"/>
    </row>
    <row r="123" spans="1:20" s="84" customFormat="1" ht="24.95" customHeight="1">
      <c r="A123" s="3"/>
      <c r="B123" s="3"/>
      <c r="C123" s="3"/>
      <c r="D123" s="26" t="s">
        <v>457</v>
      </c>
      <c r="E123" s="61">
        <f t="shared" ref="E123:Q123" si="26">IF(E114=0,0,ROUND(E14/E114,2))</f>
        <v>200</v>
      </c>
      <c r="F123" s="61">
        <f t="shared" si="26"/>
        <v>200</v>
      </c>
      <c r="G123" s="61">
        <f t="shared" si="26"/>
        <v>200</v>
      </c>
      <c r="H123" s="61">
        <f t="shared" si="26"/>
        <v>200</v>
      </c>
      <c r="I123" s="61">
        <f t="shared" si="26"/>
        <v>200</v>
      </c>
      <c r="J123" s="61">
        <f t="shared" si="26"/>
        <v>200</v>
      </c>
      <c r="K123" s="61">
        <f t="shared" si="26"/>
        <v>200</v>
      </c>
      <c r="L123" s="61">
        <f t="shared" si="26"/>
        <v>200</v>
      </c>
      <c r="M123" s="61">
        <f t="shared" si="26"/>
        <v>200</v>
      </c>
      <c r="N123" s="61">
        <f t="shared" si="26"/>
        <v>200</v>
      </c>
      <c r="O123" s="61">
        <f t="shared" si="26"/>
        <v>200</v>
      </c>
      <c r="P123" s="61">
        <f t="shared" si="26"/>
        <v>200</v>
      </c>
      <c r="Q123" s="61">
        <f t="shared" si="26"/>
        <v>200</v>
      </c>
      <c r="R123" s="172"/>
      <c r="S123" s="314"/>
      <c r="T123" s="314"/>
    </row>
    <row r="124" spans="1:20" s="84" customFormat="1" ht="24.95" customHeight="1">
      <c r="A124" s="3"/>
      <c r="B124" s="3"/>
      <c r="C124" s="3"/>
      <c r="D124" s="26" t="s">
        <v>461</v>
      </c>
      <c r="E124" s="61">
        <f t="shared" ref="E124:Q125" si="27">IF(E116=0,0,ROUND(E16/E116,2))</f>
        <v>0</v>
      </c>
      <c r="F124" s="61">
        <f t="shared" si="27"/>
        <v>0</v>
      </c>
      <c r="G124" s="61">
        <f t="shared" si="27"/>
        <v>0</v>
      </c>
      <c r="H124" s="61">
        <f>IF(H116=0,0,ROUND(H16/H116,2))</f>
        <v>0</v>
      </c>
      <c r="I124" s="61">
        <f>IF(I116=0,0,ROUND(I16/I116,2))</f>
        <v>0</v>
      </c>
      <c r="J124" s="61">
        <f>IF(J116=0,0,ROUND(J16/J116,2))</f>
        <v>0</v>
      </c>
      <c r="K124" s="61">
        <f>IF(K116=0,0,ROUND(K16/K116,2))</f>
        <v>0</v>
      </c>
      <c r="L124" s="61">
        <f t="shared" ref="L124:Q125" si="28">IF(L116=0,0,ROUND(L16/L116,2))</f>
        <v>0</v>
      </c>
      <c r="M124" s="61">
        <f t="shared" si="27"/>
        <v>0</v>
      </c>
      <c r="N124" s="61">
        <f t="shared" si="27"/>
        <v>0</v>
      </c>
      <c r="O124" s="61">
        <f t="shared" si="27"/>
        <v>0</v>
      </c>
      <c r="P124" s="61">
        <f t="shared" si="27"/>
        <v>0</v>
      </c>
      <c r="Q124" s="61">
        <f t="shared" si="27"/>
        <v>0</v>
      </c>
      <c r="R124" s="172"/>
      <c r="S124" s="314"/>
      <c r="T124" s="314"/>
    </row>
    <row r="125" spans="1:20" s="84" customFormat="1" ht="24.95" customHeight="1">
      <c r="A125" s="3"/>
      <c r="B125" s="3"/>
      <c r="C125" s="3"/>
      <c r="D125" s="19" t="s">
        <v>442</v>
      </c>
      <c r="E125" s="170">
        <f>IF(E117=0,0,ROUND(E17/E117,2))</f>
        <v>84.66</v>
      </c>
      <c r="F125" s="170">
        <f t="shared" si="27"/>
        <v>77.150000000000006</v>
      </c>
      <c r="G125" s="170">
        <f t="shared" si="27"/>
        <v>71.78</v>
      </c>
      <c r="H125" s="170">
        <f t="shared" si="27"/>
        <v>73.03</v>
      </c>
      <c r="I125" s="170">
        <f t="shared" si="27"/>
        <v>76.27</v>
      </c>
      <c r="J125" s="170">
        <f t="shared" si="27"/>
        <v>75.319999999999993</v>
      </c>
      <c r="K125" s="170">
        <f t="shared" si="27"/>
        <v>71.989999999999995</v>
      </c>
      <c r="L125" s="170">
        <f t="shared" si="28"/>
        <v>71.69</v>
      </c>
      <c r="M125" s="170">
        <f t="shared" si="28"/>
        <v>72.38</v>
      </c>
      <c r="N125" s="170">
        <f t="shared" si="28"/>
        <v>73.97</v>
      </c>
      <c r="O125" s="170">
        <f t="shared" si="28"/>
        <v>73.47</v>
      </c>
      <c r="P125" s="170">
        <f t="shared" si="28"/>
        <v>75.760000000000005</v>
      </c>
      <c r="Q125" s="170">
        <f t="shared" si="28"/>
        <v>74.510000000000005</v>
      </c>
      <c r="R125" s="173"/>
      <c r="S125" s="314"/>
      <c r="T125" s="314"/>
    </row>
    <row r="126" spans="1:20" s="84" customFormat="1" ht="24.95" customHeight="1">
      <c r="A126" s="3"/>
      <c r="B126" s="3"/>
      <c r="C126" s="3"/>
      <c r="D126" s="3"/>
      <c r="E126" s="3"/>
      <c r="F126" s="3"/>
      <c r="G126" s="3"/>
      <c r="H126" s="3"/>
      <c r="I126" s="3"/>
      <c r="J126" s="3"/>
      <c r="K126" s="3"/>
      <c r="L126" s="3"/>
      <c r="S126" s="314"/>
      <c r="T126" s="314"/>
    </row>
    <row r="127" spans="1:20" s="84" customFormat="1" ht="24.95" customHeight="1">
      <c r="A127" s="3"/>
      <c r="B127" s="3"/>
      <c r="C127" s="3"/>
      <c r="D127" s="19" t="s">
        <v>443</v>
      </c>
      <c r="E127" s="160">
        <f t="shared" ref="E127:Q127" si="29">IF(E117=0,0,ROUND((E34+E36+E108)/E117,2))</f>
        <v>101.15</v>
      </c>
      <c r="F127" s="160">
        <f t="shared" si="29"/>
        <v>106.43</v>
      </c>
      <c r="G127" s="160">
        <f t="shared" si="29"/>
        <v>81.260000000000005</v>
      </c>
      <c r="H127" s="160">
        <f t="shared" si="29"/>
        <v>78.260000000000005</v>
      </c>
      <c r="I127" s="160">
        <f t="shared" si="29"/>
        <v>92.28</v>
      </c>
      <c r="J127" s="160">
        <f t="shared" si="29"/>
        <v>81.11</v>
      </c>
      <c r="K127" s="160">
        <f t="shared" si="29"/>
        <v>71.680000000000007</v>
      </c>
      <c r="L127" s="160">
        <f t="shared" si="29"/>
        <v>70.27</v>
      </c>
      <c r="M127" s="160">
        <f t="shared" si="29"/>
        <v>70.209999999999994</v>
      </c>
      <c r="N127" s="160">
        <f t="shared" si="29"/>
        <v>97.82</v>
      </c>
      <c r="O127" s="160">
        <f t="shared" si="29"/>
        <v>75.03</v>
      </c>
      <c r="P127" s="160">
        <f t="shared" si="29"/>
        <v>78.25</v>
      </c>
      <c r="Q127" s="160">
        <f t="shared" si="29"/>
        <v>82.58</v>
      </c>
      <c r="R127" s="160"/>
      <c r="S127" s="314"/>
      <c r="T127" s="314"/>
    </row>
    <row r="128" spans="1:20" s="84" customFormat="1" ht="24.95" customHeight="1">
      <c r="A128" s="3"/>
      <c r="B128" s="3"/>
      <c r="C128" s="3"/>
      <c r="D128" s="3"/>
      <c r="E128" s="3"/>
      <c r="F128" s="3"/>
      <c r="G128" s="3"/>
      <c r="H128" s="3"/>
      <c r="I128" s="3"/>
      <c r="J128" s="3"/>
      <c r="K128" s="3"/>
      <c r="L128" s="3"/>
      <c r="S128" s="314"/>
      <c r="T128" s="314"/>
    </row>
    <row r="129" spans="1:20" s="84" customFormat="1" ht="24.95" customHeight="1">
      <c r="A129" s="3"/>
      <c r="B129" s="3"/>
      <c r="C129" s="3"/>
      <c r="D129" s="19" t="s">
        <v>293</v>
      </c>
      <c r="E129" s="3"/>
      <c r="F129" s="3"/>
      <c r="G129" s="3"/>
      <c r="H129" s="3"/>
      <c r="I129" s="3"/>
      <c r="J129" s="3"/>
      <c r="K129" s="3"/>
      <c r="L129" s="3"/>
      <c r="M129" s="3"/>
      <c r="N129" s="3"/>
      <c r="O129" s="3"/>
      <c r="P129" s="3"/>
      <c r="S129" s="314"/>
      <c r="T129" s="314"/>
    </row>
    <row r="130" spans="1:20" s="84" customFormat="1" ht="24.95" customHeight="1">
      <c r="A130" s="3"/>
      <c r="B130" s="3"/>
      <c r="C130" s="3"/>
      <c r="D130" s="19" t="s">
        <v>444</v>
      </c>
      <c r="E130" s="3"/>
      <c r="F130" s="3"/>
      <c r="G130" s="3"/>
      <c r="H130" s="3"/>
      <c r="I130" s="3"/>
      <c r="J130" s="3"/>
      <c r="K130" s="3"/>
      <c r="L130" s="3"/>
      <c r="S130" s="314"/>
      <c r="T130" s="314"/>
    </row>
    <row r="131" spans="1:20" s="84" customFormat="1" ht="24.95" customHeight="1">
      <c r="A131" s="3" t="s">
        <v>295</v>
      </c>
      <c r="B131" s="3" t="s">
        <v>380</v>
      </c>
      <c r="C131" s="3"/>
      <c r="D131" s="3" t="s">
        <v>297</v>
      </c>
      <c r="E131" s="142">
        <v>21000</v>
      </c>
      <c r="F131" s="142">
        <v>21000</v>
      </c>
      <c r="G131" s="142">
        <v>21000</v>
      </c>
      <c r="H131" s="142">
        <v>21000</v>
      </c>
      <c r="I131" s="142">
        <v>21000</v>
      </c>
      <c r="J131" s="142">
        <v>21000</v>
      </c>
      <c r="K131" s="142">
        <v>21000</v>
      </c>
      <c r="L131" s="142">
        <v>21000</v>
      </c>
      <c r="M131" s="142">
        <v>21000</v>
      </c>
      <c r="N131" s="142">
        <v>21000</v>
      </c>
      <c r="O131" s="142">
        <v>21000</v>
      </c>
      <c r="P131" s="142">
        <v>21000</v>
      </c>
      <c r="Q131" s="142">
        <f>SUM(E131:P131)</f>
        <v>252000</v>
      </c>
      <c r="R131" s="142">
        <f>Q131/$Q$117</f>
        <v>3.562602160342041</v>
      </c>
      <c r="S131" s="314"/>
      <c r="T131" s="314"/>
    </row>
    <row r="132" spans="1:20" s="84" customFormat="1" ht="24.95" customHeight="1">
      <c r="A132" s="50" t="s">
        <v>298</v>
      </c>
      <c r="B132" s="3" t="s">
        <v>380</v>
      </c>
      <c r="C132" s="3"/>
      <c r="D132" s="3" t="s">
        <v>447</v>
      </c>
      <c r="E132" s="61">
        <v>29300</v>
      </c>
      <c r="F132" s="61">
        <v>29300</v>
      </c>
      <c r="G132" s="61">
        <v>29300</v>
      </c>
      <c r="H132" s="61">
        <v>29300</v>
      </c>
      <c r="I132" s="61">
        <v>29300</v>
      </c>
      <c r="J132" s="61">
        <v>29300</v>
      </c>
      <c r="K132" s="61">
        <v>29300</v>
      </c>
      <c r="L132" s="61">
        <v>29300</v>
      </c>
      <c r="M132" s="61">
        <v>29300</v>
      </c>
      <c r="N132" s="61">
        <v>29300</v>
      </c>
      <c r="O132" s="61">
        <v>29300</v>
      </c>
      <c r="P132" s="61">
        <v>29300</v>
      </c>
      <c r="Q132" s="142">
        <f>SUM(E132:P132)</f>
        <v>351600</v>
      </c>
      <c r="R132" s="142">
        <f>Q132/$Q$117</f>
        <v>4.9706782522867528</v>
      </c>
      <c r="S132" s="314"/>
      <c r="T132" s="314"/>
    </row>
    <row r="133" spans="1:20" s="84" customFormat="1" ht="24.95" customHeight="1">
      <c r="A133" s="50" t="s">
        <v>298</v>
      </c>
      <c r="B133" s="3" t="s">
        <v>380</v>
      </c>
      <c r="C133" s="3"/>
      <c r="D133" s="3" t="s">
        <v>449</v>
      </c>
      <c r="E133" s="61"/>
      <c r="F133" s="61"/>
      <c r="G133" s="61"/>
      <c r="H133" s="61"/>
      <c r="I133" s="61"/>
      <c r="J133" s="61"/>
      <c r="K133" s="61"/>
      <c r="L133" s="61"/>
      <c r="M133" s="61"/>
      <c r="N133" s="61"/>
      <c r="O133" s="61"/>
      <c r="P133" s="61"/>
      <c r="Q133" s="142">
        <f>SUM(E133:P133)</f>
        <v>0</v>
      </c>
      <c r="R133" s="142">
        <f>Q133/$Q$117</f>
        <v>0</v>
      </c>
      <c r="S133" s="314"/>
      <c r="T133" s="314"/>
    </row>
    <row r="134" spans="1:20" s="84" customFormat="1" ht="24.95" customHeight="1">
      <c r="A134" s="3"/>
      <c r="B134" s="3"/>
      <c r="C134" s="3"/>
      <c r="D134" s="19" t="s">
        <v>450</v>
      </c>
      <c r="E134" s="160">
        <f>SUM(E131:E133)</f>
        <v>50300</v>
      </c>
      <c r="F134" s="160">
        <f t="shared" ref="F134:P134" si="30">SUM(F131:F133)</f>
        <v>50300</v>
      </c>
      <c r="G134" s="160">
        <f t="shared" si="30"/>
        <v>50300</v>
      </c>
      <c r="H134" s="160">
        <f t="shared" si="30"/>
        <v>50300</v>
      </c>
      <c r="I134" s="160">
        <f t="shared" si="30"/>
        <v>50300</v>
      </c>
      <c r="J134" s="160">
        <f t="shared" si="30"/>
        <v>50300</v>
      </c>
      <c r="K134" s="160">
        <f t="shared" si="30"/>
        <v>50300</v>
      </c>
      <c r="L134" s="160">
        <f t="shared" si="30"/>
        <v>50300</v>
      </c>
      <c r="M134" s="160">
        <f t="shared" si="30"/>
        <v>50300</v>
      </c>
      <c r="N134" s="160">
        <f t="shared" si="30"/>
        <v>50300</v>
      </c>
      <c r="O134" s="160">
        <f t="shared" si="30"/>
        <v>50300</v>
      </c>
      <c r="P134" s="160">
        <f t="shared" si="30"/>
        <v>50300</v>
      </c>
      <c r="Q134" s="160">
        <f t="shared" ref="Q134" si="31">SUM(Q131:Q133)</f>
        <v>603600</v>
      </c>
      <c r="R134" s="142">
        <f>Q134/$Q$117</f>
        <v>8.5332804126287929</v>
      </c>
      <c r="S134" s="314"/>
      <c r="T134" s="314"/>
    </row>
    <row r="135" spans="1:20" s="84" customFormat="1" ht="24.95" customHeight="1">
      <c r="A135" s="3"/>
      <c r="B135" s="3"/>
      <c r="C135" s="3"/>
      <c r="D135" s="3"/>
      <c r="E135" s="3"/>
      <c r="F135" s="3"/>
      <c r="G135" s="3"/>
      <c r="H135" s="3"/>
      <c r="I135" s="3"/>
      <c r="J135" s="3"/>
      <c r="K135" s="3"/>
      <c r="L135" s="3"/>
      <c r="M135" s="3"/>
      <c r="N135" s="3"/>
      <c r="O135" s="3"/>
      <c r="P135" s="3"/>
      <c r="S135" s="314"/>
      <c r="T135" s="314"/>
    </row>
    <row r="136" spans="1:20" s="84" customFormat="1" ht="24.95" customHeight="1">
      <c r="A136" s="3" t="s">
        <v>306</v>
      </c>
      <c r="B136" s="3" t="s">
        <v>380</v>
      </c>
      <c r="C136" s="3"/>
      <c r="D136" s="26" t="s">
        <v>307</v>
      </c>
      <c r="E136" s="61">
        <v>3151.72</v>
      </c>
      <c r="F136" s="61">
        <v>9455.17</v>
      </c>
      <c r="G136" s="61">
        <v>0</v>
      </c>
      <c r="H136" s="61">
        <v>3151.72</v>
      </c>
      <c r="I136" s="61">
        <v>3151.72</v>
      </c>
      <c r="J136" s="61">
        <v>3151.72</v>
      </c>
      <c r="K136" s="61">
        <v>0</v>
      </c>
      <c r="L136" s="61">
        <v>0</v>
      </c>
      <c r="M136" s="61">
        <v>3230.52</v>
      </c>
      <c r="N136" s="61">
        <v>9691.5499999999993</v>
      </c>
      <c r="O136" s="61"/>
      <c r="P136" s="61"/>
      <c r="Q136" s="142">
        <f>SUM(E136:P136)</f>
        <v>34984.119999999995</v>
      </c>
      <c r="R136" s="142">
        <f t="shared" ref="R136:R143" si="32">Q136/$Q$117</f>
        <v>0.494581355117719</v>
      </c>
      <c r="S136" s="314"/>
      <c r="T136" s="314"/>
    </row>
    <row r="137" spans="1:20" s="84" customFormat="1" ht="24.95" customHeight="1">
      <c r="A137" s="3" t="s">
        <v>308</v>
      </c>
      <c r="B137" s="3" t="s">
        <v>380</v>
      </c>
      <c r="C137" s="3"/>
      <c r="D137" s="26" t="s">
        <v>309</v>
      </c>
      <c r="E137" s="61">
        <f>ROUND(E134/12*1.5,2)</f>
        <v>6287.5</v>
      </c>
      <c r="F137" s="61">
        <f t="shared" ref="F137:P137" si="33">ROUND(F134/12*1.5,2)</f>
        <v>6287.5</v>
      </c>
      <c r="G137" s="61">
        <f t="shared" si="33"/>
        <v>6287.5</v>
      </c>
      <c r="H137" s="61">
        <f t="shared" si="33"/>
        <v>6287.5</v>
      </c>
      <c r="I137" s="61">
        <f t="shared" si="33"/>
        <v>6287.5</v>
      </c>
      <c r="J137" s="61">
        <f t="shared" si="33"/>
        <v>6287.5</v>
      </c>
      <c r="K137" s="61">
        <f t="shared" si="33"/>
        <v>6287.5</v>
      </c>
      <c r="L137" s="61">
        <f t="shared" si="33"/>
        <v>6287.5</v>
      </c>
      <c r="M137" s="61">
        <f t="shared" si="33"/>
        <v>6287.5</v>
      </c>
      <c r="N137" s="61">
        <f t="shared" si="33"/>
        <v>6287.5</v>
      </c>
      <c r="O137" s="61">
        <f t="shared" si="33"/>
        <v>6287.5</v>
      </c>
      <c r="P137" s="61">
        <f t="shared" si="33"/>
        <v>6287.5</v>
      </c>
      <c r="Q137" s="142">
        <f t="shared" ref="Q137:Q142" si="34">SUM(E137:P137)</f>
        <v>75450</v>
      </c>
      <c r="R137" s="142">
        <f t="shared" si="32"/>
        <v>1.0666600515785991</v>
      </c>
      <c r="S137" s="314"/>
      <c r="T137" s="314"/>
    </row>
    <row r="138" spans="1:20" s="84" customFormat="1" ht="24.95" customHeight="1">
      <c r="A138" s="3" t="s">
        <v>310</v>
      </c>
      <c r="B138" s="3" t="s">
        <v>380</v>
      </c>
      <c r="C138" s="3"/>
      <c r="D138" s="26" t="s">
        <v>311</v>
      </c>
      <c r="E138" s="61"/>
      <c r="F138" s="61"/>
      <c r="G138" s="61"/>
      <c r="H138" s="61"/>
      <c r="I138" s="61"/>
      <c r="J138" s="61"/>
      <c r="K138" s="61"/>
      <c r="L138" s="61"/>
      <c r="M138" s="61"/>
      <c r="N138" s="61"/>
      <c r="O138" s="61"/>
      <c r="P138" s="61"/>
      <c r="Q138" s="142">
        <f t="shared" si="34"/>
        <v>0</v>
      </c>
      <c r="R138" s="142">
        <f t="shared" si="32"/>
        <v>0</v>
      </c>
      <c r="S138" s="314"/>
      <c r="T138" s="314"/>
    </row>
    <row r="139" spans="1:20" s="84" customFormat="1" ht="24.95" customHeight="1">
      <c r="A139" s="3" t="s">
        <v>312</v>
      </c>
      <c r="B139" s="3" t="s">
        <v>380</v>
      </c>
      <c r="C139" s="3"/>
      <c r="D139" s="26" t="s">
        <v>313</v>
      </c>
      <c r="E139" s="61"/>
      <c r="F139" s="61"/>
      <c r="G139" s="61"/>
      <c r="H139" s="61"/>
      <c r="I139" s="61"/>
      <c r="J139" s="61"/>
      <c r="K139" s="61"/>
      <c r="L139" s="61"/>
      <c r="M139" s="61"/>
      <c r="N139" s="61"/>
      <c r="O139" s="61"/>
      <c r="P139" s="61"/>
      <c r="Q139" s="142">
        <f t="shared" si="34"/>
        <v>0</v>
      </c>
      <c r="R139" s="142">
        <f t="shared" si="32"/>
        <v>0</v>
      </c>
      <c r="S139" s="314"/>
      <c r="T139" s="314"/>
    </row>
    <row r="140" spans="1:20" s="84" customFormat="1" ht="24.95" customHeight="1">
      <c r="A140" s="3" t="s">
        <v>314</v>
      </c>
      <c r="B140" s="3" t="s">
        <v>380</v>
      </c>
      <c r="C140" s="3"/>
      <c r="D140" s="26" t="s">
        <v>315</v>
      </c>
      <c r="E140" s="61"/>
      <c r="F140" s="61"/>
      <c r="G140" s="61"/>
      <c r="H140" s="61"/>
      <c r="I140" s="61"/>
      <c r="J140" s="61"/>
      <c r="K140" s="61"/>
      <c r="L140" s="61"/>
      <c r="M140" s="61"/>
      <c r="N140" s="61"/>
      <c r="O140" s="61"/>
      <c r="P140" s="61"/>
      <c r="Q140" s="142">
        <f t="shared" si="34"/>
        <v>0</v>
      </c>
      <c r="R140" s="142">
        <f t="shared" si="32"/>
        <v>0</v>
      </c>
      <c r="S140" s="314"/>
      <c r="T140" s="314"/>
    </row>
    <row r="141" spans="1:20" s="84" customFormat="1" ht="24.95" customHeight="1">
      <c r="A141" s="3" t="s">
        <v>1109</v>
      </c>
      <c r="B141" s="3" t="s">
        <v>380</v>
      </c>
      <c r="C141" s="3"/>
      <c r="D141" s="367" t="s">
        <v>1113</v>
      </c>
      <c r="E141" s="61">
        <v>10400</v>
      </c>
      <c r="F141" s="61">
        <v>10400</v>
      </c>
      <c r="G141" s="61">
        <v>10400</v>
      </c>
      <c r="H141" s="61">
        <v>10400</v>
      </c>
      <c r="I141" s="61">
        <v>10400</v>
      </c>
      <c r="J141" s="61">
        <v>10400</v>
      </c>
      <c r="K141" s="61">
        <v>10660</v>
      </c>
      <c r="L141" s="61">
        <v>10660</v>
      </c>
      <c r="M141" s="61">
        <v>10660</v>
      </c>
      <c r="N141" s="61">
        <v>10660</v>
      </c>
      <c r="O141" s="61">
        <v>10660</v>
      </c>
      <c r="P141" s="61">
        <v>10660</v>
      </c>
      <c r="Q141" s="142">
        <f>SUM(E141:P141)</f>
        <v>126360</v>
      </c>
      <c r="R141" s="142">
        <f t="shared" ref="R141" si="35">Q141/$Q$117</f>
        <v>1.7863905118286521</v>
      </c>
      <c r="S141" s="314"/>
      <c r="T141" s="314"/>
    </row>
    <row r="142" spans="1:20" s="84" customFormat="1" ht="24.95" customHeight="1">
      <c r="A142" s="3" t="s">
        <v>1109</v>
      </c>
      <c r="B142" s="3" t="s">
        <v>380</v>
      </c>
      <c r="C142" s="3"/>
      <c r="D142" s="26" t="s">
        <v>1114</v>
      </c>
      <c r="E142" s="61">
        <f>ROUND(E28*0.006,2)</f>
        <v>2836.18</v>
      </c>
      <c r="F142" s="61">
        <f t="shared" ref="F142:P142" si="36">ROUND(F28*0.006,2)</f>
        <v>1902.31</v>
      </c>
      <c r="G142" s="61">
        <f t="shared" si="36"/>
        <v>2316.17</v>
      </c>
      <c r="H142" s="61">
        <f t="shared" si="36"/>
        <v>2716.73</v>
      </c>
      <c r="I142" s="61">
        <f t="shared" si="36"/>
        <v>3951.74</v>
      </c>
      <c r="J142" s="61">
        <f t="shared" si="36"/>
        <v>2743.01</v>
      </c>
      <c r="K142" s="61">
        <f t="shared" si="36"/>
        <v>2907.41</v>
      </c>
      <c r="L142" s="61">
        <f t="shared" si="36"/>
        <v>2923.25</v>
      </c>
      <c r="M142" s="61">
        <f t="shared" si="36"/>
        <v>2999.09</v>
      </c>
      <c r="N142" s="61">
        <f t="shared" si="36"/>
        <v>4707.05</v>
      </c>
      <c r="O142" s="61">
        <f t="shared" si="36"/>
        <v>2997.41</v>
      </c>
      <c r="P142" s="61">
        <f t="shared" si="36"/>
        <v>3000.05</v>
      </c>
      <c r="Q142" s="142">
        <f t="shared" si="34"/>
        <v>36000.400000000001</v>
      </c>
      <c r="R142" s="142">
        <f t="shared" si="32"/>
        <v>0.50894882068721281</v>
      </c>
      <c r="S142" s="314"/>
      <c r="T142" s="314"/>
    </row>
    <row r="143" spans="1:20" s="84" customFormat="1" ht="24.95" customHeight="1">
      <c r="A143" s="3"/>
      <c r="B143" s="3"/>
      <c r="C143" s="3"/>
      <c r="D143" s="19" t="s">
        <v>316</v>
      </c>
      <c r="E143" s="160">
        <f>SUM(E136:E142)</f>
        <v>22675.4</v>
      </c>
      <c r="F143" s="160">
        <f t="shared" ref="F143:P143" si="37">SUM(F136:F142)</f>
        <v>28044.98</v>
      </c>
      <c r="G143" s="160">
        <f t="shared" si="37"/>
        <v>19003.669999999998</v>
      </c>
      <c r="H143" s="160">
        <f t="shared" si="37"/>
        <v>22555.95</v>
      </c>
      <c r="I143" s="160">
        <f t="shared" si="37"/>
        <v>23790.959999999999</v>
      </c>
      <c r="J143" s="160">
        <f t="shared" si="37"/>
        <v>22582.230000000003</v>
      </c>
      <c r="K143" s="160">
        <f t="shared" si="37"/>
        <v>19854.91</v>
      </c>
      <c r="L143" s="160">
        <f t="shared" si="37"/>
        <v>19870.75</v>
      </c>
      <c r="M143" s="160">
        <f t="shared" si="37"/>
        <v>23177.11</v>
      </c>
      <c r="N143" s="160">
        <f t="shared" si="37"/>
        <v>31346.1</v>
      </c>
      <c r="O143" s="160">
        <f t="shared" si="37"/>
        <v>19944.91</v>
      </c>
      <c r="P143" s="160">
        <f t="shared" si="37"/>
        <v>19947.55</v>
      </c>
      <c r="Q143" s="160">
        <f t="shared" ref="Q143" si="38">SUM(Q136:Q142)</f>
        <v>272794.52</v>
      </c>
      <c r="R143" s="142">
        <f t="shared" si="32"/>
        <v>3.8565807392121836</v>
      </c>
      <c r="S143" s="314"/>
      <c r="T143" s="314"/>
    </row>
    <row r="144" spans="1:20" s="84" customFormat="1" ht="24.95" customHeight="1">
      <c r="A144" s="3"/>
      <c r="B144" s="3"/>
      <c r="C144" s="3"/>
      <c r="D144" s="3"/>
      <c r="E144" s="3"/>
      <c r="F144" s="3"/>
      <c r="G144" s="3"/>
      <c r="H144" s="3"/>
      <c r="I144" s="3"/>
      <c r="J144" s="3"/>
      <c r="K144" s="3"/>
      <c r="L144" s="3"/>
      <c r="M144" s="161"/>
      <c r="S144" s="314"/>
      <c r="T144" s="314"/>
    </row>
    <row r="145" spans="1:20" s="84" customFormat="1" ht="24.95" customHeight="1">
      <c r="A145" s="3" t="s">
        <v>317</v>
      </c>
      <c r="B145" s="3" t="s">
        <v>380</v>
      </c>
      <c r="C145" s="3"/>
      <c r="D145" s="26" t="s">
        <v>318</v>
      </c>
      <c r="E145" s="61">
        <v>9541.119999999999</v>
      </c>
      <c r="F145" s="61">
        <v>9541.119999999999</v>
      </c>
      <c r="G145" s="61">
        <v>9541.119999999999</v>
      </c>
      <c r="H145" s="61">
        <v>9541.119999999999</v>
      </c>
      <c r="I145" s="61">
        <v>9541.119999999999</v>
      </c>
      <c r="J145" s="61">
        <v>9541.119999999999</v>
      </c>
      <c r="K145" s="61">
        <v>9541.119999999999</v>
      </c>
      <c r="L145" s="61">
        <v>9541.119999999999</v>
      </c>
      <c r="M145" s="61">
        <v>9541.119999999999</v>
      </c>
      <c r="N145" s="61">
        <v>9541.119999999999</v>
      </c>
      <c r="O145" s="61">
        <v>9541.119999999999</v>
      </c>
      <c r="P145" s="61">
        <v>9541.119999999999</v>
      </c>
      <c r="Q145" s="142">
        <f>SUM(E145:P145)</f>
        <v>114493.43999999996</v>
      </c>
      <c r="R145" s="142">
        <f t="shared" ref="R145:R153" si="39">Q145/$Q$117</f>
        <v>1.6186292725753639</v>
      </c>
      <c r="S145" s="314"/>
      <c r="T145" s="314"/>
    </row>
    <row r="146" spans="1:20" s="84" customFormat="1" ht="24.95" customHeight="1">
      <c r="A146" s="3" t="s">
        <v>319</v>
      </c>
      <c r="B146" s="3" t="s">
        <v>380</v>
      </c>
      <c r="C146" s="3"/>
      <c r="D146" s="26" t="s">
        <v>320</v>
      </c>
      <c r="E146" s="61">
        <v>4174.24</v>
      </c>
      <c r="F146" s="61">
        <v>4174.24</v>
      </c>
      <c r="G146" s="61">
        <v>4174.24</v>
      </c>
      <c r="H146" s="61">
        <v>4174.24</v>
      </c>
      <c r="I146" s="61">
        <v>4174.24</v>
      </c>
      <c r="J146" s="61">
        <v>4174.24</v>
      </c>
      <c r="K146" s="61">
        <v>4174.24</v>
      </c>
      <c r="L146" s="61">
        <v>4174.24</v>
      </c>
      <c r="M146" s="61">
        <v>4174.24</v>
      </c>
      <c r="N146" s="61">
        <v>4174.24</v>
      </c>
      <c r="O146" s="61">
        <v>4174.24</v>
      </c>
      <c r="P146" s="61">
        <v>4174.24</v>
      </c>
      <c r="Q146" s="142">
        <f t="shared" ref="Q146:Q152" si="40">SUM(E146:P146)</f>
        <v>50090.879999999983</v>
      </c>
      <c r="R146" s="142">
        <f t="shared" si="39"/>
        <v>0.70815030675172175</v>
      </c>
      <c r="S146" s="314"/>
      <c r="T146" s="314"/>
    </row>
    <row r="147" spans="1:20" s="84" customFormat="1" ht="24.95" customHeight="1">
      <c r="A147" s="3" t="s">
        <v>321</v>
      </c>
      <c r="B147" s="3" t="s">
        <v>380</v>
      </c>
      <c r="C147" s="3"/>
      <c r="D147" s="26" t="s">
        <v>322</v>
      </c>
      <c r="E147" s="61">
        <v>298.15999999999997</v>
      </c>
      <c r="F147" s="61">
        <v>298.15999999999997</v>
      </c>
      <c r="G147" s="61">
        <v>298.15999999999997</v>
      </c>
      <c r="H147" s="61">
        <v>298.15999999999997</v>
      </c>
      <c r="I147" s="61">
        <v>298.15999999999997</v>
      </c>
      <c r="J147" s="61">
        <v>298.15999999999997</v>
      </c>
      <c r="K147" s="61">
        <v>298.15999999999997</v>
      </c>
      <c r="L147" s="61">
        <v>298.15999999999997</v>
      </c>
      <c r="M147" s="61">
        <v>298.15999999999997</v>
      </c>
      <c r="N147" s="61">
        <v>298.15999999999997</v>
      </c>
      <c r="O147" s="61">
        <v>298.15999999999997</v>
      </c>
      <c r="P147" s="61">
        <v>298.15999999999997</v>
      </c>
      <c r="Q147" s="142">
        <f t="shared" si="40"/>
        <v>3577.9199999999987</v>
      </c>
      <c r="R147" s="142">
        <f t="shared" si="39"/>
        <v>5.0582164767980123E-2</v>
      </c>
      <c r="S147" s="314"/>
      <c r="T147" s="314"/>
    </row>
    <row r="148" spans="1:20" s="84" customFormat="1" ht="24.95" customHeight="1">
      <c r="A148" s="3" t="s">
        <v>323</v>
      </c>
      <c r="B148" s="3" t="s">
        <v>380</v>
      </c>
      <c r="C148" s="3"/>
      <c r="D148" s="26" t="s">
        <v>324</v>
      </c>
      <c r="E148" s="61">
        <v>238.52999999999997</v>
      </c>
      <c r="F148" s="61">
        <v>238.52999999999997</v>
      </c>
      <c r="G148" s="61">
        <v>238.52999999999997</v>
      </c>
      <c r="H148" s="61">
        <v>238.52999999999997</v>
      </c>
      <c r="I148" s="61">
        <v>238.52999999999997</v>
      </c>
      <c r="J148" s="61">
        <v>238.52999999999997</v>
      </c>
      <c r="K148" s="61">
        <v>238.52999999999997</v>
      </c>
      <c r="L148" s="61">
        <v>238.52999999999997</v>
      </c>
      <c r="M148" s="61">
        <v>238.52999999999997</v>
      </c>
      <c r="N148" s="61">
        <v>238.52999999999997</v>
      </c>
      <c r="O148" s="61">
        <v>238.52999999999997</v>
      </c>
      <c r="P148" s="61">
        <v>238.52999999999997</v>
      </c>
      <c r="Q148" s="142">
        <f t="shared" si="40"/>
        <v>2862.3599999999988</v>
      </c>
      <c r="R148" s="142">
        <f t="shared" si="39"/>
        <v>4.0466071109827938E-2</v>
      </c>
      <c r="S148" s="314"/>
      <c r="T148" s="314"/>
    </row>
    <row r="149" spans="1:20" s="84" customFormat="1" ht="24.95" customHeight="1">
      <c r="A149" s="3" t="s">
        <v>325</v>
      </c>
      <c r="B149" s="3" t="s">
        <v>380</v>
      </c>
      <c r="C149" s="3"/>
      <c r="D149" s="26" t="s">
        <v>326</v>
      </c>
      <c r="E149" s="61">
        <v>477.05999999999995</v>
      </c>
      <c r="F149" s="61">
        <v>477.05999999999995</v>
      </c>
      <c r="G149" s="61">
        <v>477.05999999999995</v>
      </c>
      <c r="H149" s="61">
        <v>477.05999999999995</v>
      </c>
      <c r="I149" s="61">
        <v>477.05999999999995</v>
      </c>
      <c r="J149" s="61">
        <v>477.05999999999995</v>
      </c>
      <c r="K149" s="61">
        <v>477.05999999999995</v>
      </c>
      <c r="L149" s="61">
        <v>477.05999999999995</v>
      </c>
      <c r="M149" s="61">
        <v>477.05999999999995</v>
      </c>
      <c r="N149" s="61">
        <v>477.05999999999995</v>
      </c>
      <c r="O149" s="61">
        <v>477.05999999999995</v>
      </c>
      <c r="P149" s="61">
        <v>477.05999999999995</v>
      </c>
      <c r="Q149" s="142">
        <f t="shared" si="40"/>
        <v>5724.7199999999975</v>
      </c>
      <c r="R149" s="142">
        <f t="shared" si="39"/>
        <v>8.0932142219655875E-2</v>
      </c>
      <c r="S149" s="314"/>
      <c r="T149" s="314"/>
    </row>
    <row r="150" spans="1:20" s="84" customFormat="1" ht="24.95" customHeight="1">
      <c r="A150" s="3" t="s">
        <v>327</v>
      </c>
      <c r="B150" s="3" t="s">
        <v>380</v>
      </c>
      <c r="C150" s="3"/>
      <c r="D150" s="26" t="s">
        <v>328</v>
      </c>
      <c r="E150" s="61">
        <v>5013.2</v>
      </c>
      <c r="F150" s="61">
        <v>5013.2</v>
      </c>
      <c r="G150" s="61">
        <v>5013.2</v>
      </c>
      <c r="H150" s="61">
        <v>5013.2</v>
      </c>
      <c r="I150" s="61">
        <v>5013.2</v>
      </c>
      <c r="J150" s="61">
        <v>5013.2</v>
      </c>
      <c r="K150" s="61">
        <v>5013.2</v>
      </c>
      <c r="L150" s="61">
        <v>5013.2</v>
      </c>
      <c r="M150" s="61">
        <v>5013.2</v>
      </c>
      <c r="N150" s="61">
        <v>5013.2</v>
      </c>
      <c r="O150" s="61">
        <v>5013.2</v>
      </c>
      <c r="P150" s="61">
        <v>5013.2</v>
      </c>
      <c r="Q150" s="142">
        <f t="shared" si="40"/>
        <v>60158.399999999987</v>
      </c>
      <c r="R150" s="142">
        <f t="shared" si="39"/>
        <v>0.85047795953460559</v>
      </c>
      <c r="S150" s="314"/>
      <c r="T150" s="314"/>
    </row>
    <row r="151" spans="1:20" s="84" customFormat="1" ht="24.95" customHeight="1">
      <c r="A151" s="3" t="s">
        <v>329</v>
      </c>
      <c r="B151" s="3" t="s">
        <v>415</v>
      </c>
      <c r="C151" s="3"/>
      <c r="D151" s="26" t="s">
        <v>330</v>
      </c>
      <c r="E151" s="61">
        <f>ROUND(E134*0.02,2)</f>
        <v>1006</v>
      </c>
      <c r="F151" s="61">
        <f t="shared" ref="F151:P151" si="41">ROUND(F134*0.02,2)</f>
        <v>1006</v>
      </c>
      <c r="G151" s="61">
        <f t="shared" si="41"/>
        <v>1006</v>
      </c>
      <c r="H151" s="61">
        <f t="shared" si="41"/>
        <v>1006</v>
      </c>
      <c r="I151" s="61">
        <f t="shared" si="41"/>
        <v>1006</v>
      </c>
      <c r="J151" s="61">
        <f t="shared" si="41"/>
        <v>1006</v>
      </c>
      <c r="K151" s="61">
        <f t="shared" si="41"/>
        <v>1006</v>
      </c>
      <c r="L151" s="61">
        <f t="shared" si="41"/>
        <v>1006</v>
      </c>
      <c r="M151" s="61">
        <f t="shared" si="41"/>
        <v>1006</v>
      </c>
      <c r="N151" s="61">
        <f t="shared" si="41"/>
        <v>1006</v>
      </c>
      <c r="O151" s="61">
        <f t="shared" si="41"/>
        <v>1006</v>
      </c>
      <c r="P151" s="61">
        <f t="shared" si="41"/>
        <v>1006</v>
      </c>
      <c r="Q151" s="142">
        <f t="shared" si="40"/>
        <v>12072</v>
      </c>
      <c r="R151" s="142">
        <f t="shared" si="39"/>
        <v>0.17066560825257587</v>
      </c>
      <c r="S151" s="314"/>
      <c r="T151" s="314"/>
    </row>
    <row r="152" spans="1:20" s="84" customFormat="1" ht="24.95" customHeight="1">
      <c r="A152" s="3" t="s">
        <v>331</v>
      </c>
      <c r="B152" s="3" t="s">
        <v>415</v>
      </c>
      <c r="C152" s="3"/>
      <c r="D152" s="26" t="s">
        <v>332</v>
      </c>
      <c r="E152" s="61"/>
      <c r="F152" s="61"/>
      <c r="G152" s="61"/>
      <c r="H152" s="61"/>
      <c r="I152" s="61"/>
      <c r="J152" s="61"/>
      <c r="K152" s="61"/>
      <c r="L152" s="61"/>
      <c r="M152" s="61"/>
      <c r="N152" s="61"/>
      <c r="O152" s="61"/>
      <c r="P152" s="61"/>
      <c r="Q152" s="142">
        <f t="shared" si="40"/>
        <v>0</v>
      </c>
      <c r="R152" s="142">
        <f t="shared" si="39"/>
        <v>0</v>
      </c>
      <c r="S152" s="314"/>
      <c r="T152" s="314"/>
    </row>
    <row r="153" spans="1:20" s="84" customFormat="1" ht="24.95" customHeight="1">
      <c r="A153" s="3"/>
      <c r="B153" s="3"/>
      <c r="C153" s="3"/>
      <c r="D153" s="19" t="s">
        <v>333</v>
      </c>
      <c r="E153" s="160">
        <f>SUM(E145:E152)</f>
        <v>20748.309999999998</v>
      </c>
      <c r="F153" s="160">
        <f t="shared" ref="F153:P153" si="42">SUM(F145:F152)</f>
        <v>20748.309999999998</v>
      </c>
      <c r="G153" s="160">
        <f t="shared" si="42"/>
        <v>20748.309999999998</v>
      </c>
      <c r="H153" s="160">
        <f t="shared" si="42"/>
        <v>20748.309999999998</v>
      </c>
      <c r="I153" s="160">
        <f t="shared" si="42"/>
        <v>20748.309999999998</v>
      </c>
      <c r="J153" s="160">
        <f t="shared" si="42"/>
        <v>20748.309999999998</v>
      </c>
      <c r="K153" s="160">
        <f t="shared" si="42"/>
        <v>20748.309999999998</v>
      </c>
      <c r="L153" s="160">
        <f t="shared" si="42"/>
        <v>20748.309999999998</v>
      </c>
      <c r="M153" s="160">
        <f t="shared" si="42"/>
        <v>20748.309999999998</v>
      </c>
      <c r="N153" s="160">
        <f t="shared" si="42"/>
        <v>20748.309999999998</v>
      </c>
      <c r="O153" s="160">
        <f t="shared" si="42"/>
        <v>20748.309999999998</v>
      </c>
      <c r="P153" s="160">
        <f t="shared" si="42"/>
        <v>20748.309999999998</v>
      </c>
      <c r="Q153" s="160">
        <f t="shared" ref="Q153" si="43">SUM(Q145:Q152)</f>
        <v>248979.71999999994</v>
      </c>
      <c r="R153" s="142">
        <f t="shared" si="39"/>
        <v>3.5199035252117312</v>
      </c>
      <c r="S153" s="314"/>
      <c r="T153" s="314"/>
    </row>
    <row r="154" spans="1:20" s="84" customFormat="1" ht="24.95" customHeight="1">
      <c r="A154" s="3"/>
      <c r="B154" s="3"/>
      <c r="C154" s="3"/>
      <c r="D154" s="3"/>
      <c r="E154" s="3"/>
      <c r="F154" s="3"/>
      <c r="G154" s="3"/>
      <c r="H154" s="3"/>
      <c r="I154" s="3"/>
      <c r="J154" s="3"/>
      <c r="K154" s="3"/>
      <c r="L154" s="3"/>
      <c r="M154" s="161"/>
      <c r="S154" s="314"/>
      <c r="T154" s="314"/>
    </row>
    <row r="155" spans="1:20" s="84" customFormat="1" ht="24.95" customHeight="1">
      <c r="A155" s="3" t="s">
        <v>334</v>
      </c>
      <c r="B155" s="3" t="s">
        <v>415</v>
      </c>
      <c r="C155" s="3"/>
      <c r="D155" s="26" t="s">
        <v>335</v>
      </c>
      <c r="E155" s="61"/>
      <c r="F155" s="63"/>
      <c r="G155" s="63"/>
      <c r="H155" s="63"/>
      <c r="I155" s="63"/>
      <c r="J155" s="63"/>
      <c r="K155" s="63"/>
      <c r="L155" s="63"/>
      <c r="M155" s="61"/>
      <c r="N155" s="142"/>
      <c r="O155" s="142"/>
      <c r="P155" s="142"/>
      <c r="Q155" s="142">
        <f>SUM(E155:P155)</f>
        <v>0</v>
      </c>
      <c r="R155" s="142">
        <f t="shared" ref="R155:R163" si="44">Q155/$Q$117</f>
        <v>0</v>
      </c>
      <c r="S155" s="314"/>
      <c r="T155" s="314"/>
    </row>
    <row r="156" spans="1:20" s="84" customFormat="1" ht="24.95" customHeight="1">
      <c r="A156" s="3" t="s">
        <v>336</v>
      </c>
      <c r="B156" s="3" t="s">
        <v>415</v>
      </c>
      <c r="C156" s="3"/>
      <c r="D156" s="3" t="s">
        <v>337</v>
      </c>
      <c r="E156" s="61"/>
      <c r="F156" s="63"/>
      <c r="G156" s="63"/>
      <c r="H156" s="63"/>
      <c r="I156" s="63"/>
      <c r="J156" s="63"/>
      <c r="K156" s="63"/>
      <c r="L156" s="63"/>
      <c r="M156" s="61"/>
      <c r="N156" s="142"/>
      <c r="O156" s="142"/>
      <c r="P156" s="142"/>
      <c r="Q156" s="142">
        <f t="shared" ref="Q156:Q161" si="45">SUM(E156:P156)</f>
        <v>0</v>
      </c>
      <c r="R156" s="142">
        <f t="shared" si="44"/>
        <v>0</v>
      </c>
      <c r="S156" s="314"/>
      <c r="T156" s="314"/>
    </row>
    <row r="157" spans="1:20" s="84" customFormat="1" ht="24.95" customHeight="1">
      <c r="A157" s="3" t="s">
        <v>338</v>
      </c>
      <c r="B157" s="3" t="s">
        <v>415</v>
      </c>
      <c r="C157" s="3"/>
      <c r="D157" s="26" t="s">
        <v>339</v>
      </c>
      <c r="E157" s="61"/>
      <c r="F157" s="63"/>
      <c r="G157" s="63"/>
      <c r="H157" s="63"/>
      <c r="I157" s="63"/>
      <c r="J157" s="63"/>
      <c r="K157" s="63"/>
      <c r="L157" s="63"/>
      <c r="M157" s="61"/>
      <c r="N157" s="142"/>
      <c r="O157" s="142"/>
      <c r="P157" s="142"/>
      <c r="Q157" s="142">
        <f t="shared" si="45"/>
        <v>0</v>
      </c>
      <c r="R157" s="142">
        <f t="shared" si="44"/>
        <v>0</v>
      </c>
      <c r="S157" s="314"/>
      <c r="T157" s="314"/>
    </row>
    <row r="158" spans="1:20" s="84" customFormat="1" ht="24.95" customHeight="1">
      <c r="A158" s="3" t="s">
        <v>340</v>
      </c>
      <c r="B158" s="3" t="s">
        <v>415</v>
      </c>
      <c r="C158" s="3"/>
      <c r="D158" s="26" t="s">
        <v>341</v>
      </c>
      <c r="E158" s="61"/>
      <c r="F158" s="63"/>
      <c r="G158" s="63"/>
      <c r="H158" s="63"/>
      <c r="I158" s="63"/>
      <c r="J158" s="63"/>
      <c r="K158" s="63"/>
      <c r="L158" s="63"/>
      <c r="M158" s="61"/>
      <c r="N158" s="142"/>
      <c r="O158" s="142"/>
      <c r="P158" s="142"/>
      <c r="Q158" s="142">
        <f t="shared" si="45"/>
        <v>0</v>
      </c>
      <c r="R158" s="142">
        <f t="shared" si="44"/>
        <v>0</v>
      </c>
      <c r="S158" s="314"/>
      <c r="T158" s="314"/>
    </row>
    <row r="159" spans="1:20" s="84" customFormat="1" ht="24.95" customHeight="1">
      <c r="A159" s="3" t="s">
        <v>342</v>
      </c>
      <c r="B159" s="3" t="s">
        <v>380</v>
      </c>
      <c r="C159" s="3"/>
      <c r="D159" s="26" t="s">
        <v>343</v>
      </c>
      <c r="E159" s="61"/>
      <c r="F159" s="61"/>
      <c r="G159" s="27"/>
      <c r="H159" s="61"/>
      <c r="I159" s="61"/>
      <c r="J159" s="61"/>
      <c r="K159" s="61"/>
      <c r="L159" s="61"/>
      <c r="M159" s="61"/>
      <c r="N159" s="61"/>
      <c r="O159" s="61"/>
      <c r="P159" s="61"/>
      <c r="Q159" s="142">
        <f t="shared" si="45"/>
        <v>0</v>
      </c>
      <c r="R159" s="142">
        <f t="shared" si="44"/>
        <v>0</v>
      </c>
      <c r="S159" s="314"/>
      <c r="T159" s="314"/>
    </row>
    <row r="160" spans="1:20" s="84" customFormat="1" ht="24.95" customHeight="1">
      <c r="A160" s="3" t="s">
        <v>344</v>
      </c>
      <c r="B160" s="3" t="s">
        <v>380</v>
      </c>
      <c r="C160" s="3"/>
      <c r="D160" s="26" t="s">
        <v>345</v>
      </c>
      <c r="E160" s="61"/>
      <c r="F160" s="61"/>
      <c r="G160" s="61"/>
      <c r="H160" s="61"/>
      <c r="I160" s="61"/>
      <c r="J160" s="61"/>
      <c r="K160" s="61"/>
      <c r="L160" s="61"/>
      <c r="M160" s="61"/>
      <c r="N160" s="61"/>
      <c r="O160" s="61"/>
      <c r="P160" s="61"/>
      <c r="Q160" s="142">
        <f t="shared" si="45"/>
        <v>0</v>
      </c>
      <c r="R160" s="142">
        <f t="shared" si="44"/>
        <v>0</v>
      </c>
      <c r="S160" s="314"/>
      <c r="T160" s="314"/>
    </row>
    <row r="161" spans="1:20" s="84" customFormat="1" ht="24.95" customHeight="1">
      <c r="A161" s="3" t="s">
        <v>346</v>
      </c>
      <c r="B161" s="3" t="s">
        <v>380</v>
      </c>
      <c r="C161" s="3"/>
      <c r="D161" s="26" t="s">
        <v>347</v>
      </c>
      <c r="E161" s="61">
        <f>'Staff Canteen'!E204</f>
        <v>2145.94</v>
      </c>
      <c r="F161" s="61">
        <f>'Staff Canteen'!F204</f>
        <v>2243.04</v>
      </c>
      <c r="G161" s="61">
        <f>'Staff Canteen'!G204</f>
        <v>2097.39</v>
      </c>
      <c r="H161" s="61">
        <f>'Staff Canteen'!H204</f>
        <v>2145.94</v>
      </c>
      <c r="I161" s="61">
        <f>'Staff Canteen'!I204</f>
        <v>2145.94</v>
      </c>
      <c r="J161" s="61">
        <f>'Staff Canteen'!J204</f>
        <v>2145.94</v>
      </c>
      <c r="K161" s="61">
        <f>'Staff Canteen'!K204</f>
        <v>2097.39</v>
      </c>
      <c r="L161" s="61">
        <f>'Staff Canteen'!L204</f>
        <v>2097.39</v>
      </c>
      <c r="M161" s="61">
        <f>'Staff Canteen'!M204</f>
        <v>2145.94</v>
      </c>
      <c r="N161" s="61">
        <f>'Staff Canteen'!N204</f>
        <v>2243.04</v>
      </c>
      <c r="O161" s="61">
        <f>'Staff Canteen'!O204</f>
        <v>2097.39</v>
      </c>
      <c r="P161" s="61">
        <f>'Staff Canteen'!P204</f>
        <v>2097.39</v>
      </c>
      <c r="Q161" s="142">
        <f t="shared" si="45"/>
        <v>25702.73</v>
      </c>
      <c r="R161" s="142">
        <f t="shared" si="44"/>
        <v>0.3633674659709849</v>
      </c>
      <c r="S161" s="314"/>
      <c r="T161" s="314"/>
    </row>
    <row r="162" spans="1:20" s="84" customFormat="1" ht="24.95" customHeight="1">
      <c r="A162" s="3"/>
      <c r="B162" s="3"/>
      <c r="C162" s="3"/>
      <c r="D162" s="19" t="s">
        <v>348</v>
      </c>
      <c r="E162" s="160">
        <f>SUM(E155:E161)</f>
        <v>2145.94</v>
      </c>
      <c r="F162" s="160">
        <f t="shared" ref="F162:Q162" si="46">SUM(F155:F161)</f>
        <v>2243.04</v>
      </c>
      <c r="G162" s="160">
        <f t="shared" si="46"/>
        <v>2097.39</v>
      </c>
      <c r="H162" s="160">
        <f t="shared" si="46"/>
        <v>2145.94</v>
      </c>
      <c r="I162" s="160">
        <f t="shared" si="46"/>
        <v>2145.94</v>
      </c>
      <c r="J162" s="160">
        <f t="shared" si="46"/>
        <v>2145.94</v>
      </c>
      <c r="K162" s="160">
        <f t="shared" si="46"/>
        <v>2097.39</v>
      </c>
      <c r="L162" s="160">
        <f t="shared" si="46"/>
        <v>2097.39</v>
      </c>
      <c r="M162" s="160">
        <f t="shared" si="46"/>
        <v>2145.94</v>
      </c>
      <c r="N162" s="160">
        <f t="shared" si="46"/>
        <v>2243.04</v>
      </c>
      <c r="O162" s="160">
        <f t="shared" si="46"/>
        <v>2097.39</v>
      </c>
      <c r="P162" s="160">
        <f t="shared" si="46"/>
        <v>2097.39</v>
      </c>
      <c r="Q162" s="160">
        <f t="shared" si="46"/>
        <v>25702.73</v>
      </c>
      <c r="R162" s="142">
        <f t="shared" si="44"/>
        <v>0.3633674659709849</v>
      </c>
      <c r="S162" s="314"/>
      <c r="T162" s="314"/>
    </row>
    <row r="163" spans="1:20" s="84" customFormat="1" ht="24.95" customHeight="1">
      <c r="A163" s="3"/>
      <c r="B163" s="3"/>
      <c r="C163" s="3"/>
      <c r="D163" s="19" t="s">
        <v>349</v>
      </c>
      <c r="E163" s="160">
        <f>E134+E143+E153+E162</f>
        <v>95869.65</v>
      </c>
      <c r="F163" s="160">
        <f>F134+F143+F153+F162</f>
        <v>101336.32999999999</v>
      </c>
      <c r="G163" s="160">
        <f>G134+G143+G153+G162</f>
        <v>92149.37</v>
      </c>
      <c r="H163" s="160">
        <f t="shared" ref="H163:Q163" si="47">H134+H143+H153+H162</f>
        <v>95750.2</v>
      </c>
      <c r="I163" s="160">
        <f t="shared" si="47"/>
        <v>96985.209999999992</v>
      </c>
      <c r="J163" s="160">
        <f t="shared" si="47"/>
        <v>95776.48000000001</v>
      </c>
      <c r="K163" s="160">
        <f t="shared" si="47"/>
        <v>93000.61</v>
      </c>
      <c r="L163" s="160">
        <f t="shared" si="47"/>
        <v>93016.45</v>
      </c>
      <c r="M163" s="160">
        <f t="shared" si="47"/>
        <v>96371.36</v>
      </c>
      <c r="N163" s="160">
        <f t="shared" si="47"/>
        <v>104637.45</v>
      </c>
      <c r="O163" s="160">
        <f t="shared" si="47"/>
        <v>93090.61</v>
      </c>
      <c r="P163" s="160">
        <f t="shared" si="47"/>
        <v>93093.25</v>
      </c>
      <c r="Q163" s="160">
        <f t="shared" si="47"/>
        <v>1151076.97</v>
      </c>
      <c r="R163" s="142">
        <f t="shared" si="44"/>
        <v>16.273132143023695</v>
      </c>
      <c r="S163" s="314"/>
      <c r="T163" s="314"/>
    </row>
    <row r="164" spans="1:20" s="42" customFormat="1" ht="24.95" customHeight="1">
      <c r="Q164" s="42">
        <f>Q163-Q142-Q141</f>
        <v>988716.57000000007</v>
      </c>
      <c r="S164" s="314"/>
      <c r="T164" s="314"/>
    </row>
    <row r="165" spans="1:20" s="84" customFormat="1" ht="24.95" customHeight="1">
      <c r="A165" s="3" t="s">
        <v>105</v>
      </c>
      <c r="B165" s="3" t="s">
        <v>380</v>
      </c>
      <c r="C165" s="3"/>
      <c r="D165" s="19" t="s">
        <v>352</v>
      </c>
      <c r="E165" s="68">
        <v>13</v>
      </c>
      <c r="F165" s="68">
        <v>13</v>
      </c>
      <c r="G165" s="68">
        <v>13</v>
      </c>
      <c r="H165" s="68">
        <v>13</v>
      </c>
      <c r="I165" s="68">
        <v>13</v>
      </c>
      <c r="J165" s="68">
        <v>13</v>
      </c>
      <c r="K165" s="68">
        <v>13</v>
      </c>
      <c r="L165" s="68">
        <v>13</v>
      </c>
      <c r="M165" s="68">
        <v>13</v>
      </c>
      <c r="N165" s="68">
        <v>13</v>
      </c>
      <c r="O165" s="68">
        <v>13</v>
      </c>
      <c r="P165" s="68">
        <v>13</v>
      </c>
      <c r="Q165" s="376">
        <v>13</v>
      </c>
      <c r="R165" s="167"/>
      <c r="S165" s="314"/>
      <c r="T165" s="314"/>
    </row>
  </sheetData>
  <phoneticPr fontId="57" type="noConversion"/>
  <dataValidations count="58">
    <dataValidation type="textLength" errorStyle="information" allowBlank="1" showInputMessage="1" showErrorMessage="1" error="XLBVal:6=105870_x000d__x000a_" sqref="Q114">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209604.31_x000d__x000a_" sqref="E27:P27">
      <formula1>0</formula1>
      <formula2>300</formula2>
    </dataValidation>
    <dataValidation type="textLength" errorStyle="information" allowBlank="1" showInputMessage="1" showErrorMessage="1" error="XLBVal:6=623590.56_x000d__x000a_" sqref="E15:P15">
      <formula1>0</formula1>
      <formula2>300</formula2>
    </dataValidation>
    <dataValidation type="textLength" errorStyle="information" allowBlank="1" showInputMessage="1" showErrorMessage="1" error="XLBVal:6=44987.9_x000d__x000a_" sqref="E21:P21">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13695725_x000d__x000a_" sqref="Q14">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6=132_x000d__x000a_" sqref="E165:P165">
      <formula1>0</formula1>
      <formula2>300</formula2>
    </dataValidation>
    <dataValidation type="textLength" errorStyle="information" allowBlank="1" showInputMessage="1" showErrorMessage="1" error="XLBVal:6=28034847_x000d__x000a_" sqref="Q15">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E14:P14 E16:P16 E22:P22 N26:P26 E77:P94 E35:L35 E155:P158 E108:Q108 E117:R117 R165 Q12:R13 Q39:Q65 Q67:Q107 Q155:Q161 R14:R16 R26:R27 R31:R33 R39:R108 R114:R116 R131:R134 R145:R153 R155:R163 Q112:R113 E152:P152 E114:P116 Q20:R24 E97:P106 E131:Q131 E66:Q66 E39:P42 E56:P64 E44:P47 E136:P142 E33:Q33 R136:R143 F37 E49:P54 E68:P71">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8814300_x000d__x000a_" sqref="Q16">
      <formula1>0</formula1>
      <formula2>300</formula2>
    </dataValidation>
    <dataValidation type="textLength" errorStyle="information" allowBlank="1" showInputMessage="1" showErrorMessage="1" error="XLBVal:5=2443234.73_x000d__x000a_" sqref="E29:E30">
      <formula1>0</formula1>
      <formula2>300</formula2>
    </dataValidation>
    <dataValidation type="textLength" errorStyle="information" allowBlank="1" showInputMessage="1" showErrorMessage="1" error="XLBVal:5=1285238.57_x000d__x000a_" sqref="F17:R17 E25:R25 E34:R34 R36 E17:E19 F18:P19">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error="XLBVal:6=7235.47_x000d__x000a_" sqref="E20:P20 E23:P24">
      <formula1>0</formula1>
      <formula2>300</formula2>
    </dataValidation>
    <dataValidation type="textLength" errorStyle="information" allowBlank="1" showInputMessage="1" showErrorMessage="1" error="XLBVal:6=21065.12_x000d__x000a_" sqref="E32:P32">
      <formula1>0</formula1>
      <formula2>300</formula2>
    </dataValidation>
    <dataValidation type="textLength" errorStyle="information" allowBlank="1" showInputMessage="1" showErrorMessage="1" error="XLBVal:6=38233.14_x000d__x000a_" sqref="E26">
      <formula1>0</formula1>
      <formula2>300</formula2>
    </dataValidation>
    <dataValidation type="textLength" errorStyle="information" allowBlank="1" showInputMessage="1" showErrorMessage="1" error="XLBVal:6=6688509.16_x000d__x000a_" sqref="E37:E38 F38:P38">
      <formula1>0</formula1>
      <formula2>300</formula2>
    </dataValidation>
    <dataValidation type="textLength" errorStyle="information" allowBlank="1" showInputMessage="1" showErrorMessage="1" error="XLBVal:6=27356.03_x000d__x000a_" sqref="F26">
      <formula1>0</formula1>
      <formula2>300</formula2>
    </dataValidation>
    <dataValidation type="textLength" errorStyle="information" allowBlank="1" showInputMessage="1" showErrorMessage="1" error="XLBVal:6=10357878_x000d__x000a_" sqref="Q132">
      <formula1>0</formula1>
      <formula2>300</formula2>
    </dataValidation>
    <dataValidation type="textLength" errorStyle="information" allowBlank="1" showInputMessage="1" showErrorMessage="1" error="XLBVal:6=4300_x000d__x000a_" sqref="G26:L26">
      <formula1>0</formula1>
      <formula2>300</formula2>
    </dataValidation>
    <dataValidation type="textLength" errorStyle="information" allowBlank="1" showInputMessage="1" showErrorMessage="1" error="XLBVal:6=270.6_x000d__x000a_" sqref="E67:P67">
      <formula1>0</formula1>
      <formula2>300</formula2>
    </dataValidation>
    <dataValidation type="textLength" errorStyle="information" allowBlank="1" showInputMessage="1" showErrorMessage="1" error="XLBVal:6=280000_x000d__x000a_" sqref="M26">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25196619_x000d__x000a_" sqref="Q31">
      <formula1>0</formula1>
      <formula2>300</formula2>
    </dataValidation>
    <dataValidation type="textLength" errorStyle="information" allowBlank="1" showInputMessage="1" showErrorMessage="1" error="XLBVal:6=976708_x000d__x000a_" sqref="Q32">
      <formula1>0</formula1>
      <formula2>300</formula2>
    </dataValidation>
    <dataValidation type="textLength" errorStyle="information" allowBlank="1" showInputMessage="1" showErrorMessage="1" error="XLBVal:6=82302.23_x000d__x000a_" sqref="E145:P151">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113580_x000d__x000a_" sqref="E48:P48">
      <formula1>0</formula1>
      <formula2>300</formula2>
    </dataValidation>
    <dataValidation type="textLength" errorStyle="information" allowBlank="1" showInputMessage="1" showErrorMessage="1" error="XLBVal:6=7331.48_x000d__x000a_" sqref="E55:P55">
      <formula1>0</formula1>
      <formula2>300</formula2>
    </dataValidation>
    <dataValidation type="textLength" errorStyle="information" allowBlank="1" showInputMessage="1" showErrorMessage="1" error="XLBVal:6=686.44_x000d__x000a_" sqref="E65:P65">
      <formula1>0</formula1>
      <formula2>300</formula2>
    </dataValidation>
    <dataValidation type="textLength" errorStyle="information" allowBlank="1" showInputMessage="1" showErrorMessage="1" error="XLBVal:6=2660698_x000d__x000a_" sqref="Q145:Q152">
      <formula1>0</formula1>
      <formula2>300</formula2>
    </dataValidation>
    <dataValidation type="textLength" errorStyle="information" allowBlank="1" showInputMessage="1" showErrorMessage="1" error="XLBVal:6=2028.3_x000d__x000a_" sqref="E72:P76">
      <formula1>0</formula1>
      <formula2>300</formula2>
    </dataValidation>
    <dataValidation type="textLength" errorStyle="information" allowBlank="1" showInputMessage="1" showErrorMessage="1" error="XLBVal:6=1254.81_x000d__x000a_" sqref="E95:P95">
      <formula1>0</formula1>
      <formula2>300</formula2>
    </dataValidation>
    <dataValidation type="textLength" errorStyle="information" allowBlank="1" showInputMessage="1" showErrorMessage="1" error="XLBVal:6=3780_x000d__x000a_" sqref="Q165">
      <formula1>0</formula1>
      <formula2>300</formula2>
    </dataValidation>
    <dataValidation type="textLength" errorStyle="information" allowBlank="1" showInputMessage="1" showErrorMessage="1" error="XLBVal:6=291748_x000d__x000a_" sqref="Q115">
      <formula1>0</formula1>
      <formula2>300</formula2>
    </dataValidation>
    <dataValidation type="textLength" errorStyle="information" allowBlank="1" showInputMessage="1" showErrorMessage="1" error="XLBVal:6=6944.13_x000d__x000a_" sqref="E96:P96">
      <formula1>0</formula1>
      <formula2>300</formula2>
    </dataValidation>
    <dataValidation type="textLength" errorStyle="information" allowBlank="1" showInputMessage="1" showErrorMessage="1" error="XLBVal:6=13991.76_x000d__x000a_" sqref="E107:P107">
      <formula1>0</formula1>
      <formula2>300</formula2>
    </dataValidation>
    <dataValidation type="textLength" errorStyle="information" allowBlank="1" showInputMessage="1" showErrorMessage="1" error="XLBVal:6=0_x000d__x000a_" sqref="E109:R109">
      <formula1>0</formula1>
      <formula2>300</formula2>
    </dataValidation>
    <dataValidation type="textLength" errorStyle="information" allowBlank="1" showInputMessage="1" showErrorMessage="1" error="XLBVal:6=21902.24_x000d__x000a_" sqref="E159:F161 G160:G161 H159:P161">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error="XLBVal:6=3678_x000d__x000a_" sqref="E154:L154">
      <formula1>0</formula1>
      <formula2>300</formula2>
    </dataValidation>
    <dataValidation type="textLength" errorStyle="information" allowBlank="1" showInputMessage="1" showErrorMessage="1" error="XLBVal:6=48547_x000d__x000a_" sqref="Q116">
      <formula1>0</formula1>
      <formula2>300</formula2>
    </dataValidation>
    <dataValidation type="textLength" errorStyle="information" allowBlank="1" showInputMessage="1" showErrorMessage="1" sqref="F120:R125 H126:L126 H127:R127 E164:L164 E120:E130 E118:P118 F126:G128 H128:L128 F130:L130 F129:P129">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4775842_x000d__x000a_" sqref="Q133">
      <formula1>0</formula1>
      <formula2>300</formula2>
    </dataValidation>
    <dataValidation type="textLength" errorStyle="information" allowBlank="1" showInputMessage="1" showErrorMessage="1" error="XLBVal:5=0_x000d__x000a_" sqref="F29:F30">
      <formula1>0</formula1>
      <formula2>300</formula2>
    </dataValidation>
    <dataValidation type="textLength" errorStyle="information" allowBlank="1" showInputMessage="1" showErrorMessage="1" error="XLBVal:6=995082_x000d__x000a_" sqref="Q136:Q142">
      <formula1>0</formula1>
      <formula2>300</formula2>
    </dataValidation>
    <dataValidation type="textLength" errorStyle="information" allowBlank="1" showInputMessage="1" showErrorMessage="1" error="XLBVal:5=3384188.86_x000d__x000a_" sqref="G29:L30">
      <formula1>0</formula1>
      <formula2>300</formula2>
    </dataValidation>
    <dataValidation type="textLength" errorStyle="information" allowBlank="1" showInputMessage="1" showErrorMessage="1" error="XLBVal:6=6595485.04_x000d__x000a_" sqref="G37:L37">
      <formula1>0</formula1>
      <formula2>300</formula2>
    </dataValidation>
    <dataValidation type="textLength" errorStyle="information" allowBlank="1" showInputMessage="1" showErrorMessage="1" error="XLBVal:6=13973.8_x000d__x000a_" sqref="G159">
      <formula1>0</formula1>
      <formula2>300</formula2>
    </dataValidation>
  </dataValidations>
  <printOptions horizontalCentered="1"/>
  <pageMargins left="0.118110236220472" right="0.118110236220472" top="0.59055118110236204" bottom="0.39370078740157499" header="0" footer="0"/>
  <pageSetup paperSize="9" scale="38" fitToHeight="0" orientation="landscape" r:id="rId1"/>
  <headerFooter>
    <oddFooter>&amp;L&amp;"微软雅黑,Regular"&amp;F&amp;C&amp;"微软雅黑,Regular"Page &amp;P of &amp;N&amp;R&amp;"微软雅黑,Regular"&amp;D</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00B050"/>
    <pageSetUpPr fitToPage="1"/>
  </sheetPr>
  <dimension ref="A1:U167"/>
  <sheetViews>
    <sheetView zoomScale="50" zoomScaleNormal="50" zoomScaleSheetLayoutView="45" workbookViewId="0">
      <pane xSplit="4" ySplit="10" topLeftCell="E11" activePane="bottomRight" state="frozen"/>
      <selection activeCell="D1" sqref="D1"/>
      <selection pane="topRight" activeCell="E1" sqref="E1"/>
      <selection pane="bottomLeft" activeCell="D11" sqref="D11"/>
      <selection pane="bottomRight" activeCell="X48" sqref="X48"/>
    </sheetView>
  </sheetViews>
  <sheetFormatPr defaultColWidth="8.875" defaultRowHeight="26.25" customHeight="1" outlineLevelRow="1" outlineLevelCol="1"/>
  <cols>
    <col min="1" max="3" width="15.5" style="5" hidden="1" customWidth="1" outlineLevel="1"/>
    <col min="4" max="4" width="70.875" style="17" customWidth="1" collapsed="1"/>
    <col min="5" max="9" width="20.375" style="25" customWidth="1"/>
    <col min="10" max="11" width="20.375" style="84" customWidth="1"/>
    <col min="12" max="12" width="20.375" style="3" customWidth="1"/>
    <col min="13" max="16" width="20.375" style="84" customWidth="1"/>
    <col min="17" max="17" width="24.5" style="84" bestFit="1" customWidth="1"/>
    <col min="18" max="18" width="15.5" style="148" customWidth="1"/>
    <col min="19" max="19" width="22.5" style="149" hidden="1" customWidth="1"/>
    <col min="20" max="20" width="22.5" style="148" hidden="1" customWidth="1"/>
    <col min="21" max="21" width="25.875" style="148" customWidth="1"/>
    <col min="22" max="22" width="18.125" style="148" bestFit="1" customWidth="1"/>
    <col min="23" max="16384" width="8.875" style="148"/>
  </cols>
  <sheetData>
    <row r="1" spans="1:20" s="1" customFormat="1" ht="15" customHeight="1" outlineLevel="1">
      <c r="D1" s="327"/>
      <c r="E1" s="328"/>
      <c r="F1" s="328"/>
      <c r="G1" s="328"/>
      <c r="H1" s="328"/>
      <c r="I1" s="328"/>
      <c r="J1" s="328"/>
      <c r="K1" s="328"/>
      <c r="L1" s="328"/>
      <c r="M1" s="328"/>
      <c r="N1" s="328"/>
      <c r="O1" s="328"/>
      <c r="P1" s="328"/>
      <c r="Q1" s="328"/>
      <c r="R1" s="9"/>
      <c r="S1" s="32"/>
    </row>
    <row r="2" spans="1:20" s="1" customFormat="1" ht="15" customHeight="1" outlineLevel="1">
      <c r="D2" s="327"/>
      <c r="E2" s="328"/>
      <c r="F2" s="328"/>
      <c r="G2" s="328"/>
      <c r="H2" s="328"/>
      <c r="I2" s="328"/>
      <c r="J2" s="328"/>
      <c r="K2" s="328"/>
      <c r="L2" s="328"/>
      <c r="M2" s="328"/>
      <c r="N2" s="328"/>
      <c r="O2" s="328"/>
      <c r="P2" s="328"/>
      <c r="Q2" s="328"/>
      <c r="R2" s="9"/>
      <c r="S2" s="32"/>
    </row>
    <row r="3" spans="1:20" s="1" customFormat="1" ht="15" customHeight="1" outlineLevel="1">
      <c r="D3" s="327"/>
      <c r="E3" s="328"/>
      <c r="F3" s="328"/>
      <c r="G3" s="328"/>
      <c r="H3" s="328"/>
      <c r="I3" s="328"/>
      <c r="J3" s="328"/>
      <c r="K3" s="328"/>
      <c r="L3" s="328"/>
      <c r="M3" s="328"/>
      <c r="N3" s="328"/>
      <c r="O3" s="328"/>
      <c r="P3" s="328"/>
      <c r="Q3" s="328"/>
      <c r="R3" s="9"/>
      <c r="S3" s="32"/>
    </row>
    <row r="4" spans="1:20" s="147" customFormat="1" ht="24.95" customHeight="1">
      <c r="D4" s="329" t="str">
        <f>Summary!$D$4</f>
        <v>Hotel Budget Report</v>
      </c>
      <c r="E4" s="330"/>
      <c r="F4" s="330"/>
      <c r="G4" s="331"/>
      <c r="H4" s="332"/>
      <c r="I4" s="332"/>
      <c r="J4" s="84"/>
      <c r="K4" s="84"/>
      <c r="L4" s="3"/>
      <c r="M4" s="84"/>
      <c r="N4" s="84"/>
      <c r="O4" s="84"/>
      <c r="P4" s="84"/>
      <c r="Q4" s="84"/>
      <c r="S4" s="156"/>
    </row>
    <row r="5" spans="1:20" s="147" customFormat="1" ht="24.95" customHeight="1">
      <c r="D5" s="329" t="str">
        <f>Summary!$D$5</f>
        <v>酒店预算报表</v>
      </c>
      <c r="E5" s="330"/>
      <c r="F5" s="330"/>
      <c r="G5" s="331"/>
      <c r="H5" s="332"/>
      <c r="I5" s="332"/>
      <c r="J5" s="84"/>
      <c r="K5" s="84"/>
      <c r="L5" s="3"/>
      <c r="M5" s="84"/>
      <c r="N5" s="84"/>
      <c r="O5" s="84"/>
      <c r="P5" s="84"/>
      <c r="Q5" s="84"/>
      <c r="S5" s="156"/>
    </row>
    <row r="6" spans="1:20" s="147" customFormat="1" ht="24.95" customHeight="1">
      <c r="D6" s="329" t="s">
        <v>650</v>
      </c>
      <c r="E6" s="332"/>
      <c r="F6" s="332"/>
      <c r="G6" s="332"/>
      <c r="H6" s="332"/>
      <c r="I6" s="332"/>
      <c r="J6" s="84"/>
      <c r="K6" s="84"/>
      <c r="L6" s="3"/>
      <c r="M6" s="84"/>
      <c r="N6" s="84"/>
      <c r="O6" s="84"/>
      <c r="P6" s="84"/>
      <c r="Q6" s="84"/>
      <c r="S6" s="156"/>
    </row>
    <row r="7" spans="1:20" s="147" customFormat="1" ht="24.95" customHeight="1">
      <c r="D7" s="333" t="s">
        <v>1185</v>
      </c>
      <c r="E7" s="332"/>
      <c r="F7" s="332"/>
      <c r="G7" s="332"/>
      <c r="H7" s="332"/>
      <c r="I7" s="332"/>
      <c r="J7" s="84"/>
      <c r="K7" s="84"/>
      <c r="L7" s="3"/>
      <c r="M7" s="84"/>
      <c r="N7" s="84"/>
      <c r="O7" s="84"/>
      <c r="P7" s="84"/>
      <c r="Q7" s="84"/>
      <c r="S7" s="156"/>
    </row>
    <row r="8" spans="1:20" ht="24.95" customHeight="1">
      <c r="A8" s="148"/>
      <c r="B8" s="148"/>
      <c r="C8" s="148"/>
      <c r="D8" s="329"/>
      <c r="E8" s="332"/>
      <c r="F8" s="332"/>
      <c r="G8" s="332"/>
      <c r="H8" s="332"/>
      <c r="I8" s="332"/>
      <c r="J8" s="332"/>
      <c r="K8" s="332"/>
      <c r="L8" s="332"/>
      <c r="M8" s="332"/>
      <c r="N8" s="332"/>
      <c r="O8" s="332"/>
      <c r="P8" s="332"/>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2025</v>
      </c>
      <c r="R9" s="18"/>
      <c r="S9" s="15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1118</v>
      </c>
      <c r="E11" s="76"/>
      <c r="F11" s="76"/>
      <c r="G11" s="76"/>
      <c r="H11" s="77"/>
      <c r="I11" s="77"/>
      <c r="J11" s="3"/>
      <c r="K11" s="155"/>
      <c r="L11" s="155"/>
      <c r="M11" s="155"/>
      <c r="S11" s="157"/>
    </row>
    <row r="12" spans="1:20" s="84" customFormat="1" ht="24.95" customHeight="1">
      <c r="A12" s="50" t="s">
        <v>379</v>
      </c>
      <c r="B12" s="3" t="s">
        <v>651</v>
      </c>
      <c r="C12" s="3"/>
      <c r="D12" s="26" t="s">
        <v>652</v>
      </c>
      <c r="E12" s="155">
        <v>34000</v>
      </c>
      <c r="F12" s="155"/>
      <c r="G12" s="155">
        <v>40000</v>
      </c>
      <c r="H12" s="155">
        <v>35000</v>
      </c>
      <c r="I12" s="155">
        <v>10000</v>
      </c>
      <c r="J12" s="155">
        <v>50000</v>
      </c>
      <c r="K12" s="155">
        <v>40000</v>
      </c>
      <c r="L12" s="155">
        <v>10000</v>
      </c>
      <c r="M12" s="155">
        <v>10000</v>
      </c>
      <c r="N12" s="155">
        <v>10000</v>
      </c>
      <c r="O12" s="155">
        <v>20000</v>
      </c>
      <c r="P12" s="155">
        <v>40000</v>
      </c>
      <c r="Q12" s="155">
        <f>SUM(E12:P12)</f>
        <v>299000</v>
      </c>
      <c r="R12" s="155"/>
      <c r="S12" s="157"/>
      <c r="T12" s="40" t="e">
        <f>IF(Q12-S12=0,0,(Q12-S12)/S12)</f>
        <v>#DIV/0!</v>
      </c>
    </row>
    <row r="13" spans="1:20" s="84" customFormat="1" ht="24.95" customHeight="1">
      <c r="A13" s="50" t="s">
        <v>379</v>
      </c>
      <c r="B13" s="3" t="s">
        <v>653</v>
      </c>
      <c r="C13" s="3"/>
      <c r="D13" s="26" t="s">
        <v>654</v>
      </c>
      <c r="E13" s="63">
        <v>36000</v>
      </c>
      <c r="F13" s="63"/>
      <c r="G13" s="63">
        <v>40000</v>
      </c>
      <c r="H13" s="63">
        <v>100000</v>
      </c>
      <c r="I13" s="63">
        <v>130000</v>
      </c>
      <c r="J13" s="63">
        <v>30000</v>
      </c>
      <c r="K13" s="63">
        <v>20000</v>
      </c>
      <c r="L13" s="63"/>
      <c r="M13" s="63">
        <v>90000</v>
      </c>
      <c r="N13" s="63">
        <v>130000</v>
      </c>
      <c r="O13" s="63">
        <v>10000</v>
      </c>
      <c r="P13" s="63"/>
      <c r="Q13" s="155">
        <f t="shared" ref="Q13:Q16" si="0">SUM(E13:P13)</f>
        <v>586000</v>
      </c>
      <c r="R13" s="142"/>
      <c r="S13" s="157"/>
      <c r="T13" s="40" t="e">
        <f t="shared" ref="T13:T29" si="1">IF(Q13-S13=0,0,(Q13-S13)/S13)</f>
        <v>#DIV/0!</v>
      </c>
    </row>
    <row r="14" spans="1:20" s="84" customFormat="1" ht="24.95" customHeight="1">
      <c r="A14" s="50" t="s">
        <v>379</v>
      </c>
      <c r="B14" s="3" t="s">
        <v>655</v>
      </c>
      <c r="C14" s="3"/>
      <c r="D14" s="26" t="s">
        <v>656</v>
      </c>
      <c r="E14" s="63">
        <v>160000</v>
      </c>
      <c r="F14" s="63">
        <v>120000</v>
      </c>
      <c r="G14" s="63">
        <v>100000</v>
      </c>
      <c r="H14" s="63">
        <v>105000</v>
      </c>
      <c r="I14" s="63">
        <v>150000</v>
      </c>
      <c r="J14" s="63">
        <v>180000</v>
      </c>
      <c r="K14" s="63">
        <v>150000</v>
      </c>
      <c r="L14" s="63">
        <v>250000</v>
      </c>
      <c r="M14" s="63">
        <v>250000</v>
      </c>
      <c r="N14" s="63">
        <v>200000</v>
      </c>
      <c r="O14" s="63">
        <v>130000</v>
      </c>
      <c r="P14" s="63">
        <v>90000</v>
      </c>
      <c r="Q14" s="155">
        <f t="shared" si="0"/>
        <v>1885000</v>
      </c>
      <c r="R14" s="142"/>
      <c r="S14" s="157"/>
      <c r="T14" s="40" t="e">
        <f t="shared" si="1"/>
        <v>#DIV/0!</v>
      </c>
    </row>
    <row r="15" spans="1:20" s="84" customFormat="1" ht="24.95" customHeight="1">
      <c r="A15" s="50" t="s">
        <v>379</v>
      </c>
      <c r="B15" s="3" t="s">
        <v>657</v>
      </c>
      <c r="C15" s="3"/>
      <c r="D15" s="26" t="s">
        <v>658</v>
      </c>
      <c r="E15" s="63">
        <v>60000</v>
      </c>
      <c r="F15" s="63">
        <v>60000</v>
      </c>
      <c r="G15" s="63">
        <v>60000</v>
      </c>
      <c r="H15" s="63">
        <v>80000</v>
      </c>
      <c r="I15" s="63">
        <v>80000</v>
      </c>
      <c r="J15" s="63">
        <v>50000</v>
      </c>
      <c r="K15" s="63">
        <v>160000</v>
      </c>
      <c r="L15" s="63">
        <v>130000</v>
      </c>
      <c r="M15" s="63">
        <v>120000</v>
      </c>
      <c r="N15" s="63">
        <v>80000</v>
      </c>
      <c r="O15" s="63">
        <v>90000</v>
      </c>
      <c r="P15" s="63">
        <v>100000</v>
      </c>
      <c r="Q15" s="155">
        <f t="shared" si="0"/>
        <v>1070000</v>
      </c>
      <c r="R15" s="142"/>
      <c r="S15" s="157"/>
      <c r="T15" s="40" t="e">
        <f t="shared" si="1"/>
        <v>#DIV/0!</v>
      </c>
    </row>
    <row r="16" spans="1:20" s="84" customFormat="1" ht="24.95" customHeight="1">
      <c r="A16" s="50" t="s">
        <v>379</v>
      </c>
      <c r="B16" s="3" t="s">
        <v>659</v>
      </c>
      <c r="C16" s="3"/>
      <c r="D16" s="26" t="s">
        <v>660</v>
      </c>
      <c r="E16" s="63"/>
      <c r="F16" s="63"/>
      <c r="G16" s="63"/>
      <c r="H16" s="63"/>
      <c r="I16" s="63"/>
      <c r="J16" s="63"/>
      <c r="K16" s="63"/>
      <c r="L16" s="63"/>
      <c r="M16" s="63"/>
      <c r="N16" s="63"/>
      <c r="O16" s="63"/>
      <c r="P16" s="63"/>
      <c r="Q16" s="155">
        <f t="shared" si="0"/>
        <v>0</v>
      </c>
      <c r="R16" s="142"/>
      <c r="S16" s="157"/>
      <c r="T16" s="40">
        <f>IF(S16&lt;&gt;0,(Q16-S16)/S16,1)</f>
        <v>1</v>
      </c>
    </row>
    <row r="17" spans="1:20" s="84" customFormat="1" ht="24.95" customHeight="1">
      <c r="A17" s="3"/>
      <c r="B17" s="3"/>
      <c r="C17" s="3"/>
      <c r="D17" s="21" t="s">
        <v>1119</v>
      </c>
      <c r="E17" s="45">
        <f>SUM(E12:E16)</f>
        <v>290000</v>
      </c>
      <c r="F17" s="45">
        <f t="shared" ref="F17:P17" si="2">SUM(F12:F16)</f>
        <v>180000</v>
      </c>
      <c r="G17" s="45">
        <f t="shared" si="2"/>
        <v>240000</v>
      </c>
      <c r="H17" s="45">
        <f t="shared" si="2"/>
        <v>320000</v>
      </c>
      <c r="I17" s="45">
        <f t="shared" si="2"/>
        <v>370000</v>
      </c>
      <c r="J17" s="45">
        <f t="shared" si="2"/>
        <v>310000</v>
      </c>
      <c r="K17" s="45">
        <f t="shared" si="2"/>
        <v>370000</v>
      </c>
      <c r="L17" s="45">
        <f t="shared" si="2"/>
        <v>390000</v>
      </c>
      <c r="M17" s="45">
        <f t="shared" si="2"/>
        <v>470000</v>
      </c>
      <c r="N17" s="45">
        <f t="shared" si="2"/>
        <v>420000</v>
      </c>
      <c r="O17" s="45">
        <f t="shared" si="2"/>
        <v>250000</v>
      </c>
      <c r="P17" s="45">
        <f t="shared" si="2"/>
        <v>230000</v>
      </c>
      <c r="Q17" s="45">
        <f t="shared" ref="Q17" si="3">SUM(Q12:Q16)</f>
        <v>3840000</v>
      </c>
      <c r="R17" s="45"/>
      <c r="S17" s="157"/>
      <c r="T17" s="40" t="e">
        <f t="shared" si="1"/>
        <v>#DIV/0!</v>
      </c>
    </row>
    <row r="18" spans="1:20" s="84" customFormat="1" ht="24.95" customHeight="1">
      <c r="A18" s="3"/>
      <c r="B18" s="3"/>
      <c r="C18" s="3"/>
      <c r="D18" s="26"/>
      <c r="E18" s="113"/>
      <c r="F18" s="24"/>
      <c r="G18" s="113"/>
      <c r="H18" s="113"/>
      <c r="I18" s="113"/>
      <c r="J18" s="113"/>
      <c r="K18" s="113"/>
      <c r="L18" s="113"/>
      <c r="S18" s="157"/>
      <c r="T18" s="40"/>
    </row>
    <row r="19" spans="1:20" s="84" customFormat="1" ht="24.95" customHeight="1">
      <c r="A19" s="3"/>
      <c r="B19" s="3"/>
      <c r="C19" s="3"/>
      <c r="D19" s="21" t="s">
        <v>1120</v>
      </c>
      <c r="E19" s="113"/>
      <c r="F19" s="63"/>
      <c r="G19" s="63"/>
      <c r="H19" s="63"/>
      <c r="I19" s="63"/>
      <c r="J19" s="63"/>
      <c r="K19" s="63"/>
      <c r="L19" s="63"/>
      <c r="S19" s="157"/>
      <c r="T19" s="40"/>
    </row>
    <row r="20" spans="1:20" s="84" customFormat="1" ht="24.95" customHeight="1">
      <c r="A20" s="50" t="s">
        <v>411</v>
      </c>
      <c r="B20" s="3" t="s">
        <v>651</v>
      </c>
      <c r="C20" s="3"/>
      <c r="D20" s="26" t="s">
        <v>652</v>
      </c>
      <c r="E20" s="63"/>
      <c r="F20" s="63"/>
      <c r="G20" s="63"/>
      <c r="H20" s="63"/>
      <c r="I20" s="63"/>
      <c r="J20" s="63"/>
      <c r="K20" s="63"/>
      <c r="L20" s="63"/>
      <c r="M20" s="63"/>
      <c r="N20" s="63"/>
      <c r="O20" s="63"/>
      <c r="P20" s="63"/>
      <c r="Q20" s="142">
        <f>SUM(E20:P20)</f>
        <v>0</v>
      </c>
      <c r="R20" s="142"/>
      <c r="S20" s="157"/>
      <c r="T20" s="40">
        <f t="shared" si="1"/>
        <v>0</v>
      </c>
    </row>
    <row r="21" spans="1:20" s="84" customFormat="1" ht="24.95" customHeight="1">
      <c r="A21" s="50" t="s">
        <v>411</v>
      </c>
      <c r="B21" s="3" t="s">
        <v>653</v>
      </c>
      <c r="C21" s="3"/>
      <c r="D21" s="26" t="s">
        <v>654</v>
      </c>
      <c r="E21" s="63"/>
      <c r="F21" s="63"/>
      <c r="G21" s="63"/>
      <c r="H21" s="63"/>
      <c r="I21" s="63"/>
      <c r="J21" s="63"/>
      <c r="K21" s="63"/>
      <c r="L21" s="63"/>
      <c r="M21" s="63"/>
      <c r="N21" s="63"/>
      <c r="O21" s="63"/>
      <c r="P21" s="63"/>
      <c r="Q21" s="142">
        <f t="shared" ref="Q21:Q24" si="4">SUM(E21:P21)</f>
        <v>0</v>
      </c>
      <c r="R21" s="142"/>
      <c r="S21" s="157"/>
      <c r="T21" s="40">
        <f t="shared" si="1"/>
        <v>0</v>
      </c>
    </row>
    <row r="22" spans="1:20" s="84" customFormat="1" ht="24.95" customHeight="1">
      <c r="A22" s="50" t="s">
        <v>411</v>
      </c>
      <c r="B22" s="3" t="s">
        <v>655</v>
      </c>
      <c r="C22" s="3"/>
      <c r="D22" s="26" t="s">
        <v>656</v>
      </c>
      <c r="E22" s="63"/>
      <c r="F22" s="63"/>
      <c r="G22" s="63"/>
      <c r="H22" s="63"/>
      <c r="I22" s="63"/>
      <c r="J22" s="63"/>
      <c r="K22" s="63"/>
      <c r="L22" s="63"/>
      <c r="M22" s="63"/>
      <c r="N22" s="63"/>
      <c r="O22" s="63"/>
      <c r="P22" s="63"/>
      <c r="Q22" s="142">
        <f t="shared" si="4"/>
        <v>0</v>
      </c>
      <c r="R22" s="142"/>
      <c r="S22" s="157"/>
      <c r="T22" s="40">
        <f t="shared" si="1"/>
        <v>0</v>
      </c>
    </row>
    <row r="23" spans="1:20" s="84" customFormat="1" ht="24.95" customHeight="1">
      <c r="A23" s="50" t="s">
        <v>411</v>
      </c>
      <c r="B23" s="3" t="s">
        <v>657</v>
      </c>
      <c r="C23" s="3"/>
      <c r="D23" s="26" t="s">
        <v>658</v>
      </c>
      <c r="E23" s="63"/>
      <c r="F23" s="63"/>
      <c r="G23" s="63"/>
      <c r="H23" s="63"/>
      <c r="I23" s="63"/>
      <c r="J23" s="63"/>
      <c r="K23" s="63"/>
      <c r="L23" s="63"/>
      <c r="M23" s="63"/>
      <c r="N23" s="63"/>
      <c r="O23" s="63"/>
      <c r="P23" s="63"/>
      <c r="Q23" s="142">
        <f t="shared" si="4"/>
        <v>0</v>
      </c>
      <c r="R23" s="142"/>
      <c r="S23" s="157"/>
      <c r="T23" s="40">
        <f t="shared" si="1"/>
        <v>0</v>
      </c>
    </row>
    <row r="24" spans="1:20" s="84" customFormat="1" ht="24.95" customHeight="1">
      <c r="A24" s="50" t="s">
        <v>411</v>
      </c>
      <c r="B24" s="3" t="s">
        <v>659</v>
      </c>
      <c r="C24" s="3"/>
      <c r="D24" s="26" t="s">
        <v>660</v>
      </c>
      <c r="E24" s="63">
        <v>0</v>
      </c>
      <c r="F24" s="63">
        <v>0</v>
      </c>
      <c r="G24" s="63">
        <v>0</v>
      </c>
      <c r="H24" s="63">
        <v>0</v>
      </c>
      <c r="I24" s="63">
        <v>0</v>
      </c>
      <c r="J24" s="63">
        <v>0</v>
      </c>
      <c r="K24" s="63">
        <v>0</v>
      </c>
      <c r="L24" s="63">
        <v>0</v>
      </c>
      <c r="M24" s="63">
        <v>0</v>
      </c>
      <c r="N24" s="63">
        <v>0</v>
      </c>
      <c r="O24" s="63">
        <v>0</v>
      </c>
      <c r="P24" s="63">
        <v>0</v>
      </c>
      <c r="Q24" s="142">
        <f t="shared" si="4"/>
        <v>0</v>
      </c>
      <c r="R24" s="142"/>
      <c r="S24" s="157"/>
      <c r="T24" s="40">
        <f>IF(S24&lt;&gt;0,(Q24-S24)/S24,1)</f>
        <v>1</v>
      </c>
    </row>
    <row r="25" spans="1:20" s="84" customFormat="1" ht="24.95" customHeight="1">
      <c r="A25" s="3"/>
      <c r="B25" s="3"/>
      <c r="C25" s="3"/>
      <c r="D25" s="21" t="s">
        <v>1121</v>
      </c>
      <c r="E25" s="45">
        <f>SUM(E20:E24)</f>
        <v>0</v>
      </c>
      <c r="F25" s="45">
        <f t="shared" ref="F25:Q25" si="5">SUM(F20:F24)</f>
        <v>0</v>
      </c>
      <c r="G25" s="45">
        <f t="shared" si="5"/>
        <v>0</v>
      </c>
      <c r="H25" s="45">
        <f t="shared" si="5"/>
        <v>0</v>
      </c>
      <c r="I25" s="45">
        <f t="shared" si="5"/>
        <v>0</v>
      </c>
      <c r="J25" s="45">
        <f t="shared" si="5"/>
        <v>0</v>
      </c>
      <c r="K25" s="45">
        <f t="shared" si="5"/>
        <v>0</v>
      </c>
      <c r="L25" s="45">
        <f t="shared" si="5"/>
        <v>0</v>
      </c>
      <c r="M25" s="45">
        <f t="shared" si="5"/>
        <v>0</v>
      </c>
      <c r="N25" s="45">
        <f t="shared" si="5"/>
        <v>0</v>
      </c>
      <c r="O25" s="45">
        <f t="shared" si="5"/>
        <v>0</v>
      </c>
      <c r="P25" s="45">
        <f t="shared" si="5"/>
        <v>0</v>
      </c>
      <c r="Q25" s="45">
        <f t="shared" si="5"/>
        <v>0</v>
      </c>
      <c r="R25" s="45"/>
      <c r="S25" s="157"/>
      <c r="T25" s="40">
        <f t="shared" si="1"/>
        <v>0</v>
      </c>
    </row>
    <row r="26" spans="1:20" s="84" customFormat="1" ht="24.95" customHeight="1">
      <c r="A26" s="50" t="s">
        <v>414</v>
      </c>
      <c r="B26" s="3" t="s">
        <v>661</v>
      </c>
      <c r="C26" s="3"/>
      <c r="D26" s="26" t="s">
        <v>1122</v>
      </c>
      <c r="E26" s="63">
        <v>60000</v>
      </c>
      <c r="F26" s="63">
        <v>50000</v>
      </c>
      <c r="G26" s="63">
        <v>40000</v>
      </c>
      <c r="H26" s="63">
        <v>100000</v>
      </c>
      <c r="I26" s="63">
        <v>70000</v>
      </c>
      <c r="J26" s="63">
        <v>60000</v>
      </c>
      <c r="K26" s="63">
        <v>80000</v>
      </c>
      <c r="L26" s="63">
        <v>80000</v>
      </c>
      <c r="M26" s="63">
        <v>50000</v>
      </c>
      <c r="N26" s="63">
        <v>60000</v>
      </c>
      <c r="O26" s="63">
        <v>100000</v>
      </c>
      <c r="P26" s="63">
        <v>60000</v>
      </c>
      <c r="Q26" s="142">
        <f>SUM(E26:P26)</f>
        <v>810000</v>
      </c>
      <c r="R26" s="142"/>
      <c r="S26" s="157"/>
      <c r="T26" s="40" t="e">
        <f t="shared" si="1"/>
        <v>#DIV/0!</v>
      </c>
    </row>
    <row r="27" spans="1:20" s="84" customFormat="1" ht="24.95" customHeight="1">
      <c r="A27" s="50" t="s">
        <v>662</v>
      </c>
      <c r="B27" s="3" t="s">
        <v>661</v>
      </c>
      <c r="C27" s="3"/>
      <c r="D27" s="26" t="s">
        <v>1123</v>
      </c>
      <c r="E27" s="63"/>
      <c r="F27" s="63"/>
      <c r="G27" s="63"/>
      <c r="H27" s="63"/>
      <c r="I27" s="63"/>
      <c r="J27" s="63"/>
      <c r="K27" s="63"/>
      <c r="L27" s="63"/>
      <c r="M27" s="63"/>
      <c r="N27" s="63"/>
      <c r="O27" s="63"/>
      <c r="P27" s="63"/>
      <c r="Q27" s="142">
        <f>SUM(E27:P27)</f>
        <v>0</v>
      </c>
      <c r="R27" s="142"/>
      <c r="S27" s="157"/>
      <c r="T27" s="40">
        <f>IF(S27&lt;&gt;0,(Q27-S27)/S27,1)</f>
        <v>1</v>
      </c>
    </row>
    <row r="28" spans="1:20" s="84" customFormat="1" ht="24.95" customHeight="1">
      <c r="A28" s="50" t="s">
        <v>126</v>
      </c>
      <c r="B28" s="3" t="s">
        <v>661</v>
      </c>
      <c r="C28" s="3"/>
      <c r="D28" s="26" t="s">
        <v>1124</v>
      </c>
      <c r="E28" s="63"/>
      <c r="F28" s="63"/>
      <c r="G28" s="63"/>
      <c r="H28" s="63"/>
      <c r="I28" s="63"/>
      <c r="J28" s="63"/>
      <c r="K28" s="63"/>
      <c r="L28" s="63"/>
      <c r="M28" s="63"/>
      <c r="N28" s="63"/>
      <c r="O28" s="63"/>
      <c r="P28" s="63"/>
      <c r="Q28" s="142">
        <f>SUM(E28:P28)</f>
        <v>0</v>
      </c>
      <c r="R28" s="142"/>
      <c r="S28" s="157"/>
      <c r="T28" s="40">
        <f t="shared" si="1"/>
        <v>0</v>
      </c>
    </row>
    <row r="29" spans="1:20" s="84" customFormat="1" ht="24.95" customHeight="1">
      <c r="A29" s="50"/>
      <c r="B29" s="3"/>
      <c r="C29" s="3"/>
      <c r="D29" s="21" t="s">
        <v>1125</v>
      </c>
      <c r="E29" s="45">
        <f>E17+E25+E26+E27+E28</f>
        <v>350000</v>
      </c>
      <c r="F29" s="45">
        <f t="shared" ref="F29:Q29" si="6">F17+F25+F26+F27+F28</f>
        <v>230000</v>
      </c>
      <c r="G29" s="45">
        <f t="shared" si="6"/>
        <v>280000</v>
      </c>
      <c r="H29" s="45">
        <f t="shared" si="6"/>
        <v>420000</v>
      </c>
      <c r="I29" s="45">
        <f t="shared" si="6"/>
        <v>440000</v>
      </c>
      <c r="J29" s="45">
        <f t="shared" si="6"/>
        <v>370000</v>
      </c>
      <c r="K29" s="45">
        <f t="shared" si="6"/>
        <v>450000</v>
      </c>
      <c r="L29" s="45">
        <f t="shared" si="6"/>
        <v>470000</v>
      </c>
      <c r="M29" s="45">
        <f t="shared" si="6"/>
        <v>520000</v>
      </c>
      <c r="N29" s="45">
        <f t="shared" si="6"/>
        <v>480000</v>
      </c>
      <c r="O29" s="45">
        <f t="shared" si="6"/>
        <v>350000</v>
      </c>
      <c r="P29" s="45">
        <f t="shared" si="6"/>
        <v>290000</v>
      </c>
      <c r="Q29" s="311">
        <f t="shared" si="6"/>
        <v>4650000</v>
      </c>
      <c r="R29" s="45"/>
      <c r="S29" s="157"/>
      <c r="T29" s="40" t="e">
        <f t="shared" si="1"/>
        <v>#DIV/0!</v>
      </c>
    </row>
    <row r="30" spans="1:20" s="84" customFormat="1" ht="24.95" customHeight="1">
      <c r="A30" s="50"/>
      <c r="B30" s="3"/>
      <c r="C30" s="3"/>
      <c r="D30" s="26"/>
      <c r="E30" s="63"/>
      <c r="F30" s="63"/>
      <c r="G30" s="63"/>
      <c r="H30" s="63"/>
      <c r="I30" s="63"/>
      <c r="J30" s="63"/>
      <c r="K30" s="63"/>
      <c r="L30" s="63"/>
      <c r="S30" s="157"/>
      <c r="T30" s="40"/>
    </row>
    <row r="31" spans="1:20" s="84" customFormat="1" ht="24.95" customHeight="1">
      <c r="A31" s="50"/>
      <c r="B31" s="3"/>
      <c r="C31" s="3"/>
      <c r="D31" s="21" t="s">
        <v>423</v>
      </c>
      <c r="E31" s="63"/>
      <c r="F31" s="63"/>
      <c r="G31" s="63"/>
      <c r="H31" s="63"/>
      <c r="I31" s="63"/>
      <c r="J31" s="63"/>
      <c r="K31" s="63"/>
      <c r="L31" s="63"/>
      <c r="S31" s="157"/>
      <c r="T31" s="40"/>
    </row>
    <row r="32" spans="1:20" s="84" customFormat="1" ht="24.95" customHeight="1">
      <c r="A32" s="50" t="s">
        <v>424</v>
      </c>
      <c r="B32" s="3" t="s">
        <v>661</v>
      </c>
      <c r="C32" s="3"/>
      <c r="D32" s="26" t="s">
        <v>425</v>
      </c>
      <c r="E32" s="63">
        <f>ROUND(E17*38.5%,2)</f>
        <v>111650</v>
      </c>
      <c r="F32" s="63">
        <f t="shared" ref="F32:P32" si="7">ROUND(F17*38.5%,2)</f>
        <v>69300</v>
      </c>
      <c r="G32" s="63">
        <f t="shared" si="7"/>
        <v>92400</v>
      </c>
      <c r="H32" s="63">
        <f t="shared" si="7"/>
        <v>123200</v>
      </c>
      <c r="I32" s="63">
        <f t="shared" si="7"/>
        <v>142450</v>
      </c>
      <c r="J32" s="63">
        <f t="shared" si="7"/>
        <v>119350</v>
      </c>
      <c r="K32" s="63">
        <f t="shared" si="7"/>
        <v>142450</v>
      </c>
      <c r="L32" s="63">
        <f t="shared" si="7"/>
        <v>150150</v>
      </c>
      <c r="M32" s="63">
        <f t="shared" si="7"/>
        <v>180950</v>
      </c>
      <c r="N32" s="63">
        <f t="shared" si="7"/>
        <v>161700</v>
      </c>
      <c r="O32" s="63">
        <f t="shared" si="7"/>
        <v>96250</v>
      </c>
      <c r="P32" s="63">
        <f t="shared" si="7"/>
        <v>88550</v>
      </c>
      <c r="Q32" s="142">
        <f>SUM(E32:P32)</f>
        <v>1478400</v>
      </c>
      <c r="R32" s="168">
        <f>Q32/Q17</f>
        <v>0.38500000000000001</v>
      </c>
      <c r="S32" s="157"/>
      <c r="T32" s="40" t="e">
        <f>-IF(Q32-S32=0,0,(Q32-S32)/S32)</f>
        <v>#DIV/0!</v>
      </c>
    </row>
    <row r="33" spans="1:20" s="84" customFormat="1" ht="24.95" customHeight="1">
      <c r="A33" s="3" t="s">
        <v>1183</v>
      </c>
      <c r="B33" s="3" t="s">
        <v>661</v>
      </c>
      <c r="C33" s="3"/>
      <c r="D33" s="26" t="s">
        <v>427</v>
      </c>
      <c r="E33" s="63"/>
      <c r="F33" s="63"/>
      <c r="G33" s="63"/>
      <c r="H33" s="63"/>
      <c r="I33" s="63"/>
      <c r="J33" s="63"/>
      <c r="K33" s="63"/>
      <c r="L33" s="63"/>
      <c r="M33" s="63"/>
      <c r="N33" s="63"/>
      <c r="O33" s="63"/>
      <c r="P33" s="63"/>
      <c r="Q33" s="142">
        <f t="shared" ref="Q33:Q34" si="8">SUM(E33:P33)</f>
        <v>0</v>
      </c>
      <c r="R33" s="168">
        <f>IF(Q25=0,0,Q33/Q25)</f>
        <v>0</v>
      </c>
      <c r="S33" s="157"/>
      <c r="T33" s="40">
        <f t="shared" ref="T33:T96" si="9">-IF(Q33-S33=0,0,(Q33-S33)/S33)</f>
        <v>0</v>
      </c>
    </row>
    <row r="34" spans="1:20" s="84" customFormat="1" ht="24.95" customHeight="1">
      <c r="A34" s="3" t="s">
        <v>467</v>
      </c>
      <c r="B34" s="3" t="s">
        <v>661</v>
      </c>
      <c r="C34" s="3"/>
      <c r="D34" s="26" t="s">
        <v>1126</v>
      </c>
      <c r="E34" s="63"/>
      <c r="F34" s="63"/>
      <c r="G34" s="63"/>
      <c r="H34" s="63"/>
      <c r="I34" s="63"/>
      <c r="J34" s="63"/>
      <c r="K34" s="63"/>
      <c r="L34" s="63"/>
      <c r="M34" s="27"/>
      <c r="N34" s="27"/>
      <c r="O34" s="27"/>
      <c r="P34" s="27"/>
      <c r="Q34" s="142">
        <f t="shared" si="8"/>
        <v>0</v>
      </c>
      <c r="R34" s="168">
        <f>IF(Q27=0,0,Q34/Q27)</f>
        <v>0</v>
      </c>
      <c r="S34" s="157"/>
      <c r="T34" s="40">
        <f t="shared" si="9"/>
        <v>0</v>
      </c>
    </row>
    <row r="35" spans="1:20" s="84" customFormat="1" ht="24.95" customHeight="1">
      <c r="A35" s="3"/>
      <c r="B35" s="3"/>
      <c r="C35" s="3"/>
      <c r="D35" s="21" t="s">
        <v>1127</v>
      </c>
      <c r="E35" s="45">
        <f>+SUM(E32:E34)</f>
        <v>111650</v>
      </c>
      <c r="F35" s="45">
        <f t="shared" ref="F35:P35" si="10">+SUM(F32:F34)</f>
        <v>69300</v>
      </c>
      <c r="G35" s="45">
        <f t="shared" si="10"/>
        <v>92400</v>
      </c>
      <c r="H35" s="45">
        <f t="shared" si="10"/>
        <v>123200</v>
      </c>
      <c r="I35" s="45">
        <f t="shared" si="10"/>
        <v>142450</v>
      </c>
      <c r="J35" s="45">
        <f t="shared" si="10"/>
        <v>119350</v>
      </c>
      <c r="K35" s="45">
        <f t="shared" si="10"/>
        <v>142450</v>
      </c>
      <c r="L35" s="45">
        <f t="shared" si="10"/>
        <v>150150</v>
      </c>
      <c r="M35" s="45">
        <f t="shared" si="10"/>
        <v>180950</v>
      </c>
      <c r="N35" s="45">
        <f t="shared" si="10"/>
        <v>161700</v>
      </c>
      <c r="O35" s="45">
        <f t="shared" si="10"/>
        <v>96250</v>
      </c>
      <c r="P35" s="45">
        <f t="shared" si="10"/>
        <v>88550</v>
      </c>
      <c r="Q35" s="45">
        <f>SUM(Q32:Q34)</f>
        <v>1478400</v>
      </c>
      <c r="R35" s="158">
        <f>Q35/$Q$29</f>
        <v>0.31793548387096776</v>
      </c>
      <c r="S35" s="157"/>
      <c r="T35" s="40" t="e">
        <f t="shared" si="9"/>
        <v>#DIV/0!</v>
      </c>
    </row>
    <row r="36" spans="1:20" s="84" customFormat="1" ht="24.95" customHeight="1">
      <c r="A36" s="3"/>
      <c r="B36" s="3"/>
      <c r="C36" s="3"/>
      <c r="D36" s="26"/>
      <c r="E36" s="63"/>
      <c r="F36" s="63"/>
      <c r="G36" s="63"/>
      <c r="H36" s="63"/>
      <c r="I36" s="63"/>
      <c r="J36" s="63"/>
      <c r="K36" s="63"/>
      <c r="L36" s="63"/>
      <c r="Q36" s="159"/>
      <c r="S36" s="157"/>
      <c r="T36" s="40"/>
    </row>
    <row r="37" spans="1:20" s="84" customFormat="1" ht="24.95" customHeight="1">
      <c r="A37" s="3" t="s">
        <v>103</v>
      </c>
      <c r="B37" s="3" t="s">
        <v>661</v>
      </c>
      <c r="C37" s="3"/>
      <c r="D37" s="21" t="s">
        <v>1128</v>
      </c>
      <c r="E37" s="45">
        <f>+E164</f>
        <v>48517.079999999994</v>
      </c>
      <c r="F37" s="45">
        <f t="shared" ref="F37:P37" si="11">+F164</f>
        <v>48048.12</v>
      </c>
      <c r="G37" s="45">
        <f t="shared" si="11"/>
        <v>45351.56</v>
      </c>
      <c r="H37" s="45">
        <f t="shared" si="11"/>
        <v>48600.409999999996</v>
      </c>
      <c r="I37" s="45">
        <f t="shared" si="11"/>
        <v>48900.409999999996</v>
      </c>
      <c r="J37" s="45">
        <f t="shared" si="11"/>
        <v>47850.409999999996</v>
      </c>
      <c r="K37" s="45">
        <f t="shared" si="11"/>
        <v>47901.56</v>
      </c>
      <c r="L37" s="45">
        <f t="shared" si="11"/>
        <v>48201.56</v>
      </c>
      <c r="M37" s="45">
        <f t="shared" si="11"/>
        <v>50125.689999999995</v>
      </c>
      <c r="N37" s="45">
        <f t="shared" si="11"/>
        <v>51873.96</v>
      </c>
      <c r="O37" s="45">
        <f t="shared" si="11"/>
        <v>46401.56</v>
      </c>
      <c r="P37" s="45">
        <f t="shared" si="11"/>
        <v>45501.56</v>
      </c>
      <c r="Q37" s="45">
        <f>SUM(E37:P37)</f>
        <v>577273.88000000012</v>
      </c>
      <c r="R37" s="158">
        <f>Q37/$Q$29</f>
        <v>0.12414492043010755</v>
      </c>
      <c r="S37" s="157"/>
      <c r="T37" s="40" t="e">
        <f t="shared" si="9"/>
        <v>#DIV/0!</v>
      </c>
    </row>
    <row r="38" spans="1:20" s="84" customFormat="1" ht="24.95" customHeight="1">
      <c r="A38" s="3"/>
      <c r="B38" s="3"/>
      <c r="C38" s="3"/>
      <c r="D38" s="26"/>
      <c r="E38" s="63"/>
      <c r="F38" s="63"/>
      <c r="G38" s="63"/>
      <c r="H38" s="63"/>
      <c r="I38" s="63"/>
      <c r="J38" s="63"/>
      <c r="K38" s="63"/>
      <c r="L38" s="63"/>
      <c r="S38" s="157"/>
      <c r="T38" s="40"/>
    </row>
    <row r="39" spans="1:20" s="84" customFormat="1" ht="24.95" customHeight="1">
      <c r="A39" s="3"/>
      <c r="B39" s="3"/>
      <c r="C39" s="3"/>
      <c r="D39" s="21" t="s">
        <v>1129</v>
      </c>
      <c r="E39" s="63"/>
      <c r="F39" s="63"/>
      <c r="G39" s="63"/>
      <c r="H39" s="63"/>
      <c r="I39" s="63"/>
      <c r="J39" s="63"/>
      <c r="K39" s="63"/>
      <c r="L39" s="63"/>
      <c r="R39" s="34" t="s">
        <v>433</v>
      </c>
      <c r="S39" s="157"/>
      <c r="T39" s="40"/>
    </row>
    <row r="40" spans="1:20" s="84" customFormat="1" ht="24.95" customHeight="1">
      <c r="A40" s="3" t="s">
        <v>140</v>
      </c>
      <c r="B40" s="3" t="s">
        <v>661</v>
      </c>
      <c r="C40" s="3"/>
      <c r="D40" s="26" t="s">
        <v>141</v>
      </c>
      <c r="E40" s="63">
        <f>ROUND(E29*0.6%,2)</f>
        <v>2100</v>
      </c>
      <c r="F40" s="63">
        <f t="shared" ref="F40:P40" si="12">ROUND(F29*0.6%,2)</f>
        <v>1380</v>
      </c>
      <c r="G40" s="63">
        <f t="shared" si="12"/>
        <v>1680</v>
      </c>
      <c r="H40" s="63">
        <f t="shared" si="12"/>
        <v>2520</v>
      </c>
      <c r="I40" s="63">
        <f t="shared" si="12"/>
        <v>2640</v>
      </c>
      <c r="J40" s="63">
        <f t="shared" si="12"/>
        <v>2220</v>
      </c>
      <c r="K40" s="63">
        <f t="shared" si="12"/>
        <v>2700</v>
      </c>
      <c r="L40" s="63">
        <f t="shared" si="12"/>
        <v>2820</v>
      </c>
      <c r="M40" s="63">
        <f t="shared" si="12"/>
        <v>3120</v>
      </c>
      <c r="N40" s="63">
        <f t="shared" si="12"/>
        <v>2880</v>
      </c>
      <c r="O40" s="63">
        <f t="shared" si="12"/>
        <v>2100</v>
      </c>
      <c r="P40" s="63">
        <f t="shared" si="12"/>
        <v>1740</v>
      </c>
      <c r="Q40" s="142">
        <f>SUM(E40:P40)</f>
        <v>27900</v>
      </c>
      <c r="R40" s="142">
        <f>Q40/$Q$118</f>
        <v>1.7062133072407044</v>
      </c>
      <c r="S40" s="157"/>
      <c r="T40" s="40" t="e">
        <f t="shared" si="9"/>
        <v>#DIV/0!</v>
      </c>
    </row>
    <row r="41" spans="1:20" s="84" customFormat="1" ht="24.95" customHeight="1">
      <c r="A41" s="3" t="s">
        <v>142</v>
      </c>
      <c r="B41" s="3" t="s">
        <v>661</v>
      </c>
      <c r="C41" s="3"/>
      <c r="D41" s="26" t="s">
        <v>143</v>
      </c>
      <c r="E41" s="63"/>
      <c r="F41" s="63"/>
      <c r="G41" s="63"/>
      <c r="H41" s="63"/>
      <c r="I41" s="63"/>
      <c r="J41" s="63"/>
      <c r="K41" s="63"/>
      <c r="L41" s="63"/>
      <c r="M41" s="63"/>
      <c r="N41" s="63"/>
      <c r="O41" s="63"/>
      <c r="P41" s="63"/>
      <c r="Q41" s="142">
        <f t="shared" ref="Q41:Q104" si="13">SUM(E41:P41)</f>
        <v>0</v>
      </c>
      <c r="R41" s="142">
        <f t="shared" ref="R41:R104" si="14">Q41/$Q$118</f>
        <v>0</v>
      </c>
      <c r="S41" s="157"/>
      <c r="T41" s="40">
        <f t="shared" si="9"/>
        <v>0</v>
      </c>
    </row>
    <row r="42" spans="1:20" s="84" customFormat="1" ht="24.95" customHeight="1">
      <c r="A42" s="3" t="s">
        <v>144</v>
      </c>
      <c r="B42" s="3" t="s">
        <v>661</v>
      </c>
      <c r="C42" s="3"/>
      <c r="D42" s="26" t="s">
        <v>145</v>
      </c>
      <c r="E42" s="63"/>
      <c r="F42" s="63"/>
      <c r="G42" s="63"/>
      <c r="H42" s="63"/>
      <c r="I42" s="63"/>
      <c r="J42" s="63"/>
      <c r="K42" s="63"/>
      <c r="L42" s="63"/>
      <c r="M42" s="63"/>
      <c r="N42" s="63"/>
      <c r="O42" s="63"/>
      <c r="P42" s="63"/>
      <c r="Q42" s="142">
        <f t="shared" si="13"/>
        <v>0</v>
      </c>
      <c r="R42" s="142">
        <f t="shared" si="14"/>
        <v>0</v>
      </c>
      <c r="S42" s="157"/>
      <c r="T42" s="40">
        <f t="shared" si="9"/>
        <v>0</v>
      </c>
    </row>
    <row r="43" spans="1:20" s="84" customFormat="1" ht="24.95" customHeight="1">
      <c r="A43" s="3" t="s">
        <v>146</v>
      </c>
      <c r="B43" s="3" t="s">
        <v>661</v>
      </c>
      <c r="C43" s="3"/>
      <c r="D43" s="26" t="s">
        <v>147</v>
      </c>
      <c r="E43" s="63"/>
      <c r="F43" s="63"/>
      <c r="G43" s="63"/>
      <c r="H43" s="63"/>
      <c r="I43" s="63"/>
      <c r="J43" s="63"/>
      <c r="K43" s="63"/>
      <c r="L43" s="63"/>
      <c r="M43" s="63"/>
      <c r="N43" s="63"/>
      <c r="O43" s="63"/>
      <c r="P43" s="63"/>
      <c r="Q43" s="142">
        <f t="shared" si="13"/>
        <v>0</v>
      </c>
      <c r="R43" s="142">
        <f t="shared" si="14"/>
        <v>0</v>
      </c>
      <c r="S43" s="157"/>
      <c r="T43" s="40">
        <f t="shared" si="9"/>
        <v>0</v>
      </c>
    </row>
    <row r="44" spans="1:20" s="84" customFormat="1" ht="24.95" customHeight="1">
      <c r="A44" s="3" t="s">
        <v>148</v>
      </c>
      <c r="B44" s="3" t="s">
        <v>661</v>
      </c>
      <c r="C44" s="3"/>
      <c r="D44" s="26" t="s">
        <v>149</v>
      </c>
      <c r="E44" s="63"/>
      <c r="F44" s="63"/>
      <c r="G44" s="63"/>
      <c r="H44" s="63"/>
      <c r="I44" s="63"/>
      <c r="J44" s="63"/>
      <c r="K44" s="63"/>
      <c r="L44" s="63"/>
      <c r="M44" s="63"/>
      <c r="N44" s="63"/>
      <c r="O44" s="63"/>
      <c r="P44" s="63"/>
      <c r="Q44" s="142">
        <f t="shared" si="13"/>
        <v>0</v>
      </c>
      <c r="R44" s="142">
        <f t="shared" si="14"/>
        <v>0</v>
      </c>
      <c r="S44" s="157"/>
      <c r="T44" s="40">
        <f t="shared" si="9"/>
        <v>0</v>
      </c>
    </row>
    <row r="45" spans="1:20" s="84" customFormat="1" ht="24.95" customHeight="1">
      <c r="A45" s="3" t="s">
        <v>150</v>
      </c>
      <c r="B45" s="3" t="s">
        <v>661</v>
      </c>
      <c r="C45" s="3"/>
      <c r="D45" s="26" t="s">
        <v>151</v>
      </c>
      <c r="E45" s="63"/>
      <c r="F45" s="63"/>
      <c r="G45" s="63"/>
      <c r="H45" s="63"/>
      <c r="I45" s="63"/>
      <c r="J45" s="63"/>
      <c r="K45" s="63"/>
      <c r="L45" s="63"/>
      <c r="M45" s="63"/>
      <c r="N45" s="63"/>
      <c r="O45" s="63"/>
      <c r="P45" s="63"/>
      <c r="Q45" s="142">
        <f t="shared" si="13"/>
        <v>0</v>
      </c>
      <c r="R45" s="142">
        <f t="shared" si="14"/>
        <v>0</v>
      </c>
      <c r="S45" s="157"/>
      <c r="T45" s="40">
        <f t="shared" si="9"/>
        <v>0</v>
      </c>
    </row>
    <row r="46" spans="1:20" s="84" customFormat="1" ht="24.95" customHeight="1">
      <c r="A46" s="3" t="s">
        <v>152</v>
      </c>
      <c r="B46" s="3" t="s">
        <v>661</v>
      </c>
      <c r="C46" s="3"/>
      <c r="D46" s="26" t="s">
        <v>153</v>
      </c>
      <c r="E46" s="63"/>
      <c r="F46" s="63"/>
      <c r="G46" s="63"/>
      <c r="H46" s="63"/>
      <c r="I46" s="63"/>
      <c r="J46" s="63"/>
      <c r="K46" s="63"/>
      <c r="L46" s="63"/>
      <c r="M46" s="63"/>
      <c r="N46" s="63"/>
      <c r="O46" s="63"/>
      <c r="P46" s="63"/>
      <c r="Q46" s="142">
        <f t="shared" si="13"/>
        <v>0</v>
      </c>
      <c r="R46" s="142">
        <f t="shared" si="14"/>
        <v>0</v>
      </c>
      <c r="S46" s="157"/>
      <c r="T46" s="40">
        <f t="shared" si="9"/>
        <v>0</v>
      </c>
    </row>
    <row r="47" spans="1:20" s="84" customFormat="1" ht="24.95" customHeight="1">
      <c r="A47" s="3" t="s">
        <v>154</v>
      </c>
      <c r="B47" s="3" t="s">
        <v>661</v>
      </c>
      <c r="C47" s="3"/>
      <c r="D47" s="26" t="s">
        <v>155</v>
      </c>
      <c r="E47" s="63">
        <f>ROUND(E29*0.0035,2)</f>
        <v>1225</v>
      </c>
      <c r="F47" s="63">
        <f t="shared" ref="F47:P47" si="15">ROUND(F29*0.0035,2)</f>
        <v>805</v>
      </c>
      <c r="G47" s="63">
        <f t="shared" si="15"/>
        <v>980</v>
      </c>
      <c r="H47" s="63">
        <f t="shared" si="15"/>
        <v>1470</v>
      </c>
      <c r="I47" s="63">
        <f t="shared" si="15"/>
        <v>1540</v>
      </c>
      <c r="J47" s="63">
        <f t="shared" si="15"/>
        <v>1295</v>
      </c>
      <c r="K47" s="63">
        <f t="shared" si="15"/>
        <v>1575</v>
      </c>
      <c r="L47" s="63">
        <f t="shared" si="15"/>
        <v>1645</v>
      </c>
      <c r="M47" s="63">
        <f t="shared" si="15"/>
        <v>1820</v>
      </c>
      <c r="N47" s="63">
        <f t="shared" si="15"/>
        <v>1680</v>
      </c>
      <c r="O47" s="63">
        <f t="shared" si="15"/>
        <v>1225</v>
      </c>
      <c r="P47" s="63">
        <f t="shared" si="15"/>
        <v>1015</v>
      </c>
      <c r="Q47" s="142">
        <f t="shared" si="13"/>
        <v>16275</v>
      </c>
      <c r="R47" s="142">
        <f t="shared" si="14"/>
        <v>0.99529109589041098</v>
      </c>
      <c r="S47" s="157"/>
      <c r="T47" s="40" t="e">
        <f t="shared" si="9"/>
        <v>#DIV/0!</v>
      </c>
    </row>
    <row r="48" spans="1:20" s="84" customFormat="1" ht="24.95" customHeight="1">
      <c r="A48" s="3" t="s">
        <v>156</v>
      </c>
      <c r="B48" s="3" t="s">
        <v>661</v>
      </c>
      <c r="C48" s="3"/>
      <c r="D48" s="26" t="s">
        <v>157</v>
      </c>
      <c r="E48" s="63"/>
      <c r="F48" s="63"/>
      <c r="G48" s="63"/>
      <c r="H48" s="63"/>
      <c r="I48" s="63"/>
      <c r="J48" s="63"/>
      <c r="K48" s="63"/>
      <c r="L48" s="63"/>
      <c r="M48" s="63"/>
      <c r="N48" s="63"/>
      <c r="O48" s="63"/>
      <c r="P48" s="63"/>
      <c r="Q48" s="142">
        <f t="shared" si="13"/>
        <v>0</v>
      </c>
      <c r="R48" s="142">
        <f t="shared" si="14"/>
        <v>0</v>
      </c>
      <c r="S48" s="157"/>
      <c r="T48" s="40">
        <f t="shared" si="9"/>
        <v>0</v>
      </c>
    </row>
    <row r="49" spans="1:20" s="84" customFormat="1" ht="24.95" customHeight="1">
      <c r="A49" s="3" t="s">
        <v>158</v>
      </c>
      <c r="B49" s="3" t="s">
        <v>661</v>
      </c>
      <c r="C49" s="3"/>
      <c r="D49" s="26" t="s">
        <v>159</v>
      </c>
      <c r="E49" s="63"/>
      <c r="F49" s="63"/>
      <c r="G49" s="63"/>
      <c r="H49" s="63"/>
      <c r="I49" s="63"/>
      <c r="J49" s="63"/>
      <c r="K49" s="63"/>
      <c r="L49" s="63"/>
      <c r="M49" s="63"/>
      <c r="N49" s="63"/>
      <c r="O49" s="63"/>
      <c r="P49" s="63"/>
      <c r="Q49" s="142">
        <f t="shared" si="13"/>
        <v>0</v>
      </c>
      <c r="R49" s="142">
        <f t="shared" si="14"/>
        <v>0</v>
      </c>
      <c r="S49" s="157"/>
      <c r="T49" s="40">
        <f t="shared" si="9"/>
        <v>0</v>
      </c>
    </row>
    <row r="50" spans="1:20" s="84" customFormat="1" ht="24.6" customHeight="1">
      <c r="A50" s="3" t="s">
        <v>160</v>
      </c>
      <c r="B50" s="3" t="s">
        <v>661</v>
      </c>
      <c r="C50" s="3"/>
      <c r="D50" s="26" t="s">
        <v>161</v>
      </c>
      <c r="E50" s="63"/>
      <c r="F50" s="63"/>
      <c r="G50" s="63"/>
      <c r="H50" s="63"/>
      <c r="I50" s="63"/>
      <c r="J50" s="63"/>
      <c r="K50" s="63"/>
      <c r="L50" s="63"/>
      <c r="M50" s="63"/>
      <c r="N50" s="63"/>
      <c r="O50" s="63"/>
      <c r="P50" s="63"/>
      <c r="Q50" s="142">
        <f t="shared" si="13"/>
        <v>0</v>
      </c>
      <c r="R50" s="142">
        <f t="shared" si="14"/>
        <v>0</v>
      </c>
      <c r="S50" s="157"/>
      <c r="T50" s="40">
        <f t="shared" si="9"/>
        <v>0</v>
      </c>
    </row>
    <row r="51" spans="1:20" s="84" customFormat="1" ht="24.95" customHeight="1">
      <c r="A51" s="3" t="s">
        <v>162</v>
      </c>
      <c r="B51" s="3" t="s">
        <v>661</v>
      </c>
      <c r="C51" s="3"/>
      <c r="D51" s="26" t="s">
        <v>163</v>
      </c>
      <c r="E51" s="63"/>
      <c r="F51" s="63"/>
      <c r="G51" s="63"/>
      <c r="H51" s="63"/>
      <c r="I51" s="63"/>
      <c r="J51" s="63"/>
      <c r="K51" s="63"/>
      <c r="L51" s="63"/>
      <c r="M51" s="63"/>
      <c r="N51" s="63"/>
      <c r="O51" s="63"/>
      <c r="P51" s="63"/>
      <c r="Q51" s="142">
        <f t="shared" si="13"/>
        <v>0</v>
      </c>
      <c r="R51" s="142">
        <f t="shared" si="14"/>
        <v>0</v>
      </c>
      <c r="S51" s="157"/>
      <c r="T51" s="40">
        <f t="shared" si="9"/>
        <v>0</v>
      </c>
    </row>
    <row r="52" spans="1:20" s="84" customFormat="1" ht="24.95" customHeight="1">
      <c r="A52" s="3" t="s">
        <v>164</v>
      </c>
      <c r="B52" s="3" t="s">
        <v>661</v>
      </c>
      <c r="C52" s="3"/>
      <c r="D52" s="26" t="s">
        <v>165</v>
      </c>
      <c r="E52" s="63"/>
      <c r="F52" s="63"/>
      <c r="G52" s="63"/>
      <c r="H52" s="63"/>
      <c r="I52" s="63"/>
      <c r="J52" s="63"/>
      <c r="K52" s="63"/>
      <c r="L52" s="63"/>
      <c r="M52" s="63"/>
      <c r="N52" s="63"/>
      <c r="O52" s="63"/>
      <c r="P52" s="63"/>
      <c r="Q52" s="142">
        <f t="shared" si="13"/>
        <v>0</v>
      </c>
      <c r="R52" s="142">
        <f t="shared" si="14"/>
        <v>0</v>
      </c>
      <c r="S52" s="157"/>
      <c r="T52" s="40">
        <f t="shared" si="9"/>
        <v>0</v>
      </c>
    </row>
    <row r="53" spans="1:20" s="84" customFormat="1" ht="24.95" customHeight="1">
      <c r="A53" s="3" t="s">
        <v>166</v>
      </c>
      <c r="B53" s="3" t="s">
        <v>661</v>
      </c>
      <c r="C53" s="3"/>
      <c r="D53" s="26" t="s">
        <v>167</v>
      </c>
      <c r="E53" s="63"/>
      <c r="F53" s="63"/>
      <c r="G53" s="63"/>
      <c r="H53" s="63"/>
      <c r="I53" s="63"/>
      <c r="J53" s="63"/>
      <c r="K53" s="63"/>
      <c r="L53" s="63"/>
      <c r="M53" s="63"/>
      <c r="N53" s="63"/>
      <c r="O53" s="63"/>
      <c r="P53" s="63"/>
      <c r="Q53" s="142">
        <f t="shared" si="13"/>
        <v>0</v>
      </c>
      <c r="R53" s="142">
        <f t="shared" si="14"/>
        <v>0</v>
      </c>
      <c r="S53" s="157"/>
      <c r="T53" s="40">
        <f t="shared" si="9"/>
        <v>0</v>
      </c>
    </row>
    <row r="54" spans="1:20" s="84" customFormat="1" ht="24.95" customHeight="1">
      <c r="A54" s="3" t="s">
        <v>168</v>
      </c>
      <c r="B54" s="3" t="s">
        <v>661</v>
      </c>
      <c r="C54" s="3"/>
      <c r="D54" s="26" t="s">
        <v>169</v>
      </c>
      <c r="E54" s="63"/>
      <c r="F54" s="63"/>
      <c r="G54" s="63"/>
      <c r="H54" s="63"/>
      <c r="I54" s="63"/>
      <c r="J54" s="63"/>
      <c r="K54" s="63"/>
      <c r="L54" s="63"/>
      <c r="M54" s="63"/>
      <c r="N54" s="63"/>
      <c r="O54" s="63"/>
      <c r="P54" s="63"/>
      <c r="Q54" s="142">
        <f t="shared" si="13"/>
        <v>0</v>
      </c>
      <c r="R54" s="142">
        <f t="shared" si="14"/>
        <v>0</v>
      </c>
      <c r="S54" s="157"/>
      <c r="T54" s="40">
        <f t="shared" si="9"/>
        <v>0</v>
      </c>
    </row>
    <row r="55" spans="1:20" s="84" customFormat="1" ht="24.95" customHeight="1">
      <c r="A55" s="3" t="s">
        <v>170</v>
      </c>
      <c r="B55" s="3" t="s">
        <v>661</v>
      </c>
      <c r="C55" s="3"/>
      <c r="D55" s="26" t="s">
        <v>171</v>
      </c>
      <c r="E55" s="63">
        <f>ROUND(E29*0.002,2)</f>
        <v>700</v>
      </c>
      <c r="F55" s="63">
        <f t="shared" ref="F55:P55" si="16">ROUND(F29*0.002,2)</f>
        <v>460</v>
      </c>
      <c r="G55" s="63">
        <f t="shared" si="16"/>
        <v>560</v>
      </c>
      <c r="H55" s="63">
        <f t="shared" si="16"/>
        <v>840</v>
      </c>
      <c r="I55" s="63">
        <f t="shared" si="16"/>
        <v>880</v>
      </c>
      <c r="J55" s="63">
        <f t="shared" si="16"/>
        <v>740</v>
      </c>
      <c r="K55" s="63">
        <f t="shared" si="16"/>
        <v>900</v>
      </c>
      <c r="L55" s="63">
        <f t="shared" si="16"/>
        <v>940</v>
      </c>
      <c r="M55" s="63">
        <f t="shared" si="16"/>
        <v>1040</v>
      </c>
      <c r="N55" s="63">
        <f t="shared" si="16"/>
        <v>960</v>
      </c>
      <c r="O55" s="63">
        <f t="shared" si="16"/>
        <v>700</v>
      </c>
      <c r="P55" s="63">
        <f t="shared" si="16"/>
        <v>580</v>
      </c>
      <c r="Q55" s="142">
        <f t="shared" si="13"/>
        <v>9300</v>
      </c>
      <c r="R55" s="142">
        <f t="shared" si="14"/>
        <v>0.56873776908023488</v>
      </c>
      <c r="S55" s="157"/>
      <c r="T55" s="40"/>
    </row>
    <row r="56" spans="1:20" s="84" customFormat="1" ht="24.95" customHeight="1">
      <c r="A56" s="3" t="s">
        <v>172</v>
      </c>
      <c r="B56" s="3" t="s">
        <v>661</v>
      </c>
      <c r="C56" s="3"/>
      <c r="D56" s="26" t="s">
        <v>173</v>
      </c>
      <c r="E56" s="63"/>
      <c r="F56" s="63"/>
      <c r="G56" s="63"/>
      <c r="H56" s="63"/>
      <c r="I56" s="63"/>
      <c r="J56" s="63"/>
      <c r="K56" s="63"/>
      <c r="L56" s="63"/>
      <c r="M56" s="63"/>
      <c r="N56" s="63"/>
      <c r="O56" s="63"/>
      <c r="P56" s="63"/>
      <c r="Q56" s="142">
        <f t="shared" si="13"/>
        <v>0</v>
      </c>
      <c r="R56" s="142">
        <f t="shared" si="14"/>
        <v>0</v>
      </c>
      <c r="S56" s="157"/>
      <c r="T56" s="40">
        <f t="shared" si="9"/>
        <v>0</v>
      </c>
    </row>
    <row r="57" spans="1:20" s="84" customFormat="1" ht="24.95" customHeight="1">
      <c r="A57" s="3" t="s">
        <v>174</v>
      </c>
      <c r="B57" s="3" t="s">
        <v>661</v>
      </c>
      <c r="C57" s="3"/>
      <c r="D57" s="26" t="s">
        <v>175</v>
      </c>
      <c r="E57" s="63"/>
      <c r="F57" s="63"/>
      <c r="G57" s="63"/>
      <c r="H57" s="63"/>
      <c r="I57" s="63"/>
      <c r="J57" s="63"/>
      <c r="K57" s="63"/>
      <c r="L57" s="63"/>
      <c r="M57" s="63"/>
      <c r="N57" s="63"/>
      <c r="O57" s="63"/>
      <c r="P57" s="63"/>
      <c r="Q57" s="142">
        <f t="shared" si="13"/>
        <v>0</v>
      </c>
      <c r="R57" s="142">
        <f t="shared" si="14"/>
        <v>0</v>
      </c>
      <c r="S57" s="157"/>
      <c r="T57" s="40">
        <f t="shared" si="9"/>
        <v>0</v>
      </c>
    </row>
    <row r="58" spans="1:20" s="84" customFormat="1" ht="24.95" customHeight="1">
      <c r="A58" s="3" t="s">
        <v>176</v>
      </c>
      <c r="B58" s="3" t="s">
        <v>661</v>
      </c>
      <c r="C58" s="3"/>
      <c r="D58" s="26" t="s">
        <v>177</v>
      </c>
      <c r="E58" s="63"/>
      <c r="F58" s="63"/>
      <c r="G58" s="63"/>
      <c r="H58" s="63"/>
      <c r="I58" s="63"/>
      <c r="J58" s="63"/>
      <c r="K58" s="63"/>
      <c r="L58" s="63"/>
      <c r="M58" s="63"/>
      <c r="N58" s="63"/>
      <c r="O58" s="63"/>
      <c r="P58" s="63"/>
      <c r="Q58" s="142">
        <f t="shared" si="13"/>
        <v>0</v>
      </c>
      <c r="R58" s="142">
        <f t="shared" si="14"/>
        <v>0</v>
      </c>
      <c r="S58" s="157"/>
      <c r="T58" s="40">
        <f t="shared" si="9"/>
        <v>0</v>
      </c>
    </row>
    <row r="59" spans="1:20" s="84" customFormat="1" ht="24.95" customHeight="1">
      <c r="A59" s="3" t="s">
        <v>178</v>
      </c>
      <c r="B59" s="3" t="s">
        <v>661</v>
      </c>
      <c r="C59" s="3"/>
      <c r="D59" s="26" t="s">
        <v>179</v>
      </c>
      <c r="E59" s="63"/>
      <c r="F59" s="63"/>
      <c r="G59" s="63"/>
      <c r="H59" s="63">
        <f t="shared" ref="H59:P59" si="17">ROUND(H29*0.001,2)</f>
        <v>420</v>
      </c>
      <c r="I59" s="63">
        <f t="shared" si="17"/>
        <v>440</v>
      </c>
      <c r="J59" s="63">
        <f t="shared" si="17"/>
        <v>370</v>
      </c>
      <c r="K59" s="63">
        <f t="shared" si="17"/>
        <v>450</v>
      </c>
      <c r="L59" s="63">
        <f t="shared" si="17"/>
        <v>470</v>
      </c>
      <c r="M59" s="63">
        <f t="shared" si="17"/>
        <v>520</v>
      </c>
      <c r="N59" s="63">
        <f t="shared" si="17"/>
        <v>480</v>
      </c>
      <c r="O59" s="63">
        <f t="shared" si="17"/>
        <v>350</v>
      </c>
      <c r="P59" s="63">
        <f t="shared" si="17"/>
        <v>290</v>
      </c>
      <c r="Q59" s="142">
        <f t="shared" si="13"/>
        <v>3790</v>
      </c>
      <c r="R59" s="142">
        <f t="shared" si="14"/>
        <v>0.23177592954990214</v>
      </c>
      <c r="S59" s="157"/>
      <c r="T59" s="40" t="e">
        <f t="shared" si="9"/>
        <v>#DIV/0!</v>
      </c>
    </row>
    <row r="60" spans="1:20" s="84" customFormat="1" ht="24.75" customHeight="1">
      <c r="A60" s="3" t="s">
        <v>180</v>
      </c>
      <c r="B60" s="3" t="s">
        <v>661</v>
      </c>
      <c r="C60" s="3"/>
      <c r="D60" s="26" t="s">
        <v>181</v>
      </c>
      <c r="E60" s="63"/>
      <c r="F60" s="63"/>
      <c r="G60" s="63"/>
      <c r="H60" s="63"/>
      <c r="I60" s="63"/>
      <c r="J60" s="63"/>
      <c r="K60" s="63"/>
      <c r="L60" s="63"/>
      <c r="M60" s="63"/>
      <c r="N60" s="63"/>
      <c r="O60" s="63"/>
      <c r="P60" s="63"/>
      <c r="Q60" s="142">
        <f t="shared" si="13"/>
        <v>0</v>
      </c>
      <c r="R60" s="142">
        <f t="shared" si="14"/>
        <v>0</v>
      </c>
      <c r="S60" s="157"/>
      <c r="T60" s="40">
        <f t="shared" si="9"/>
        <v>0</v>
      </c>
    </row>
    <row r="61" spans="1:20" s="84" customFormat="1" ht="24.95" customHeight="1">
      <c r="A61" s="3" t="s">
        <v>182</v>
      </c>
      <c r="B61" s="3" t="s">
        <v>661</v>
      </c>
      <c r="C61" s="3"/>
      <c r="D61" s="26" t="s">
        <v>183</v>
      </c>
      <c r="E61" s="63"/>
      <c r="F61" s="63"/>
      <c r="G61" s="63"/>
      <c r="H61" s="63">
        <f t="shared" ref="H61:P61" si="18">ROUND(H29*0.001,2)</f>
        <v>420</v>
      </c>
      <c r="I61" s="63">
        <f t="shared" si="18"/>
        <v>440</v>
      </c>
      <c r="J61" s="63">
        <f t="shared" si="18"/>
        <v>370</v>
      </c>
      <c r="K61" s="63">
        <f t="shared" si="18"/>
        <v>450</v>
      </c>
      <c r="L61" s="63">
        <f t="shared" si="18"/>
        <v>470</v>
      </c>
      <c r="M61" s="63">
        <f t="shared" si="18"/>
        <v>520</v>
      </c>
      <c r="N61" s="63">
        <f t="shared" si="18"/>
        <v>480</v>
      </c>
      <c r="O61" s="63">
        <f t="shared" si="18"/>
        <v>350</v>
      </c>
      <c r="P61" s="63">
        <f t="shared" si="18"/>
        <v>290</v>
      </c>
      <c r="Q61" s="142">
        <f t="shared" si="13"/>
        <v>3790</v>
      </c>
      <c r="R61" s="142">
        <f t="shared" si="14"/>
        <v>0.23177592954990214</v>
      </c>
      <c r="S61" s="157"/>
      <c r="T61" s="40" t="e">
        <f t="shared" si="9"/>
        <v>#DIV/0!</v>
      </c>
    </row>
    <row r="62" spans="1:20" s="84" customFormat="1" ht="24.95" customHeight="1">
      <c r="A62" s="3" t="s">
        <v>184</v>
      </c>
      <c r="B62" s="3" t="s">
        <v>661</v>
      </c>
      <c r="C62" s="3"/>
      <c r="D62" s="26" t="s">
        <v>185</v>
      </c>
      <c r="E62" s="63"/>
      <c r="F62" s="63"/>
      <c r="G62" s="63"/>
      <c r="H62" s="63">
        <f t="shared" ref="H62:P62" si="19">ROUND(H29*0.001,2)</f>
        <v>420</v>
      </c>
      <c r="I62" s="63">
        <f t="shared" si="19"/>
        <v>440</v>
      </c>
      <c r="J62" s="63">
        <f t="shared" si="19"/>
        <v>370</v>
      </c>
      <c r="K62" s="63">
        <f t="shared" si="19"/>
        <v>450</v>
      </c>
      <c r="L62" s="63">
        <f t="shared" si="19"/>
        <v>470</v>
      </c>
      <c r="M62" s="63">
        <f t="shared" si="19"/>
        <v>520</v>
      </c>
      <c r="N62" s="63">
        <f t="shared" si="19"/>
        <v>480</v>
      </c>
      <c r="O62" s="63">
        <f t="shared" si="19"/>
        <v>350</v>
      </c>
      <c r="P62" s="63">
        <f t="shared" si="19"/>
        <v>290</v>
      </c>
      <c r="Q62" s="142">
        <f t="shared" si="13"/>
        <v>3790</v>
      </c>
      <c r="R62" s="142">
        <f t="shared" si="14"/>
        <v>0.23177592954990214</v>
      </c>
      <c r="S62" s="157"/>
      <c r="T62" s="40"/>
    </row>
    <row r="63" spans="1:20" s="84" customFormat="1" ht="24.95" customHeight="1">
      <c r="A63" s="3" t="s">
        <v>186</v>
      </c>
      <c r="B63" s="3" t="s">
        <v>661</v>
      </c>
      <c r="C63" s="3"/>
      <c r="D63" s="26" t="s">
        <v>187</v>
      </c>
      <c r="E63" s="63"/>
      <c r="F63" s="63"/>
      <c r="G63" s="63"/>
      <c r="H63" s="63">
        <f t="shared" ref="H63:P63" si="20">ROUND(H29*0.001,2)</f>
        <v>420</v>
      </c>
      <c r="I63" s="63">
        <f t="shared" si="20"/>
        <v>440</v>
      </c>
      <c r="J63" s="63">
        <f t="shared" si="20"/>
        <v>370</v>
      </c>
      <c r="K63" s="63">
        <f t="shared" si="20"/>
        <v>450</v>
      </c>
      <c r="L63" s="63">
        <f t="shared" si="20"/>
        <v>470</v>
      </c>
      <c r="M63" s="63">
        <f t="shared" si="20"/>
        <v>520</v>
      </c>
      <c r="N63" s="63">
        <f t="shared" si="20"/>
        <v>480</v>
      </c>
      <c r="O63" s="63">
        <f t="shared" si="20"/>
        <v>350</v>
      </c>
      <c r="P63" s="63">
        <f t="shared" si="20"/>
        <v>290</v>
      </c>
      <c r="Q63" s="142">
        <f t="shared" si="13"/>
        <v>3790</v>
      </c>
      <c r="R63" s="142">
        <f t="shared" si="14"/>
        <v>0.23177592954990214</v>
      </c>
      <c r="S63" s="157"/>
      <c r="T63" s="40"/>
    </row>
    <row r="64" spans="1:20" s="84" customFormat="1" ht="24.95" customHeight="1">
      <c r="A64" s="3" t="s">
        <v>188</v>
      </c>
      <c r="B64" s="3" t="s">
        <v>661</v>
      </c>
      <c r="C64" s="3"/>
      <c r="D64" s="26" t="s">
        <v>189</v>
      </c>
      <c r="E64" s="63"/>
      <c r="F64" s="63"/>
      <c r="G64" s="63"/>
      <c r="H64" s="63"/>
      <c r="I64" s="63"/>
      <c r="J64" s="63"/>
      <c r="K64" s="63"/>
      <c r="L64" s="63"/>
      <c r="M64" s="63"/>
      <c r="N64" s="63"/>
      <c r="O64" s="63"/>
      <c r="P64" s="63"/>
      <c r="Q64" s="142">
        <f t="shared" si="13"/>
        <v>0</v>
      </c>
      <c r="R64" s="142">
        <f t="shared" si="14"/>
        <v>0</v>
      </c>
      <c r="S64" s="157"/>
      <c r="T64" s="40">
        <f t="shared" si="9"/>
        <v>0</v>
      </c>
    </row>
    <row r="65" spans="1:20" s="84" customFormat="1" ht="24.95" customHeight="1">
      <c r="A65" s="3" t="s">
        <v>190</v>
      </c>
      <c r="B65" s="3" t="s">
        <v>661</v>
      </c>
      <c r="C65" s="3"/>
      <c r="D65" s="26" t="s">
        <v>1182</v>
      </c>
      <c r="E65" s="63">
        <f>ROUND(E29*0.003,2)</f>
        <v>1050</v>
      </c>
      <c r="F65" s="63">
        <f t="shared" ref="F65:P65" si="21">ROUND(F29*0.003,2)</f>
        <v>690</v>
      </c>
      <c r="G65" s="63">
        <f t="shared" si="21"/>
        <v>840</v>
      </c>
      <c r="H65" s="63">
        <f t="shared" si="21"/>
        <v>1260</v>
      </c>
      <c r="I65" s="63">
        <f t="shared" si="21"/>
        <v>1320</v>
      </c>
      <c r="J65" s="63">
        <f t="shared" si="21"/>
        <v>1110</v>
      </c>
      <c r="K65" s="63">
        <f t="shared" si="21"/>
        <v>1350</v>
      </c>
      <c r="L65" s="63">
        <f t="shared" si="21"/>
        <v>1410</v>
      </c>
      <c r="M65" s="63">
        <f t="shared" si="21"/>
        <v>1560</v>
      </c>
      <c r="N65" s="63">
        <f t="shared" si="21"/>
        <v>1440</v>
      </c>
      <c r="O65" s="63">
        <f t="shared" si="21"/>
        <v>1050</v>
      </c>
      <c r="P65" s="63">
        <f t="shared" si="21"/>
        <v>870</v>
      </c>
      <c r="Q65" s="142">
        <f t="shared" si="13"/>
        <v>13950</v>
      </c>
      <c r="R65" s="142">
        <f t="shared" si="14"/>
        <v>0.85310665362035221</v>
      </c>
      <c r="S65" s="157"/>
      <c r="T65" s="40" t="e">
        <f t="shared" si="9"/>
        <v>#DIV/0!</v>
      </c>
    </row>
    <row r="66" spans="1:20" s="84" customFormat="1" ht="24.95" customHeight="1">
      <c r="A66" s="3" t="s">
        <v>192</v>
      </c>
      <c r="B66" s="3" t="s">
        <v>661</v>
      </c>
      <c r="C66" s="3"/>
      <c r="D66" s="26" t="s">
        <v>193</v>
      </c>
      <c r="E66" s="63"/>
      <c r="F66" s="63"/>
      <c r="G66" s="63"/>
      <c r="H66" s="63">
        <v>3000</v>
      </c>
      <c r="I66" s="63">
        <v>3000</v>
      </c>
      <c r="J66" s="63">
        <v>3000</v>
      </c>
      <c r="K66" s="63">
        <v>1500</v>
      </c>
      <c r="L66" s="63">
        <v>1500</v>
      </c>
      <c r="M66" s="63">
        <v>1500</v>
      </c>
      <c r="N66" s="63">
        <v>1500</v>
      </c>
      <c r="O66" s="63">
        <v>1500</v>
      </c>
      <c r="P66" s="63">
        <v>1500</v>
      </c>
      <c r="Q66" s="142">
        <f t="shared" si="13"/>
        <v>18000</v>
      </c>
      <c r="R66" s="142">
        <f t="shared" si="14"/>
        <v>1.1007827788649707</v>
      </c>
      <c r="S66" s="157"/>
      <c r="T66" s="40"/>
    </row>
    <row r="67" spans="1:20" s="84" customFormat="1" ht="24.95" customHeight="1">
      <c r="A67" s="3" t="s">
        <v>194</v>
      </c>
      <c r="B67" s="3" t="s">
        <v>661</v>
      </c>
      <c r="C67" s="3"/>
      <c r="D67" s="26" t="s">
        <v>195</v>
      </c>
      <c r="E67" s="63">
        <f>ROUND(E29*0.001,2)</f>
        <v>350</v>
      </c>
      <c r="F67" s="63">
        <f t="shared" ref="F67:P67" si="22">ROUND(F29*0.001,2)</f>
        <v>230</v>
      </c>
      <c r="G67" s="63">
        <f t="shared" si="22"/>
        <v>280</v>
      </c>
      <c r="H67" s="63">
        <f t="shared" si="22"/>
        <v>420</v>
      </c>
      <c r="I67" s="63">
        <f t="shared" si="22"/>
        <v>440</v>
      </c>
      <c r="J67" s="63">
        <f t="shared" si="22"/>
        <v>370</v>
      </c>
      <c r="K67" s="63">
        <f t="shared" si="22"/>
        <v>450</v>
      </c>
      <c r="L67" s="63">
        <f t="shared" si="22"/>
        <v>470</v>
      </c>
      <c r="M67" s="63">
        <f t="shared" si="22"/>
        <v>520</v>
      </c>
      <c r="N67" s="63">
        <f t="shared" si="22"/>
        <v>480</v>
      </c>
      <c r="O67" s="63">
        <f t="shared" si="22"/>
        <v>350</v>
      </c>
      <c r="P67" s="63">
        <f t="shared" si="22"/>
        <v>290</v>
      </c>
      <c r="Q67" s="142">
        <f t="shared" si="13"/>
        <v>4650</v>
      </c>
      <c r="R67" s="142">
        <f t="shared" si="14"/>
        <v>0.28436888454011744</v>
      </c>
      <c r="S67" s="157"/>
      <c r="T67" s="40" t="e">
        <f t="shared" si="9"/>
        <v>#DIV/0!</v>
      </c>
    </row>
    <row r="68" spans="1:20" s="84" customFormat="1" ht="24.95" customHeight="1">
      <c r="A68" s="3" t="s">
        <v>196</v>
      </c>
      <c r="B68" s="3" t="s">
        <v>661</v>
      </c>
      <c r="C68" s="3"/>
      <c r="D68" s="26" t="s">
        <v>197</v>
      </c>
      <c r="E68" s="63"/>
      <c r="F68" s="63"/>
      <c r="G68" s="63"/>
      <c r="H68" s="63"/>
      <c r="I68" s="63"/>
      <c r="J68" s="63"/>
      <c r="K68" s="63"/>
      <c r="L68" s="63"/>
      <c r="M68" s="63"/>
      <c r="N68" s="63"/>
      <c r="O68" s="63"/>
      <c r="P68" s="63"/>
      <c r="Q68" s="142">
        <f t="shared" si="13"/>
        <v>0</v>
      </c>
      <c r="R68" s="142">
        <f t="shared" si="14"/>
        <v>0</v>
      </c>
      <c r="S68" s="157"/>
      <c r="T68" s="40">
        <f t="shared" si="9"/>
        <v>0</v>
      </c>
    </row>
    <row r="69" spans="1:20" s="84" customFormat="1" ht="29.25" customHeight="1">
      <c r="A69" s="3" t="s">
        <v>198</v>
      </c>
      <c r="B69" s="3" t="s">
        <v>661</v>
      </c>
      <c r="C69" s="3"/>
      <c r="D69" s="26" t="s">
        <v>199</v>
      </c>
      <c r="E69" s="63"/>
      <c r="F69" s="63"/>
      <c r="G69" s="63"/>
      <c r="H69" s="63"/>
      <c r="I69" s="63"/>
      <c r="J69" s="63"/>
      <c r="K69" s="63"/>
      <c r="L69" s="63"/>
      <c r="M69" s="63"/>
      <c r="N69" s="63"/>
      <c r="O69" s="63"/>
      <c r="P69" s="63"/>
      <c r="Q69" s="142">
        <f t="shared" si="13"/>
        <v>0</v>
      </c>
      <c r="R69" s="142">
        <f t="shared" si="14"/>
        <v>0</v>
      </c>
      <c r="S69" s="157"/>
      <c r="T69" s="40">
        <f t="shared" si="9"/>
        <v>0</v>
      </c>
    </row>
    <row r="70" spans="1:20" s="84" customFormat="1" ht="24.95" customHeight="1">
      <c r="A70" s="3" t="s">
        <v>200</v>
      </c>
      <c r="B70" s="3" t="s">
        <v>661</v>
      </c>
      <c r="C70" s="3"/>
      <c r="D70" s="26" t="s">
        <v>201</v>
      </c>
      <c r="E70" s="63"/>
      <c r="F70" s="63"/>
      <c r="G70" s="63"/>
      <c r="H70" s="63"/>
      <c r="I70" s="63"/>
      <c r="J70" s="63"/>
      <c r="K70" s="63"/>
      <c r="L70" s="63"/>
      <c r="M70" s="63"/>
      <c r="N70" s="63"/>
      <c r="O70" s="63"/>
      <c r="P70" s="63"/>
      <c r="Q70" s="142">
        <f t="shared" si="13"/>
        <v>0</v>
      </c>
      <c r="R70" s="142">
        <f t="shared" si="14"/>
        <v>0</v>
      </c>
      <c r="S70" s="157"/>
      <c r="T70" s="40">
        <f t="shared" si="9"/>
        <v>0</v>
      </c>
    </row>
    <row r="71" spans="1:20" s="84" customFormat="1" ht="24.95" customHeight="1">
      <c r="A71" s="3" t="s">
        <v>202</v>
      </c>
      <c r="B71" s="3" t="s">
        <v>661</v>
      </c>
      <c r="C71" s="3"/>
      <c r="D71" s="26" t="s">
        <v>203</v>
      </c>
      <c r="E71" s="63">
        <v>100</v>
      </c>
      <c r="F71" s="63">
        <v>100</v>
      </c>
      <c r="G71" s="63">
        <v>100</v>
      </c>
      <c r="H71" s="63">
        <v>100</v>
      </c>
      <c r="I71" s="63">
        <v>100</v>
      </c>
      <c r="J71" s="63">
        <v>100</v>
      </c>
      <c r="K71" s="63">
        <v>100</v>
      </c>
      <c r="L71" s="63">
        <v>100</v>
      </c>
      <c r="M71" s="63">
        <v>100</v>
      </c>
      <c r="N71" s="63">
        <v>100</v>
      </c>
      <c r="O71" s="63">
        <v>100</v>
      </c>
      <c r="P71" s="63">
        <v>100</v>
      </c>
      <c r="Q71" s="142">
        <f t="shared" si="13"/>
        <v>1200</v>
      </c>
      <c r="R71" s="142">
        <f t="shared" si="14"/>
        <v>7.3385518590998039E-2</v>
      </c>
      <c r="S71" s="157"/>
      <c r="T71" s="40" t="e">
        <f t="shared" si="9"/>
        <v>#DIV/0!</v>
      </c>
    </row>
    <row r="72" spans="1:20" s="84" customFormat="1" ht="24.95" customHeight="1">
      <c r="A72" s="3" t="s">
        <v>204</v>
      </c>
      <c r="B72" s="3" t="s">
        <v>661</v>
      </c>
      <c r="C72" s="3"/>
      <c r="D72" s="26" t="s">
        <v>205</v>
      </c>
      <c r="E72" s="63"/>
      <c r="F72" s="63"/>
      <c r="G72" s="63"/>
      <c r="H72" s="63"/>
      <c r="I72" s="63"/>
      <c r="J72" s="63"/>
      <c r="K72" s="63"/>
      <c r="L72" s="63"/>
      <c r="M72" s="63"/>
      <c r="N72" s="63"/>
      <c r="O72" s="63"/>
      <c r="P72" s="63"/>
      <c r="Q72" s="142">
        <f t="shared" si="13"/>
        <v>0</v>
      </c>
      <c r="R72" s="142">
        <f t="shared" si="14"/>
        <v>0</v>
      </c>
      <c r="S72" s="157"/>
      <c r="T72" s="40">
        <f t="shared" si="9"/>
        <v>0</v>
      </c>
    </row>
    <row r="73" spans="1:20" s="84" customFormat="1" ht="24.95" customHeight="1">
      <c r="A73" s="3" t="s">
        <v>206</v>
      </c>
      <c r="B73" s="3" t="s">
        <v>661</v>
      </c>
      <c r="C73" s="3"/>
      <c r="D73" s="26" t="s">
        <v>207</v>
      </c>
      <c r="E73" s="63"/>
      <c r="F73" s="63"/>
      <c r="G73" s="63"/>
      <c r="H73" s="63"/>
      <c r="I73" s="63"/>
      <c r="J73" s="63"/>
      <c r="K73" s="63"/>
      <c r="L73" s="63"/>
      <c r="M73" s="63"/>
      <c r="N73" s="63"/>
      <c r="O73" s="63"/>
      <c r="P73" s="63"/>
      <c r="Q73" s="142">
        <f t="shared" si="13"/>
        <v>0</v>
      </c>
      <c r="R73" s="142">
        <f t="shared" si="14"/>
        <v>0</v>
      </c>
      <c r="S73" s="157"/>
      <c r="T73" s="40">
        <f t="shared" si="9"/>
        <v>0</v>
      </c>
    </row>
    <row r="74" spans="1:20" s="84" customFormat="1" ht="24.95" customHeight="1">
      <c r="A74" s="3" t="s">
        <v>208</v>
      </c>
      <c r="B74" s="3" t="s">
        <v>661</v>
      </c>
      <c r="C74" s="3"/>
      <c r="D74" s="26" t="s">
        <v>209</v>
      </c>
      <c r="E74" s="63"/>
      <c r="F74" s="63"/>
      <c r="G74" s="63"/>
      <c r="H74" s="63"/>
      <c r="I74" s="63"/>
      <c r="J74" s="63"/>
      <c r="K74" s="63"/>
      <c r="L74" s="63"/>
      <c r="M74" s="63"/>
      <c r="N74" s="63"/>
      <c r="O74" s="63"/>
      <c r="P74" s="63"/>
      <c r="Q74" s="142">
        <f t="shared" si="13"/>
        <v>0</v>
      </c>
      <c r="R74" s="142">
        <f t="shared" si="14"/>
        <v>0</v>
      </c>
      <c r="S74" s="157"/>
      <c r="T74" s="40">
        <f t="shared" si="9"/>
        <v>0</v>
      </c>
    </row>
    <row r="75" spans="1:20" s="84" customFormat="1" ht="24.95" customHeight="1">
      <c r="A75" s="3" t="s">
        <v>210</v>
      </c>
      <c r="B75" s="3" t="s">
        <v>661</v>
      </c>
      <c r="C75" s="3"/>
      <c r="D75" s="26" t="s">
        <v>211</v>
      </c>
      <c r="E75" s="63">
        <v>300</v>
      </c>
      <c r="F75" s="63">
        <v>300</v>
      </c>
      <c r="G75" s="63">
        <v>300</v>
      </c>
      <c r="H75" s="63">
        <v>300</v>
      </c>
      <c r="I75" s="63">
        <v>300</v>
      </c>
      <c r="J75" s="63">
        <v>300</v>
      </c>
      <c r="K75" s="63">
        <v>300</v>
      </c>
      <c r="L75" s="63">
        <v>300</v>
      </c>
      <c r="M75" s="63">
        <v>300</v>
      </c>
      <c r="N75" s="63">
        <v>300</v>
      </c>
      <c r="O75" s="63">
        <v>300</v>
      </c>
      <c r="P75" s="63">
        <v>300</v>
      </c>
      <c r="Q75" s="142">
        <f t="shared" si="13"/>
        <v>3600</v>
      </c>
      <c r="R75" s="142">
        <f t="shared" si="14"/>
        <v>0.22015655577299412</v>
      </c>
      <c r="S75" s="157"/>
      <c r="T75" s="40" t="e">
        <f t="shared" si="9"/>
        <v>#DIV/0!</v>
      </c>
    </row>
    <row r="76" spans="1:20" s="84" customFormat="1" ht="24.95" customHeight="1">
      <c r="A76" s="3" t="s">
        <v>212</v>
      </c>
      <c r="B76" s="3" t="s">
        <v>661</v>
      </c>
      <c r="C76" s="3"/>
      <c r="D76" s="26" t="s">
        <v>213</v>
      </c>
      <c r="E76" s="63"/>
      <c r="F76" s="63"/>
      <c r="G76" s="63"/>
      <c r="H76" s="63"/>
      <c r="I76" s="63"/>
      <c r="J76" s="63"/>
      <c r="K76" s="63"/>
      <c r="L76" s="63"/>
      <c r="M76" s="63"/>
      <c r="N76" s="63"/>
      <c r="O76" s="63"/>
      <c r="P76" s="63"/>
      <c r="Q76" s="142">
        <f t="shared" si="13"/>
        <v>0</v>
      </c>
      <c r="R76" s="142">
        <f t="shared" si="14"/>
        <v>0</v>
      </c>
      <c r="S76" s="157"/>
      <c r="T76" s="40">
        <f t="shared" si="9"/>
        <v>0</v>
      </c>
    </row>
    <row r="77" spans="1:20" s="84" customFormat="1" ht="24.95" customHeight="1">
      <c r="A77" s="3" t="s">
        <v>214</v>
      </c>
      <c r="B77" s="3" t="s">
        <v>661</v>
      </c>
      <c r="C77" s="3"/>
      <c r="D77" s="26" t="s">
        <v>215</v>
      </c>
      <c r="E77" s="63"/>
      <c r="F77" s="63"/>
      <c r="G77" s="63"/>
      <c r="H77" s="63"/>
      <c r="I77" s="63"/>
      <c r="J77" s="63"/>
      <c r="K77" s="63"/>
      <c r="L77" s="63"/>
      <c r="M77" s="63"/>
      <c r="N77" s="63"/>
      <c r="O77" s="63"/>
      <c r="P77" s="63"/>
      <c r="Q77" s="142">
        <f t="shared" si="13"/>
        <v>0</v>
      </c>
      <c r="R77" s="142">
        <f t="shared" si="14"/>
        <v>0</v>
      </c>
      <c r="S77" s="157"/>
      <c r="T77" s="40"/>
    </row>
    <row r="78" spans="1:20" s="84" customFormat="1" ht="24.95" customHeight="1">
      <c r="A78" s="3" t="s">
        <v>216</v>
      </c>
      <c r="B78" s="3" t="s">
        <v>661</v>
      </c>
      <c r="C78" s="3"/>
      <c r="D78" s="26" t="s">
        <v>217</v>
      </c>
      <c r="E78" s="63"/>
      <c r="F78" s="63"/>
      <c r="G78" s="63"/>
      <c r="H78" s="63"/>
      <c r="I78" s="63"/>
      <c r="J78" s="63"/>
      <c r="K78" s="63"/>
      <c r="L78" s="63"/>
      <c r="M78" s="63"/>
      <c r="N78" s="63"/>
      <c r="O78" s="63"/>
      <c r="P78" s="63"/>
      <c r="Q78" s="142">
        <f t="shared" si="13"/>
        <v>0</v>
      </c>
      <c r="R78" s="142">
        <f t="shared" si="14"/>
        <v>0</v>
      </c>
      <c r="S78" s="157"/>
      <c r="T78" s="40">
        <f t="shared" si="9"/>
        <v>0</v>
      </c>
    </row>
    <row r="79" spans="1:20" s="84" customFormat="1" ht="24.95" customHeight="1">
      <c r="A79" s="3" t="s">
        <v>218</v>
      </c>
      <c r="B79" s="3" t="s">
        <v>661</v>
      </c>
      <c r="C79" s="3"/>
      <c r="D79" s="26" t="s">
        <v>219</v>
      </c>
      <c r="E79" s="63"/>
      <c r="F79" s="63"/>
      <c r="G79" s="63"/>
      <c r="H79" s="63"/>
      <c r="I79" s="63"/>
      <c r="J79" s="63"/>
      <c r="K79" s="63"/>
      <c r="L79" s="63"/>
      <c r="M79" s="63"/>
      <c r="N79" s="63"/>
      <c r="O79" s="63"/>
      <c r="P79" s="63"/>
      <c r="Q79" s="142">
        <f t="shared" si="13"/>
        <v>0</v>
      </c>
      <c r="R79" s="142">
        <f t="shared" si="14"/>
        <v>0</v>
      </c>
      <c r="S79" s="157"/>
      <c r="T79" s="40">
        <f t="shared" si="9"/>
        <v>0</v>
      </c>
    </row>
    <row r="80" spans="1:20" s="84" customFormat="1" ht="24.95" hidden="1" customHeight="1">
      <c r="A80" s="3" t="s">
        <v>220</v>
      </c>
      <c r="B80" s="3" t="s">
        <v>661</v>
      </c>
      <c r="C80" s="3"/>
      <c r="D80" s="26" t="s">
        <v>221</v>
      </c>
      <c r="E80" s="63"/>
      <c r="F80" s="63"/>
      <c r="G80" s="63"/>
      <c r="H80" s="63"/>
      <c r="I80" s="63"/>
      <c r="J80" s="63"/>
      <c r="K80" s="63"/>
      <c r="L80" s="63"/>
      <c r="M80" s="63"/>
      <c r="N80" s="63"/>
      <c r="O80" s="63"/>
      <c r="P80" s="63"/>
      <c r="Q80" s="142">
        <f t="shared" si="13"/>
        <v>0</v>
      </c>
      <c r="R80" s="142">
        <f t="shared" si="14"/>
        <v>0</v>
      </c>
      <c r="S80" s="157"/>
      <c r="T80" s="40">
        <f t="shared" si="9"/>
        <v>0</v>
      </c>
    </row>
    <row r="81" spans="1:20" s="84" customFormat="1" ht="24.95" customHeight="1">
      <c r="A81" s="3" t="s">
        <v>222</v>
      </c>
      <c r="B81" s="3" t="s">
        <v>661</v>
      </c>
      <c r="C81" s="3"/>
      <c r="D81" s="26" t="s">
        <v>223</v>
      </c>
      <c r="E81" s="63">
        <v>4500</v>
      </c>
      <c r="F81" s="63"/>
      <c r="G81" s="63"/>
      <c r="H81" s="63">
        <v>4500</v>
      </c>
      <c r="I81" s="63">
        <v>4500</v>
      </c>
      <c r="J81" s="63"/>
      <c r="K81" s="63">
        <v>4500</v>
      </c>
      <c r="L81" s="63"/>
      <c r="M81" s="63">
        <v>4500</v>
      </c>
      <c r="N81" s="63"/>
      <c r="O81" s="63">
        <v>4500</v>
      </c>
      <c r="P81" s="63"/>
      <c r="Q81" s="142">
        <f t="shared" si="13"/>
        <v>27000</v>
      </c>
      <c r="R81" s="142">
        <f t="shared" si="14"/>
        <v>1.6511741682974559</v>
      </c>
      <c r="S81" s="157"/>
      <c r="T81" s="40" t="e">
        <f t="shared" si="9"/>
        <v>#DIV/0!</v>
      </c>
    </row>
    <row r="82" spans="1:20" s="84" customFormat="1" ht="24.95" hidden="1" customHeight="1">
      <c r="A82" s="3" t="s">
        <v>224</v>
      </c>
      <c r="B82" s="3" t="s">
        <v>661</v>
      </c>
      <c r="C82" s="3"/>
      <c r="D82" s="26" t="s">
        <v>225</v>
      </c>
      <c r="E82" s="63"/>
      <c r="F82" s="63"/>
      <c r="G82" s="63"/>
      <c r="H82" s="63"/>
      <c r="I82" s="63"/>
      <c r="J82" s="63"/>
      <c r="K82" s="63"/>
      <c r="L82" s="63"/>
      <c r="M82" s="63"/>
      <c r="N82" s="63"/>
      <c r="O82" s="63"/>
      <c r="P82" s="63"/>
      <c r="Q82" s="142">
        <f t="shared" si="13"/>
        <v>0</v>
      </c>
      <c r="R82" s="142">
        <f t="shared" si="14"/>
        <v>0</v>
      </c>
      <c r="S82" s="157"/>
      <c r="T82" s="40">
        <f t="shared" si="9"/>
        <v>0</v>
      </c>
    </row>
    <row r="83" spans="1:20" s="84" customFormat="1" ht="24.95" hidden="1" customHeight="1">
      <c r="A83" s="3" t="s">
        <v>226</v>
      </c>
      <c r="B83" s="3" t="s">
        <v>661</v>
      </c>
      <c r="C83" s="3"/>
      <c r="D83" s="26" t="s">
        <v>227</v>
      </c>
      <c r="E83" s="63"/>
      <c r="F83" s="63"/>
      <c r="G83" s="63"/>
      <c r="H83" s="63"/>
      <c r="I83" s="63"/>
      <c r="J83" s="63"/>
      <c r="K83" s="63"/>
      <c r="L83" s="63"/>
      <c r="M83" s="63"/>
      <c r="N83" s="63"/>
      <c r="O83" s="63"/>
      <c r="P83" s="63"/>
      <c r="Q83" s="142">
        <f t="shared" si="13"/>
        <v>0</v>
      </c>
      <c r="R83" s="142">
        <f t="shared" si="14"/>
        <v>0</v>
      </c>
      <c r="S83" s="157"/>
      <c r="T83" s="40">
        <f t="shared" si="9"/>
        <v>0</v>
      </c>
    </row>
    <row r="84" spans="1:20" s="84" customFormat="1" ht="24.95" hidden="1" customHeight="1">
      <c r="A84" s="3" t="s">
        <v>228</v>
      </c>
      <c r="B84" s="3" t="s">
        <v>661</v>
      </c>
      <c r="C84" s="3"/>
      <c r="D84" s="26" t="s">
        <v>229</v>
      </c>
      <c r="E84" s="63"/>
      <c r="F84" s="63"/>
      <c r="G84" s="63"/>
      <c r="H84" s="63"/>
      <c r="I84" s="63"/>
      <c r="J84" s="63"/>
      <c r="K84" s="63"/>
      <c r="L84" s="63"/>
      <c r="M84" s="63"/>
      <c r="N84" s="63"/>
      <c r="O84" s="63"/>
      <c r="P84" s="63"/>
      <c r="Q84" s="142">
        <f t="shared" si="13"/>
        <v>0</v>
      </c>
      <c r="R84" s="142">
        <f t="shared" si="14"/>
        <v>0</v>
      </c>
      <c r="S84" s="157"/>
      <c r="T84" s="40">
        <f t="shared" si="9"/>
        <v>0</v>
      </c>
    </row>
    <row r="85" spans="1:20" s="84" customFormat="1" ht="24.95" hidden="1" customHeight="1">
      <c r="A85" s="3" t="s">
        <v>230</v>
      </c>
      <c r="B85" s="3" t="s">
        <v>661</v>
      </c>
      <c r="C85" s="3"/>
      <c r="D85" s="26" t="s">
        <v>231</v>
      </c>
      <c r="E85" s="63"/>
      <c r="F85" s="63"/>
      <c r="G85" s="63"/>
      <c r="H85" s="63"/>
      <c r="I85" s="63"/>
      <c r="J85" s="63"/>
      <c r="K85" s="63"/>
      <c r="L85" s="63"/>
      <c r="M85" s="63"/>
      <c r="N85" s="63"/>
      <c r="O85" s="63"/>
      <c r="P85" s="63"/>
      <c r="Q85" s="142">
        <f t="shared" si="13"/>
        <v>0</v>
      </c>
      <c r="R85" s="142">
        <f t="shared" si="14"/>
        <v>0</v>
      </c>
      <c r="S85" s="157"/>
      <c r="T85" s="40">
        <f t="shared" si="9"/>
        <v>0</v>
      </c>
    </row>
    <row r="86" spans="1:20" s="84" customFormat="1" ht="24.95" hidden="1" customHeight="1">
      <c r="A86" s="3" t="s">
        <v>232</v>
      </c>
      <c r="B86" s="3" t="s">
        <v>661</v>
      </c>
      <c r="C86" s="3"/>
      <c r="D86" s="26" t="s">
        <v>233</v>
      </c>
      <c r="E86" s="63"/>
      <c r="F86" s="63"/>
      <c r="G86" s="63"/>
      <c r="H86" s="63"/>
      <c r="I86" s="63"/>
      <c r="J86" s="63"/>
      <c r="K86" s="63"/>
      <c r="L86" s="63"/>
      <c r="M86" s="63"/>
      <c r="N86" s="63"/>
      <c r="O86" s="63"/>
      <c r="P86" s="63"/>
      <c r="Q86" s="142">
        <f t="shared" si="13"/>
        <v>0</v>
      </c>
      <c r="R86" s="142">
        <f t="shared" si="14"/>
        <v>0</v>
      </c>
      <c r="S86" s="157"/>
      <c r="T86" s="40">
        <f t="shared" si="9"/>
        <v>0</v>
      </c>
    </row>
    <row r="87" spans="1:20" s="84" customFormat="1" ht="24.95" hidden="1" customHeight="1">
      <c r="A87" s="3" t="s">
        <v>434</v>
      </c>
      <c r="B87" s="3" t="s">
        <v>661</v>
      </c>
      <c r="C87" s="3"/>
      <c r="D87" s="26" t="s">
        <v>435</v>
      </c>
      <c r="E87" s="63"/>
      <c r="F87" s="63"/>
      <c r="G87" s="63"/>
      <c r="H87" s="63"/>
      <c r="I87" s="63"/>
      <c r="J87" s="63"/>
      <c r="K87" s="63"/>
      <c r="L87" s="63"/>
      <c r="M87" s="63"/>
      <c r="N87" s="63"/>
      <c r="O87" s="63"/>
      <c r="P87" s="63"/>
      <c r="Q87" s="142">
        <f t="shared" si="13"/>
        <v>0</v>
      </c>
      <c r="R87" s="142">
        <f t="shared" si="14"/>
        <v>0</v>
      </c>
      <c r="S87" s="157"/>
      <c r="T87" s="40">
        <f t="shared" si="9"/>
        <v>0</v>
      </c>
    </row>
    <row r="88" spans="1:20" s="84" customFormat="1" ht="24.95" hidden="1" customHeight="1">
      <c r="A88" s="3" t="s">
        <v>234</v>
      </c>
      <c r="B88" s="3" t="s">
        <v>661</v>
      </c>
      <c r="C88" s="3"/>
      <c r="D88" s="26" t="s">
        <v>235</v>
      </c>
      <c r="E88" s="63"/>
      <c r="F88" s="63"/>
      <c r="G88" s="63"/>
      <c r="H88" s="63"/>
      <c r="I88" s="63"/>
      <c r="J88" s="63"/>
      <c r="K88" s="63"/>
      <c r="L88" s="63"/>
      <c r="M88" s="63"/>
      <c r="N88" s="63"/>
      <c r="O88" s="63"/>
      <c r="P88" s="63"/>
      <c r="Q88" s="142">
        <f t="shared" si="13"/>
        <v>0</v>
      </c>
      <c r="R88" s="142">
        <f t="shared" si="14"/>
        <v>0</v>
      </c>
      <c r="S88" s="157"/>
      <c r="T88" s="40">
        <f t="shared" si="9"/>
        <v>0</v>
      </c>
    </row>
    <row r="89" spans="1:20" s="84" customFormat="1" ht="24.95" hidden="1" customHeight="1">
      <c r="A89" s="3" t="s">
        <v>236</v>
      </c>
      <c r="B89" s="3" t="s">
        <v>661</v>
      </c>
      <c r="C89" s="3"/>
      <c r="D89" s="26" t="s">
        <v>237</v>
      </c>
      <c r="E89" s="63"/>
      <c r="F89" s="63"/>
      <c r="G89" s="63"/>
      <c r="H89" s="63"/>
      <c r="I89" s="63"/>
      <c r="J89" s="63"/>
      <c r="K89" s="63"/>
      <c r="L89" s="63"/>
      <c r="M89" s="63"/>
      <c r="N89" s="63"/>
      <c r="O89" s="63"/>
      <c r="P89" s="63"/>
      <c r="Q89" s="142">
        <f t="shared" si="13"/>
        <v>0</v>
      </c>
      <c r="R89" s="142">
        <f t="shared" si="14"/>
        <v>0</v>
      </c>
      <c r="S89" s="157"/>
      <c r="T89" s="40">
        <f t="shared" si="9"/>
        <v>0</v>
      </c>
    </row>
    <row r="90" spans="1:20" s="84" customFormat="1" ht="24.95" hidden="1" customHeight="1">
      <c r="A90" s="3" t="s">
        <v>238</v>
      </c>
      <c r="B90" s="3" t="s">
        <v>661</v>
      </c>
      <c r="C90" s="3"/>
      <c r="D90" s="26" t="s">
        <v>239</v>
      </c>
      <c r="E90" s="63"/>
      <c r="F90" s="63"/>
      <c r="G90" s="63"/>
      <c r="H90" s="63"/>
      <c r="I90" s="63"/>
      <c r="J90" s="63"/>
      <c r="K90" s="63"/>
      <c r="L90" s="63"/>
      <c r="M90" s="63"/>
      <c r="N90" s="63"/>
      <c r="O90" s="63"/>
      <c r="P90" s="63"/>
      <c r="Q90" s="142">
        <f t="shared" si="13"/>
        <v>0</v>
      </c>
      <c r="R90" s="142">
        <f t="shared" si="14"/>
        <v>0</v>
      </c>
      <c r="S90" s="157"/>
      <c r="T90" s="40">
        <f t="shared" si="9"/>
        <v>0</v>
      </c>
    </row>
    <row r="91" spans="1:20" s="84" customFormat="1" ht="24.95" hidden="1" customHeight="1">
      <c r="A91" s="3" t="s">
        <v>240</v>
      </c>
      <c r="B91" s="3" t="s">
        <v>661</v>
      </c>
      <c r="C91" s="3"/>
      <c r="D91" s="26" t="s">
        <v>241</v>
      </c>
      <c r="E91" s="63"/>
      <c r="F91" s="63"/>
      <c r="G91" s="63"/>
      <c r="H91" s="63"/>
      <c r="I91" s="63"/>
      <c r="J91" s="63"/>
      <c r="K91" s="63"/>
      <c r="L91" s="63"/>
      <c r="M91" s="63"/>
      <c r="N91" s="63"/>
      <c r="O91" s="63"/>
      <c r="P91" s="63"/>
      <c r="Q91" s="142">
        <f t="shared" si="13"/>
        <v>0</v>
      </c>
      <c r="R91" s="142">
        <f t="shared" si="14"/>
        <v>0</v>
      </c>
      <c r="S91" s="157"/>
      <c r="T91" s="40">
        <f t="shared" si="9"/>
        <v>0</v>
      </c>
    </row>
    <row r="92" spans="1:20" s="84" customFormat="1" ht="24.95" hidden="1" customHeight="1">
      <c r="A92" s="3" t="s">
        <v>242</v>
      </c>
      <c r="B92" s="3" t="s">
        <v>661</v>
      </c>
      <c r="C92" s="3"/>
      <c r="D92" s="26" t="s">
        <v>243</v>
      </c>
      <c r="E92" s="63"/>
      <c r="F92" s="63"/>
      <c r="G92" s="63"/>
      <c r="H92" s="63"/>
      <c r="I92" s="63"/>
      <c r="J92" s="63"/>
      <c r="K92" s="63"/>
      <c r="L92" s="63"/>
      <c r="M92" s="63"/>
      <c r="N92" s="63"/>
      <c r="O92" s="63"/>
      <c r="P92" s="63"/>
      <c r="Q92" s="142">
        <f t="shared" si="13"/>
        <v>0</v>
      </c>
      <c r="R92" s="142">
        <f t="shared" si="14"/>
        <v>0</v>
      </c>
      <c r="S92" s="157"/>
      <c r="T92" s="40">
        <f t="shared" si="9"/>
        <v>0</v>
      </c>
    </row>
    <row r="93" spans="1:20" s="84" customFormat="1" ht="24.95" hidden="1" customHeight="1">
      <c r="A93" s="3" t="s">
        <v>244</v>
      </c>
      <c r="B93" s="3" t="s">
        <v>661</v>
      </c>
      <c r="C93" s="3"/>
      <c r="D93" s="26" t="s">
        <v>245</v>
      </c>
      <c r="E93" s="63"/>
      <c r="F93" s="63"/>
      <c r="G93" s="63"/>
      <c r="H93" s="63"/>
      <c r="I93" s="63"/>
      <c r="J93" s="63"/>
      <c r="K93" s="63"/>
      <c r="L93" s="63"/>
      <c r="M93" s="63"/>
      <c r="N93" s="63"/>
      <c r="O93" s="63"/>
      <c r="P93" s="63"/>
      <c r="Q93" s="142">
        <f t="shared" si="13"/>
        <v>0</v>
      </c>
      <c r="R93" s="142">
        <f t="shared" si="14"/>
        <v>0</v>
      </c>
      <c r="S93" s="157"/>
      <c r="T93" s="40">
        <f t="shared" si="9"/>
        <v>0</v>
      </c>
    </row>
    <row r="94" spans="1:20" s="84" customFormat="1" ht="24.95" hidden="1" customHeight="1">
      <c r="A94" s="3" t="s">
        <v>246</v>
      </c>
      <c r="B94" s="3" t="s">
        <v>661</v>
      </c>
      <c r="C94" s="3"/>
      <c r="D94" s="26" t="s">
        <v>247</v>
      </c>
      <c r="E94" s="63"/>
      <c r="F94" s="63"/>
      <c r="G94" s="63"/>
      <c r="H94" s="63"/>
      <c r="I94" s="63"/>
      <c r="J94" s="63"/>
      <c r="K94" s="63"/>
      <c r="L94" s="63"/>
      <c r="M94" s="63"/>
      <c r="N94" s="63"/>
      <c r="O94" s="63"/>
      <c r="P94" s="63"/>
      <c r="Q94" s="142">
        <f t="shared" si="13"/>
        <v>0</v>
      </c>
      <c r="R94" s="142">
        <f t="shared" si="14"/>
        <v>0</v>
      </c>
      <c r="S94" s="157"/>
      <c r="T94" s="40">
        <f t="shared" si="9"/>
        <v>0</v>
      </c>
    </row>
    <row r="95" spans="1:20" s="84" customFormat="1" ht="24.95" customHeight="1">
      <c r="A95" s="3" t="s">
        <v>248</v>
      </c>
      <c r="B95" s="3" t="s">
        <v>661</v>
      </c>
      <c r="C95" s="3"/>
      <c r="D95" s="26" t="s">
        <v>249</v>
      </c>
      <c r="E95" s="63">
        <v>100</v>
      </c>
      <c r="F95" s="63">
        <v>100</v>
      </c>
      <c r="G95" s="63">
        <v>100</v>
      </c>
      <c r="H95" s="63">
        <v>100</v>
      </c>
      <c r="I95" s="63">
        <v>100</v>
      </c>
      <c r="J95" s="63">
        <v>100</v>
      </c>
      <c r="K95" s="63">
        <v>100</v>
      </c>
      <c r="L95" s="63">
        <v>100</v>
      </c>
      <c r="M95" s="63">
        <v>100</v>
      </c>
      <c r="N95" s="63">
        <v>100</v>
      </c>
      <c r="O95" s="63">
        <v>100</v>
      </c>
      <c r="P95" s="63">
        <v>100</v>
      </c>
      <c r="Q95" s="142">
        <f t="shared" si="13"/>
        <v>1200</v>
      </c>
      <c r="R95" s="142">
        <f t="shared" si="14"/>
        <v>7.3385518590998039E-2</v>
      </c>
      <c r="S95" s="157"/>
      <c r="T95" s="40" t="e">
        <f t="shared" si="9"/>
        <v>#DIV/0!</v>
      </c>
    </row>
    <row r="96" spans="1:20" s="84" customFormat="1" ht="24.6" customHeight="1">
      <c r="A96" s="3" t="s">
        <v>250</v>
      </c>
      <c r="B96" s="3" t="s">
        <v>661</v>
      </c>
      <c r="C96" s="3"/>
      <c r="D96" s="26" t="s">
        <v>251</v>
      </c>
      <c r="E96" s="27">
        <f>Laundry!E206</f>
        <v>1458.8</v>
      </c>
      <c r="F96" s="27">
        <f>Laundry!F206</f>
        <v>1564.65</v>
      </c>
      <c r="G96" s="27">
        <f>Laundry!G206</f>
        <v>1454.88</v>
      </c>
      <c r="H96" s="27">
        <f>Laundry!H206</f>
        <v>1573.72</v>
      </c>
      <c r="I96" s="27">
        <f>Laundry!I206</f>
        <v>1588.37</v>
      </c>
      <c r="J96" s="27">
        <f>Laundry!J206</f>
        <v>1599.08</v>
      </c>
      <c r="K96" s="27">
        <f>Laundry!K206</f>
        <v>1587.28</v>
      </c>
      <c r="L96" s="27">
        <f>Laundry!L206</f>
        <v>1592.91</v>
      </c>
      <c r="M96" s="27">
        <f>Laundry!M206</f>
        <v>1666.68</v>
      </c>
      <c r="N96" s="27">
        <f>Laundry!N206</f>
        <v>1772.53</v>
      </c>
      <c r="O96" s="27">
        <f>Laundry!O206</f>
        <v>1543.9</v>
      </c>
      <c r="P96" s="27">
        <f>Laundry!P206</f>
        <v>1522.49</v>
      </c>
      <c r="Q96" s="142">
        <f t="shared" si="13"/>
        <v>18925.290000000005</v>
      </c>
      <c r="R96" s="142">
        <f t="shared" si="14"/>
        <v>1.1573685176125248</v>
      </c>
      <c r="S96" s="157"/>
      <c r="T96" s="40" t="e">
        <f t="shared" si="9"/>
        <v>#DIV/0!</v>
      </c>
    </row>
    <row r="97" spans="1:20" s="84" customFormat="1" ht="24.95" customHeight="1">
      <c r="A97" s="3" t="s">
        <v>252</v>
      </c>
      <c r="B97" s="3" t="s">
        <v>661</v>
      </c>
      <c r="C97" s="3"/>
      <c r="D97" s="26" t="s">
        <v>253</v>
      </c>
      <c r="E97" s="63"/>
      <c r="F97" s="63"/>
      <c r="G97" s="63"/>
      <c r="H97" s="63"/>
      <c r="I97" s="63"/>
      <c r="J97" s="63"/>
      <c r="K97" s="63"/>
      <c r="L97" s="63"/>
      <c r="M97" s="63"/>
      <c r="N97" s="63"/>
      <c r="O97" s="63"/>
      <c r="P97" s="63"/>
      <c r="Q97" s="142">
        <f t="shared" si="13"/>
        <v>0</v>
      </c>
      <c r="R97" s="142">
        <f t="shared" si="14"/>
        <v>0</v>
      </c>
      <c r="S97" s="157"/>
      <c r="T97" s="40">
        <f t="shared" ref="T97:T109" si="23">-IF(Q97-S97=0,0,(Q97-S97)/S97)</f>
        <v>0</v>
      </c>
    </row>
    <row r="98" spans="1:20" s="84" customFormat="1" ht="24.95" customHeight="1">
      <c r="A98" s="3" t="s">
        <v>254</v>
      </c>
      <c r="B98" s="3" t="s">
        <v>661</v>
      </c>
      <c r="C98" s="3"/>
      <c r="D98" s="26" t="s">
        <v>255</v>
      </c>
      <c r="E98" s="63">
        <v>200</v>
      </c>
      <c r="F98" s="63">
        <v>200</v>
      </c>
      <c r="G98" s="63">
        <v>200</v>
      </c>
      <c r="H98" s="63">
        <v>200</v>
      </c>
      <c r="I98" s="63">
        <v>200</v>
      </c>
      <c r="J98" s="63">
        <v>200</v>
      </c>
      <c r="K98" s="63">
        <v>200</v>
      </c>
      <c r="L98" s="63">
        <v>200</v>
      </c>
      <c r="M98" s="63">
        <v>200</v>
      </c>
      <c r="N98" s="63">
        <v>200</v>
      </c>
      <c r="O98" s="63">
        <v>200</v>
      </c>
      <c r="P98" s="63">
        <v>200</v>
      </c>
      <c r="Q98" s="142">
        <f t="shared" si="13"/>
        <v>2400</v>
      </c>
      <c r="R98" s="142">
        <f t="shared" si="14"/>
        <v>0.14677103718199608</v>
      </c>
      <c r="S98" s="157"/>
      <c r="T98" s="40" t="e">
        <f t="shared" si="23"/>
        <v>#DIV/0!</v>
      </c>
    </row>
    <row r="99" spans="1:20" s="84" customFormat="1" ht="24.95" customHeight="1">
      <c r="A99" s="3" t="s">
        <v>256</v>
      </c>
      <c r="B99" s="3" t="s">
        <v>661</v>
      </c>
      <c r="C99" s="3"/>
      <c r="D99" s="26" t="s">
        <v>257</v>
      </c>
      <c r="E99" s="63"/>
      <c r="F99" s="63"/>
      <c r="G99" s="63"/>
      <c r="H99" s="63"/>
      <c r="I99" s="63"/>
      <c r="J99" s="63"/>
      <c r="K99" s="63"/>
      <c r="L99" s="63"/>
      <c r="M99" s="63"/>
      <c r="N99" s="63"/>
      <c r="O99" s="63"/>
      <c r="P99" s="63"/>
      <c r="Q99" s="142">
        <f t="shared" si="13"/>
        <v>0</v>
      </c>
      <c r="R99" s="142">
        <f t="shared" si="14"/>
        <v>0</v>
      </c>
      <c r="S99" s="157"/>
      <c r="T99" s="40">
        <f t="shared" si="23"/>
        <v>0</v>
      </c>
    </row>
    <row r="100" spans="1:20" s="84" customFormat="1" ht="24.95" customHeight="1">
      <c r="A100" s="3" t="s">
        <v>258</v>
      </c>
      <c r="B100" s="3" t="s">
        <v>661</v>
      </c>
      <c r="C100" s="3"/>
      <c r="D100" s="26" t="s">
        <v>259</v>
      </c>
      <c r="E100" s="63">
        <v>200</v>
      </c>
      <c r="F100" s="63">
        <v>200</v>
      </c>
      <c r="G100" s="63">
        <v>200</v>
      </c>
      <c r="H100" s="63">
        <v>200</v>
      </c>
      <c r="I100" s="63">
        <v>200</v>
      </c>
      <c r="J100" s="63">
        <v>200</v>
      </c>
      <c r="K100" s="63">
        <v>200</v>
      </c>
      <c r="L100" s="63">
        <v>200</v>
      </c>
      <c r="M100" s="63">
        <v>200</v>
      </c>
      <c r="N100" s="63">
        <v>200</v>
      </c>
      <c r="O100" s="63">
        <v>200</v>
      </c>
      <c r="P100" s="63">
        <v>200</v>
      </c>
      <c r="Q100" s="142">
        <f t="shared" si="13"/>
        <v>2400</v>
      </c>
      <c r="R100" s="142">
        <f t="shared" si="14"/>
        <v>0.14677103718199608</v>
      </c>
      <c r="S100" s="157"/>
      <c r="T100" s="40" t="e">
        <f t="shared" si="23"/>
        <v>#DIV/0!</v>
      </c>
    </row>
    <row r="101" spans="1:20" s="84" customFormat="1" ht="24.95" customHeight="1">
      <c r="A101" s="3" t="s">
        <v>260</v>
      </c>
      <c r="B101" s="3" t="s">
        <v>661</v>
      </c>
      <c r="C101" s="3"/>
      <c r="D101" s="26" t="s">
        <v>261</v>
      </c>
      <c r="E101" s="63"/>
      <c r="F101" s="63"/>
      <c r="G101" s="63"/>
      <c r="H101" s="63">
        <v>1500</v>
      </c>
      <c r="I101" s="63">
        <v>1500</v>
      </c>
      <c r="J101" s="63">
        <v>1500</v>
      </c>
      <c r="K101" s="63"/>
      <c r="L101" s="63"/>
      <c r="M101" s="63"/>
      <c r="N101" s="63"/>
      <c r="O101" s="63"/>
      <c r="P101" s="63"/>
      <c r="Q101" s="142">
        <f t="shared" si="13"/>
        <v>4500</v>
      </c>
      <c r="R101" s="142">
        <f t="shared" si="14"/>
        <v>0.27519569471624267</v>
      </c>
      <c r="S101" s="157"/>
      <c r="T101" s="40" t="e">
        <f t="shared" si="23"/>
        <v>#DIV/0!</v>
      </c>
    </row>
    <row r="102" spans="1:20" s="84" customFormat="1" ht="24.95" customHeight="1">
      <c r="A102" s="3" t="s">
        <v>262</v>
      </c>
      <c r="B102" s="3" t="s">
        <v>661</v>
      </c>
      <c r="C102" s="3"/>
      <c r="D102" s="26" t="s">
        <v>263</v>
      </c>
      <c r="E102" s="63"/>
      <c r="F102" s="63"/>
      <c r="G102" s="63"/>
      <c r="H102" s="63"/>
      <c r="I102" s="63"/>
      <c r="J102" s="63"/>
      <c r="K102" s="63"/>
      <c r="L102" s="63"/>
      <c r="M102" s="63"/>
      <c r="N102" s="63"/>
      <c r="O102" s="63"/>
      <c r="P102" s="63"/>
      <c r="Q102" s="142">
        <f t="shared" si="13"/>
        <v>0</v>
      </c>
      <c r="R102" s="142">
        <f t="shared" si="14"/>
        <v>0</v>
      </c>
      <c r="S102" s="157"/>
      <c r="T102" s="40">
        <f t="shared" si="23"/>
        <v>0</v>
      </c>
    </row>
    <row r="103" spans="1:20" s="84" customFormat="1" ht="24.95" customHeight="1">
      <c r="A103" s="3" t="s">
        <v>264</v>
      </c>
      <c r="B103" s="3" t="s">
        <v>661</v>
      </c>
      <c r="C103" s="3"/>
      <c r="D103" s="26" t="s">
        <v>265</v>
      </c>
      <c r="E103" s="63"/>
      <c r="F103" s="63"/>
      <c r="G103" s="63"/>
      <c r="H103" s="63"/>
      <c r="I103" s="63"/>
      <c r="J103" s="63"/>
      <c r="K103" s="63"/>
      <c r="L103" s="63"/>
      <c r="M103" s="63"/>
      <c r="N103" s="63"/>
      <c r="O103" s="63"/>
      <c r="P103" s="63"/>
      <c r="Q103" s="142">
        <f t="shared" si="13"/>
        <v>0</v>
      </c>
      <c r="R103" s="142">
        <f t="shared" si="14"/>
        <v>0</v>
      </c>
      <c r="S103" s="157"/>
      <c r="T103" s="40">
        <f t="shared" si="23"/>
        <v>0</v>
      </c>
    </row>
    <row r="104" spans="1:20" s="84" customFormat="1" ht="24.95" customHeight="1">
      <c r="A104" s="3" t="s">
        <v>266</v>
      </c>
      <c r="B104" s="3" t="s">
        <v>661</v>
      </c>
      <c r="C104" s="3"/>
      <c r="D104" s="26" t="s">
        <v>267</v>
      </c>
      <c r="E104" s="63"/>
      <c r="F104" s="63"/>
      <c r="G104" s="63"/>
      <c r="H104" s="63"/>
      <c r="I104" s="63"/>
      <c r="J104" s="63"/>
      <c r="K104" s="63"/>
      <c r="L104" s="63"/>
      <c r="M104" s="63"/>
      <c r="N104" s="63"/>
      <c r="O104" s="63"/>
      <c r="P104" s="63"/>
      <c r="Q104" s="142">
        <f t="shared" si="13"/>
        <v>0</v>
      </c>
      <c r="R104" s="142">
        <f t="shared" si="14"/>
        <v>0</v>
      </c>
      <c r="S104" s="157"/>
      <c r="T104" s="40">
        <f t="shared" si="23"/>
        <v>0</v>
      </c>
    </row>
    <row r="105" spans="1:20" s="84" customFormat="1" ht="24.95" customHeight="1">
      <c r="A105" s="3" t="s">
        <v>268</v>
      </c>
      <c r="B105" s="3" t="s">
        <v>661</v>
      </c>
      <c r="C105" s="3"/>
      <c r="D105" s="26" t="s">
        <v>269</v>
      </c>
      <c r="E105" s="63"/>
      <c r="F105" s="63"/>
      <c r="G105" s="63"/>
      <c r="H105" s="63"/>
      <c r="I105" s="63"/>
      <c r="J105" s="63"/>
      <c r="K105" s="63"/>
      <c r="L105" s="63"/>
      <c r="M105" s="63"/>
      <c r="N105" s="63"/>
      <c r="O105" s="63"/>
      <c r="P105" s="63"/>
      <c r="Q105" s="142">
        <f t="shared" ref="Q105:Q108" si="24">SUM(E105:P105)</f>
        <v>0</v>
      </c>
      <c r="R105" s="142">
        <f>Q105/$Q$118</f>
        <v>0</v>
      </c>
      <c r="S105" s="157"/>
      <c r="T105" s="40">
        <f t="shared" si="23"/>
        <v>0</v>
      </c>
    </row>
    <row r="106" spans="1:20" s="84" customFormat="1" ht="24.95" customHeight="1">
      <c r="A106" s="3" t="s">
        <v>270</v>
      </c>
      <c r="B106" s="3" t="s">
        <v>661</v>
      </c>
      <c r="C106" s="3"/>
      <c r="D106" s="26" t="s">
        <v>271</v>
      </c>
      <c r="E106" s="63"/>
      <c r="F106" s="63"/>
      <c r="G106" s="63"/>
      <c r="H106" s="63"/>
      <c r="I106" s="63"/>
      <c r="J106" s="63"/>
      <c r="K106" s="63"/>
      <c r="L106" s="63"/>
      <c r="M106" s="63"/>
      <c r="N106" s="63"/>
      <c r="O106" s="63"/>
      <c r="P106" s="63"/>
      <c r="Q106" s="142">
        <f t="shared" si="24"/>
        <v>0</v>
      </c>
      <c r="R106" s="142">
        <f>Q106/$Q$118</f>
        <v>0</v>
      </c>
      <c r="S106" s="157"/>
      <c r="T106" s="40">
        <f t="shared" si="23"/>
        <v>0</v>
      </c>
    </row>
    <row r="107" spans="1:20" s="84" customFormat="1" ht="24.95" customHeight="1">
      <c r="A107" s="3" t="s">
        <v>272</v>
      </c>
      <c r="B107" s="3" t="s">
        <v>661</v>
      </c>
      <c r="C107" s="3"/>
      <c r="D107" s="26" t="s">
        <v>273</v>
      </c>
      <c r="E107" s="63">
        <v>100</v>
      </c>
      <c r="F107" s="63">
        <v>100</v>
      </c>
      <c r="G107" s="63">
        <v>100</v>
      </c>
      <c r="H107" s="63">
        <v>100</v>
      </c>
      <c r="I107" s="63">
        <v>100</v>
      </c>
      <c r="J107" s="63">
        <v>100</v>
      </c>
      <c r="K107" s="63">
        <v>100</v>
      </c>
      <c r="L107" s="63">
        <v>100</v>
      </c>
      <c r="M107" s="63">
        <v>100</v>
      </c>
      <c r="N107" s="63">
        <v>100</v>
      </c>
      <c r="O107" s="63">
        <v>100</v>
      </c>
      <c r="P107" s="63">
        <v>100</v>
      </c>
      <c r="Q107" s="142">
        <f t="shared" si="24"/>
        <v>1200</v>
      </c>
      <c r="R107" s="142">
        <f>Q107/$Q$118</f>
        <v>7.3385518590998039E-2</v>
      </c>
      <c r="S107" s="157"/>
      <c r="T107" s="40"/>
    </row>
    <row r="108" spans="1:20" s="84" customFormat="1" ht="24.95" customHeight="1">
      <c r="A108" s="3" t="s">
        <v>468</v>
      </c>
      <c r="B108" s="3" t="s">
        <v>661</v>
      </c>
      <c r="C108" s="3"/>
      <c r="D108" s="26" t="s">
        <v>480</v>
      </c>
      <c r="E108" s="27">
        <f>'Main Kitchen'!E134+STW!E135</f>
        <v>117091.20999999999</v>
      </c>
      <c r="F108" s="27">
        <f>'Main Kitchen'!F134+STW!F135</f>
        <v>109863.26999999999</v>
      </c>
      <c r="G108" s="27">
        <f>'Main Kitchen'!G134+STW!G135</f>
        <v>104299.05</v>
      </c>
      <c r="H108" s="27">
        <f>'Main Kitchen'!H134+STW!H135</f>
        <v>124305.12</v>
      </c>
      <c r="I108" s="27">
        <f>'Main Kitchen'!I134+STW!I135</f>
        <v>124284.20999999999</v>
      </c>
      <c r="J108" s="27">
        <f>'Main Kitchen'!J134+STW!J135</f>
        <v>123374.44</v>
      </c>
      <c r="K108" s="27">
        <f>'Main Kitchen'!K134+STW!K135</f>
        <v>126014.95</v>
      </c>
      <c r="L108" s="27">
        <f>'Main Kitchen'!L134+STW!L135</f>
        <v>126409.42000000001</v>
      </c>
      <c r="M108" s="27">
        <f>'Main Kitchen'!M134+STW!M135</f>
        <v>143509.68</v>
      </c>
      <c r="N108" s="27">
        <f>'Main Kitchen'!N134+STW!N135</f>
        <v>133746.25</v>
      </c>
      <c r="O108" s="27">
        <f>'Main Kitchen'!O134+STW!O135</f>
        <v>97191.49</v>
      </c>
      <c r="P108" s="27">
        <f>'Main Kitchen'!P134+STW!P135</f>
        <v>89557.74</v>
      </c>
      <c r="Q108" s="142">
        <f t="shared" si="24"/>
        <v>1419646.83</v>
      </c>
      <c r="R108" s="142">
        <f>Q108/$Q$118</f>
        <v>86.817932363013696</v>
      </c>
      <c r="S108" s="157"/>
      <c r="T108" s="40" t="e">
        <f t="shared" si="23"/>
        <v>#DIV/0!</v>
      </c>
    </row>
    <row r="109" spans="1:20" s="84" customFormat="1" ht="24.95" customHeight="1">
      <c r="A109" s="3"/>
      <c r="B109" s="3"/>
      <c r="C109" s="3"/>
      <c r="D109" s="19" t="s">
        <v>1130</v>
      </c>
      <c r="E109" s="160">
        <f>SUM(E40:E108)</f>
        <v>129475.01</v>
      </c>
      <c r="F109" s="160">
        <f t="shared" ref="F109:Q109" si="25">SUM(F40:F108)</f>
        <v>115992.91999999998</v>
      </c>
      <c r="G109" s="160">
        <f t="shared" si="25"/>
        <v>111093.93000000001</v>
      </c>
      <c r="H109" s="160">
        <f t="shared" si="25"/>
        <v>144068.84</v>
      </c>
      <c r="I109" s="160">
        <f t="shared" si="25"/>
        <v>144452.57999999999</v>
      </c>
      <c r="J109" s="160">
        <f t="shared" si="25"/>
        <v>137688.51999999999</v>
      </c>
      <c r="K109" s="160">
        <f t="shared" si="25"/>
        <v>143377.22999999998</v>
      </c>
      <c r="L109" s="160">
        <f t="shared" si="25"/>
        <v>139667.33000000002</v>
      </c>
      <c r="M109" s="160">
        <f t="shared" si="25"/>
        <v>162316.35999999999</v>
      </c>
      <c r="N109" s="160">
        <f t="shared" si="25"/>
        <v>147378.78</v>
      </c>
      <c r="O109" s="160">
        <f t="shared" si="25"/>
        <v>112560.39</v>
      </c>
      <c r="P109" s="160">
        <f t="shared" si="25"/>
        <v>99235.23000000001</v>
      </c>
      <c r="Q109" s="160">
        <f t="shared" si="25"/>
        <v>1587307.12</v>
      </c>
      <c r="R109" s="142">
        <f>Q109/$Q$118</f>
        <v>97.071130136986312</v>
      </c>
      <c r="S109" s="157"/>
      <c r="T109" s="40" t="e">
        <f t="shared" si="23"/>
        <v>#DIV/0!</v>
      </c>
    </row>
    <row r="110" spans="1:20" s="84" customFormat="1" ht="24.95" customHeight="1">
      <c r="A110" s="3"/>
      <c r="B110" s="3"/>
      <c r="C110" s="3"/>
      <c r="D110" s="19" t="s">
        <v>1131</v>
      </c>
      <c r="E110" s="160">
        <f>E29-E35-E37-E109</f>
        <v>60357.910000000018</v>
      </c>
      <c r="F110" s="160">
        <f t="shared" ref="F110:Q110" si="26">F29-F35-F37-F109</f>
        <v>-3341.039999999979</v>
      </c>
      <c r="G110" s="160">
        <f t="shared" si="26"/>
        <v>31154.509999999995</v>
      </c>
      <c r="H110" s="160">
        <f t="shared" si="26"/>
        <v>104130.75</v>
      </c>
      <c r="I110" s="160">
        <f t="shared" si="26"/>
        <v>104197.01000000001</v>
      </c>
      <c r="J110" s="160">
        <f t="shared" si="26"/>
        <v>65111.070000000007</v>
      </c>
      <c r="K110" s="160">
        <f t="shared" si="26"/>
        <v>116271.21000000002</v>
      </c>
      <c r="L110" s="160">
        <f t="shared" si="26"/>
        <v>131981.10999999999</v>
      </c>
      <c r="M110" s="160">
        <f t="shared" si="26"/>
        <v>126607.95000000001</v>
      </c>
      <c r="N110" s="160">
        <f t="shared" si="26"/>
        <v>119047.25999999998</v>
      </c>
      <c r="O110" s="160">
        <f t="shared" si="26"/>
        <v>94788.05</v>
      </c>
      <c r="P110" s="160">
        <f t="shared" si="26"/>
        <v>56713.209999999992</v>
      </c>
      <c r="Q110" s="160">
        <f t="shared" si="26"/>
        <v>1007019</v>
      </c>
      <c r="R110" s="160"/>
      <c r="S110" s="157"/>
      <c r="T110" s="40" t="e">
        <f t="shared" ref="T110:T126" si="27">IF(Q110-S110=0,0,(Q110-S110)/S110)</f>
        <v>#DIV/0!</v>
      </c>
    </row>
    <row r="111" spans="1:20" s="84" customFormat="1" ht="24.95" customHeight="1">
      <c r="A111" s="3"/>
      <c r="B111" s="3"/>
      <c r="C111" s="3"/>
      <c r="D111" s="19" t="s">
        <v>1132</v>
      </c>
      <c r="E111" s="137">
        <f t="shared" ref="E111:Q111" si="28">IF(E110=0,0,E110/E29)</f>
        <v>0.17245117142857147</v>
      </c>
      <c r="F111" s="137">
        <f t="shared" si="28"/>
        <v>-1.4526260869565126E-2</v>
      </c>
      <c r="G111" s="137">
        <f t="shared" si="28"/>
        <v>0.11126610714285712</v>
      </c>
      <c r="H111" s="137">
        <f t="shared" si="28"/>
        <v>0.24793035714285713</v>
      </c>
      <c r="I111" s="137">
        <f t="shared" si="28"/>
        <v>0.23681138636363638</v>
      </c>
      <c r="J111" s="137">
        <f t="shared" si="28"/>
        <v>0.17597586486486488</v>
      </c>
      <c r="K111" s="137">
        <f t="shared" si="28"/>
        <v>0.2583804666666667</v>
      </c>
      <c r="L111" s="137">
        <f t="shared" si="28"/>
        <v>0.28081087234042551</v>
      </c>
      <c r="M111" s="137">
        <f t="shared" si="28"/>
        <v>0.24347682692307696</v>
      </c>
      <c r="N111" s="137">
        <f t="shared" si="28"/>
        <v>0.24801512499999995</v>
      </c>
      <c r="O111" s="137">
        <f t="shared" si="28"/>
        <v>0.27082300000000004</v>
      </c>
      <c r="P111" s="137">
        <f t="shared" si="28"/>
        <v>0.19556279310344823</v>
      </c>
      <c r="Q111" s="137">
        <f t="shared" si="28"/>
        <v>0.21656322580645163</v>
      </c>
      <c r="R111" s="137"/>
      <c r="S111" s="40"/>
      <c r="T111" s="40" t="e">
        <f t="shared" si="27"/>
        <v>#DIV/0!</v>
      </c>
    </row>
    <row r="112" spans="1:20" s="84" customFormat="1" ht="24.95" customHeight="1">
      <c r="A112" s="3"/>
      <c r="B112" s="3"/>
      <c r="C112" s="3"/>
      <c r="D112" s="19" t="s">
        <v>1133</v>
      </c>
      <c r="E112" s="3"/>
      <c r="F112" s="3"/>
      <c r="G112" s="3"/>
      <c r="H112" s="3"/>
      <c r="I112" s="3"/>
      <c r="J112" s="3"/>
      <c r="K112" s="3"/>
      <c r="L112" s="3"/>
      <c r="S112" s="157"/>
      <c r="T112" s="40"/>
    </row>
    <row r="113" spans="1:20" s="84" customFormat="1" ht="24.95" customHeight="1">
      <c r="A113" s="50" t="s">
        <v>437</v>
      </c>
      <c r="B113" s="3" t="s">
        <v>661</v>
      </c>
      <c r="C113" s="3"/>
      <c r="D113" s="26" t="s">
        <v>652</v>
      </c>
      <c r="E113" s="81">
        <v>155</v>
      </c>
      <c r="F113" s="81">
        <v>80</v>
      </c>
      <c r="G113" s="81">
        <v>200</v>
      </c>
      <c r="H113" s="81">
        <v>160</v>
      </c>
      <c r="I113" s="81">
        <v>50</v>
      </c>
      <c r="J113" s="81">
        <v>200</v>
      </c>
      <c r="K113" s="81">
        <v>160</v>
      </c>
      <c r="L113" s="81">
        <v>50</v>
      </c>
      <c r="M113" s="81">
        <v>40</v>
      </c>
      <c r="N113" s="81">
        <v>40</v>
      </c>
      <c r="O113" s="81">
        <v>80</v>
      </c>
      <c r="P113" s="81">
        <v>160</v>
      </c>
      <c r="Q113" s="171">
        <f>SUM(E113:P113)</f>
        <v>1375</v>
      </c>
      <c r="R113" s="171"/>
      <c r="S113" s="157"/>
      <c r="T113" s="40" t="e">
        <f t="shared" si="27"/>
        <v>#DIV/0!</v>
      </c>
    </row>
    <row r="114" spans="1:20" s="84" customFormat="1" ht="24.95" customHeight="1">
      <c r="A114" s="3" t="s">
        <v>437</v>
      </c>
      <c r="B114" s="3" t="s">
        <v>661</v>
      </c>
      <c r="C114" s="3"/>
      <c r="D114" s="26" t="s">
        <v>654</v>
      </c>
      <c r="E114" s="81">
        <v>120</v>
      </c>
      <c r="F114" s="81"/>
      <c r="G114" s="81">
        <v>114</v>
      </c>
      <c r="H114" s="81">
        <v>278</v>
      </c>
      <c r="I114" s="81">
        <v>295</v>
      </c>
      <c r="J114" s="81">
        <v>75</v>
      </c>
      <c r="K114" s="81">
        <v>80</v>
      </c>
      <c r="L114" s="81"/>
      <c r="M114" s="81">
        <v>225</v>
      </c>
      <c r="N114" s="81">
        <v>375</v>
      </c>
      <c r="O114" s="81">
        <v>40</v>
      </c>
      <c r="P114" s="81"/>
      <c r="Q114" s="171">
        <f t="shared" ref="Q114:Q117" si="29">SUM(E114:P114)</f>
        <v>1602</v>
      </c>
      <c r="R114" s="171"/>
      <c r="S114" s="157"/>
      <c r="T114" s="40" t="e">
        <f t="shared" si="27"/>
        <v>#DIV/0!</v>
      </c>
    </row>
    <row r="115" spans="1:20" s="84" customFormat="1" ht="24.95" customHeight="1">
      <c r="A115" s="3" t="s">
        <v>437</v>
      </c>
      <c r="B115" s="3" t="s">
        <v>661</v>
      </c>
      <c r="C115" s="3"/>
      <c r="D115" s="26" t="s">
        <v>656</v>
      </c>
      <c r="E115" s="81">
        <v>640</v>
      </c>
      <c r="F115" s="81">
        <v>480</v>
      </c>
      <c r="G115" s="81">
        <v>385</v>
      </c>
      <c r="H115" s="81">
        <v>384</v>
      </c>
      <c r="I115" s="81">
        <v>536</v>
      </c>
      <c r="J115" s="81">
        <v>720</v>
      </c>
      <c r="K115" s="81">
        <v>600</v>
      </c>
      <c r="L115" s="81">
        <v>1000</v>
      </c>
      <c r="M115" s="81">
        <v>1000</v>
      </c>
      <c r="N115" s="81">
        <v>1100</v>
      </c>
      <c r="O115" s="81">
        <v>640</v>
      </c>
      <c r="P115" s="81">
        <v>490</v>
      </c>
      <c r="Q115" s="171">
        <f t="shared" si="29"/>
        <v>7975</v>
      </c>
      <c r="R115" s="171"/>
      <c r="S115" s="157"/>
      <c r="T115" s="40" t="e">
        <f t="shared" si="27"/>
        <v>#DIV/0!</v>
      </c>
    </row>
    <row r="116" spans="1:20" s="84" customFormat="1" ht="24.95" customHeight="1">
      <c r="A116" s="3" t="s">
        <v>437</v>
      </c>
      <c r="B116" s="3" t="s">
        <v>661</v>
      </c>
      <c r="C116" s="3"/>
      <c r="D116" s="26" t="s">
        <v>658</v>
      </c>
      <c r="E116" s="81">
        <v>300</v>
      </c>
      <c r="F116" s="81">
        <v>300</v>
      </c>
      <c r="G116" s="81">
        <v>300</v>
      </c>
      <c r="H116" s="81">
        <v>400</v>
      </c>
      <c r="I116" s="81">
        <v>400</v>
      </c>
      <c r="J116" s="81">
        <v>250</v>
      </c>
      <c r="K116" s="81">
        <v>850</v>
      </c>
      <c r="L116" s="81">
        <v>650</v>
      </c>
      <c r="M116" s="81">
        <v>600</v>
      </c>
      <c r="N116" s="81">
        <v>400</v>
      </c>
      <c r="O116" s="81">
        <v>450</v>
      </c>
      <c r="P116" s="81">
        <v>500</v>
      </c>
      <c r="Q116" s="171">
        <f t="shared" si="29"/>
        <v>5400</v>
      </c>
      <c r="R116" s="171"/>
      <c r="S116" s="157"/>
      <c r="T116" s="40" t="e">
        <f t="shared" si="27"/>
        <v>#DIV/0!</v>
      </c>
    </row>
    <row r="117" spans="1:20" s="84" customFormat="1" ht="24.95" customHeight="1">
      <c r="A117" s="3" t="s">
        <v>437</v>
      </c>
      <c r="B117" s="3" t="s">
        <v>661</v>
      </c>
      <c r="C117" s="3"/>
      <c r="D117" s="26" t="s">
        <v>660</v>
      </c>
      <c r="E117" s="81"/>
      <c r="F117" s="81"/>
      <c r="G117" s="81"/>
      <c r="H117" s="81"/>
      <c r="I117" s="81"/>
      <c r="J117" s="81"/>
      <c r="K117" s="81"/>
      <c r="L117" s="81"/>
      <c r="M117" s="81"/>
      <c r="N117" s="81"/>
      <c r="O117" s="81"/>
      <c r="P117" s="81"/>
      <c r="Q117" s="171">
        <f t="shared" si="29"/>
        <v>0</v>
      </c>
      <c r="R117" s="171"/>
      <c r="S117" s="157"/>
      <c r="T117" s="40">
        <f>IF(S117&lt;&gt;0,(Q117-S117)/S117,1)</f>
        <v>1</v>
      </c>
    </row>
    <row r="118" spans="1:20" s="84" customFormat="1" ht="24.95" customHeight="1">
      <c r="A118" s="3"/>
      <c r="B118" s="3"/>
      <c r="C118" s="3"/>
      <c r="D118" s="19" t="s">
        <v>1134</v>
      </c>
      <c r="E118" s="169">
        <f>SUM(E113:E117)</f>
        <v>1215</v>
      </c>
      <c r="F118" s="169">
        <f t="shared" ref="F118:Q118" si="30">SUM(F113:F117)</f>
        <v>860</v>
      </c>
      <c r="G118" s="169">
        <f t="shared" si="30"/>
        <v>999</v>
      </c>
      <c r="H118" s="169">
        <f t="shared" si="30"/>
        <v>1222</v>
      </c>
      <c r="I118" s="169">
        <f t="shared" si="30"/>
        <v>1281</v>
      </c>
      <c r="J118" s="169">
        <f t="shared" si="30"/>
        <v>1245</v>
      </c>
      <c r="K118" s="169">
        <f t="shared" si="30"/>
        <v>1690</v>
      </c>
      <c r="L118" s="169">
        <f t="shared" si="30"/>
        <v>1700</v>
      </c>
      <c r="M118" s="169">
        <f t="shared" si="30"/>
        <v>1865</v>
      </c>
      <c r="N118" s="169">
        <f t="shared" si="30"/>
        <v>1915</v>
      </c>
      <c r="O118" s="169">
        <f t="shared" si="30"/>
        <v>1210</v>
      </c>
      <c r="P118" s="169">
        <f t="shared" si="30"/>
        <v>1150</v>
      </c>
      <c r="Q118" s="169">
        <f t="shared" si="30"/>
        <v>16352</v>
      </c>
      <c r="R118" s="169"/>
      <c r="S118" s="157"/>
      <c r="T118" s="40" t="e">
        <f t="shared" si="27"/>
        <v>#DIV/0!</v>
      </c>
    </row>
    <row r="119" spans="1:20" s="84" customFormat="1" ht="24.95" customHeight="1">
      <c r="A119" s="3"/>
      <c r="B119" s="3"/>
      <c r="C119" s="3"/>
      <c r="D119" s="3"/>
      <c r="E119" s="3"/>
      <c r="F119" s="3"/>
      <c r="G119" s="3"/>
      <c r="H119" s="3"/>
      <c r="I119" s="3"/>
      <c r="J119" s="3"/>
      <c r="K119" s="3"/>
      <c r="L119" s="3"/>
      <c r="S119" s="157"/>
      <c r="T119" s="40"/>
    </row>
    <row r="120" spans="1:20" s="84" customFormat="1" ht="24.95" customHeight="1">
      <c r="A120" s="3"/>
      <c r="B120" s="3"/>
      <c r="C120" s="3"/>
      <c r="D120" s="19" t="s">
        <v>1135</v>
      </c>
      <c r="E120" s="3"/>
      <c r="F120" s="3"/>
      <c r="G120" s="3"/>
      <c r="H120" s="3"/>
      <c r="I120" s="3"/>
      <c r="J120" s="3"/>
      <c r="K120" s="3"/>
      <c r="L120" s="3"/>
      <c r="S120" s="157"/>
      <c r="T120" s="40">
        <f t="shared" si="27"/>
        <v>0</v>
      </c>
    </row>
    <row r="121" spans="1:20" s="84" customFormat="1" ht="24.95" customHeight="1">
      <c r="A121" s="3"/>
      <c r="B121" s="3"/>
      <c r="C121" s="3"/>
      <c r="D121" s="26" t="s">
        <v>652</v>
      </c>
      <c r="E121" s="61">
        <f t="shared" ref="E121:K125" si="31">IF(E113=0,0,ROUND(E12/E113,2))</f>
        <v>219.35</v>
      </c>
      <c r="F121" s="61">
        <f t="shared" si="31"/>
        <v>0</v>
      </c>
      <c r="G121" s="61">
        <f t="shared" si="31"/>
        <v>200</v>
      </c>
      <c r="H121" s="61">
        <f t="shared" si="31"/>
        <v>218.75</v>
      </c>
      <c r="I121" s="61">
        <f t="shared" si="31"/>
        <v>200</v>
      </c>
      <c r="J121" s="61">
        <f t="shared" si="31"/>
        <v>250</v>
      </c>
      <c r="K121" s="61">
        <f t="shared" si="31"/>
        <v>250</v>
      </c>
      <c r="L121" s="61">
        <f t="shared" ref="L121:P125" si="32">IF(L113=0,0,ROUND(L12/L113,2))</f>
        <v>200</v>
      </c>
      <c r="M121" s="61">
        <f t="shared" si="32"/>
        <v>250</v>
      </c>
      <c r="N121" s="61">
        <f t="shared" si="32"/>
        <v>250</v>
      </c>
      <c r="O121" s="61">
        <f t="shared" si="32"/>
        <v>250</v>
      </c>
      <c r="P121" s="61">
        <f t="shared" si="32"/>
        <v>250</v>
      </c>
      <c r="Q121" s="61">
        <f>IF(Q113=0,0,ROUND(Q12/Q113,2))</f>
        <v>217.45</v>
      </c>
      <c r="R121" s="172"/>
      <c r="S121" s="157"/>
      <c r="T121" s="40" t="e">
        <f t="shared" si="27"/>
        <v>#DIV/0!</v>
      </c>
    </row>
    <row r="122" spans="1:20" s="84" customFormat="1" ht="24.95" customHeight="1">
      <c r="A122" s="3"/>
      <c r="B122" s="3"/>
      <c r="C122" s="3"/>
      <c r="D122" s="26" t="s">
        <v>654</v>
      </c>
      <c r="E122" s="61">
        <f t="shared" si="31"/>
        <v>300</v>
      </c>
      <c r="F122" s="61">
        <f t="shared" si="31"/>
        <v>0</v>
      </c>
      <c r="G122" s="61">
        <f t="shared" si="31"/>
        <v>350.88</v>
      </c>
      <c r="H122" s="61">
        <f t="shared" si="31"/>
        <v>359.71</v>
      </c>
      <c r="I122" s="61">
        <f t="shared" si="31"/>
        <v>440.68</v>
      </c>
      <c r="J122" s="61">
        <f t="shared" si="31"/>
        <v>400</v>
      </c>
      <c r="K122" s="61">
        <f t="shared" si="31"/>
        <v>250</v>
      </c>
      <c r="L122" s="61">
        <f>IF(L114=0,0,ROUND(L13/L114,2))</f>
        <v>0</v>
      </c>
      <c r="M122" s="61">
        <f t="shared" si="32"/>
        <v>400</v>
      </c>
      <c r="N122" s="61">
        <f t="shared" si="32"/>
        <v>346.67</v>
      </c>
      <c r="O122" s="61">
        <f t="shared" si="32"/>
        <v>250</v>
      </c>
      <c r="P122" s="61">
        <f t="shared" si="32"/>
        <v>0</v>
      </c>
      <c r="Q122" s="61">
        <f>IF(Q114=0,0,ROUND(Q13/Q114,2))</f>
        <v>365.79</v>
      </c>
      <c r="R122" s="172"/>
      <c r="S122" s="157"/>
      <c r="T122" s="40" t="e">
        <f t="shared" si="27"/>
        <v>#DIV/0!</v>
      </c>
    </row>
    <row r="123" spans="1:20" s="84" customFormat="1" ht="24.95" customHeight="1">
      <c r="A123" s="3"/>
      <c r="B123" s="3"/>
      <c r="C123" s="3"/>
      <c r="D123" s="26" t="s">
        <v>656</v>
      </c>
      <c r="E123" s="61">
        <f t="shared" si="31"/>
        <v>250</v>
      </c>
      <c r="F123" s="61">
        <f t="shared" si="31"/>
        <v>250</v>
      </c>
      <c r="G123" s="61">
        <f t="shared" si="31"/>
        <v>259.74</v>
      </c>
      <c r="H123" s="61">
        <f t="shared" si="31"/>
        <v>273.44</v>
      </c>
      <c r="I123" s="61">
        <f t="shared" si="31"/>
        <v>279.85000000000002</v>
      </c>
      <c r="J123" s="61">
        <f t="shared" si="31"/>
        <v>250</v>
      </c>
      <c r="K123" s="61">
        <f t="shared" si="31"/>
        <v>250</v>
      </c>
      <c r="L123" s="61">
        <f>IF(L115=0,0,ROUND(L14/L115,2))</f>
        <v>250</v>
      </c>
      <c r="M123" s="61">
        <f t="shared" si="32"/>
        <v>250</v>
      </c>
      <c r="N123" s="61">
        <f t="shared" si="32"/>
        <v>181.82</v>
      </c>
      <c r="O123" s="61">
        <f t="shared" si="32"/>
        <v>203.13</v>
      </c>
      <c r="P123" s="61">
        <f t="shared" si="32"/>
        <v>183.67</v>
      </c>
      <c r="Q123" s="61">
        <f>IF(Q115=0,0,ROUND(Q14/Q115,2))</f>
        <v>236.36</v>
      </c>
      <c r="R123" s="172"/>
      <c r="S123" s="157"/>
      <c r="T123" s="40" t="e">
        <f t="shared" si="27"/>
        <v>#DIV/0!</v>
      </c>
    </row>
    <row r="124" spans="1:20" s="84" customFormat="1" ht="24.95" customHeight="1">
      <c r="A124" s="3"/>
      <c r="B124" s="3"/>
      <c r="C124" s="3"/>
      <c r="D124" s="26" t="s">
        <v>658</v>
      </c>
      <c r="E124" s="61">
        <f t="shared" si="31"/>
        <v>200</v>
      </c>
      <c r="F124" s="61">
        <f t="shared" si="31"/>
        <v>200</v>
      </c>
      <c r="G124" s="61">
        <f t="shared" si="31"/>
        <v>200</v>
      </c>
      <c r="H124" s="61">
        <f t="shared" si="31"/>
        <v>200</v>
      </c>
      <c r="I124" s="61">
        <f t="shared" si="31"/>
        <v>200</v>
      </c>
      <c r="J124" s="61">
        <f t="shared" si="31"/>
        <v>200</v>
      </c>
      <c r="K124" s="61">
        <f t="shared" si="31"/>
        <v>188.24</v>
      </c>
      <c r="L124" s="61">
        <f>IF(L116=0,0,ROUND(L15/L116,2))</f>
        <v>200</v>
      </c>
      <c r="M124" s="61">
        <f t="shared" si="32"/>
        <v>200</v>
      </c>
      <c r="N124" s="61">
        <f t="shared" si="32"/>
        <v>200</v>
      </c>
      <c r="O124" s="61">
        <f t="shared" si="32"/>
        <v>200</v>
      </c>
      <c r="P124" s="61">
        <f t="shared" si="32"/>
        <v>200</v>
      </c>
      <c r="Q124" s="61">
        <f>IF(Q116=0,0,ROUND(Q15/Q116,2))</f>
        <v>198.15</v>
      </c>
      <c r="R124" s="172"/>
      <c r="S124" s="157"/>
      <c r="T124" s="40" t="e">
        <f t="shared" si="27"/>
        <v>#DIV/0!</v>
      </c>
    </row>
    <row r="125" spans="1:20" s="84" customFormat="1" ht="24.95" customHeight="1">
      <c r="A125" s="3"/>
      <c r="B125" s="3"/>
      <c r="C125" s="3"/>
      <c r="D125" s="26" t="s">
        <v>660</v>
      </c>
      <c r="E125" s="61">
        <f t="shared" si="31"/>
        <v>0</v>
      </c>
      <c r="F125" s="61">
        <f t="shared" si="31"/>
        <v>0</v>
      </c>
      <c r="G125" s="61">
        <f t="shared" si="31"/>
        <v>0</v>
      </c>
      <c r="H125" s="61">
        <f t="shared" si="31"/>
        <v>0</v>
      </c>
      <c r="I125" s="61">
        <f t="shared" si="31"/>
        <v>0</v>
      </c>
      <c r="J125" s="61">
        <f t="shared" si="31"/>
        <v>0</v>
      </c>
      <c r="K125" s="61">
        <f t="shared" si="31"/>
        <v>0</v>
      </c>
      <c r="L125" s="61">
        <f t="shared" ref="L125:Q126" si="33">IF(L117=0,0,ROUND(L16/L117,2))</f>
        <v>0</v>
      </c>
      <c r="M125" s="61">
        <f t="shared" si="32"/>
        <v>0</v>
      </c>
      <c r="N125" s="61">
        <f t="shared" si="32"/>
        <v>0</v>
      </c>
      <c r="O125" s="61">
        <f t="shared" si="32"/>
        <v>0</v>
      </c>
      <c r="P125" s="61">
        <f t="shared" si="32"/>
        <v>0</v>
      </c>
      <c r="Q125" s="61">
        <f>IF(Q117=0,0,ROUND(Q16/Q117,2))</f>
        <v>0</v>
      </c>
      <c r="R125" s="172"/>
      <c r="S125" s="157"/>
      <c r="T125" s="40">
        <f>IF(S125&lt;&gt;0,(Q125-S125)/S125,1)</f>
        <v>1</v>
      </c>
    </row>
    <row r="126" spans="1:20" s="84" customFormat="1" ht="24.95" customHeight="1">
      <c r="A126" s="3"/>
      <c r="B126" s="3"/>
      <c r="C126" s="3"/>
      <c r="D126" s="19" t="s">
        <v>1136</v>
      </c>
      <c r="E126" s="170">
        <f>IF(E118=0,0,ROUND(E17/E118,2))</f>
        <v>238.68</v>
      </c>
      <c r="F126" s="170">
        <f t="shared" ref="F126:K126" si="34">IF(F118=0,0,ROUND(F17/F118,2))</f>
        <v>209.3</v>
      </c>
      <c r="G126" s="170">
        <f t="shared" si="34"/>
        <v>240.24</v>
      </c>
      <c r="H126" s="170">
        <f t="shared" si="34"/>
        <v>261.87</v>
      </c>
      <c r="I126" s="170">
        <f t="shared" si="34"/>
        <v>288.83999999999997</v>
      </c>
      <c r="J126" s="170">
        <f t="shared" si="34"/>
        <v>249</v>
      </c>
      <c r="K126" s="170">
        <f t="shared" si="34"/>
        <v>218.93</v>
      </c>
      <c r="L126" s="170">
        <f t="shared" si="33"/>
        <v>229.41</v>
      </c>
      <c r="M126" s="170">
        <f t="shared" si="33"/>
        <v>252.01</v>
      </c>
      <c r="N126" s="170">
        <f t="shared" si="33"/>
        <v>219.32</v>
      </c>
      <c r="O126" s="170">
        <f t="shared" si="33"/>
        <v>206.61</v>
      </c>
      <c r="P126" s="170">
        <f t="shared" si="33"/>
        <v>200</v>
      </c>
      <c r="Q126" s="170">
        <f t="shared" si="33"/>
        <v>234.83</v>
      </c>
      <c r="R126" s="173"/>
      <c r="S126" s="157"/>
      <c r="T126" s="40" t="e">
        <f t="shared" si="27"/>
        <v>#DIV/0!</v>
      </c>
    </row>
    <row r="127" spans="1:20" s="84" customFormat="1" ht="24.95" customHeight="1">
      <c r="A127" s="3"/>
      <c r="B127" s="3"/>
      <c r="C127" s="3"/>
      <c r="D127" s="3"/>
      <c r="E127" s="3"/>
      <c r="F127" s="3"/>
      <c r="G127" s="3"/>
      <c r="H127" s="3"/>
      <c r="I127" s="3"/>
      <c r="J127" s="3"/>
      <c r="K127" s="3"/>
      <c r="L127" s="3"/>
      <c r="S127" s="157"/>
      <c r="T127" s="40"/>
    </row>
    <row r="128" spans="1:20" s="84" customFormat="1" ht="24.95" customHeight="1">
      <c r="A128" s="3"/>
      <c r="B128" s="3"/>
      <c r="C128" s="3"/>
      <c r="D128" s="19" t="s">
        <v>1137</v>
      </c>
      <c r="E128" s="160">
        <f>IF(E118=0,0,ROUND((E35+E37+E109)/E118,2))</f>
        <v>238.39</v>
      </c>
      <c r="F128" s="160">
        <f t="shared" ref="F128:Q128" si="35">IF(F118=0,0,ROUND((F35+F37+F109)/F118,2))</f>
        <v>271.33</v>
      </c>
      <c r="G128" s="160">
        <f t="shared" si="35"/>
        <v>249.09</v>
      </c>
      <c r="H128" s="160">
        <f t="shared" si="35"/>
        <v>258.49</v>
      </c>
      <c r="I128" s="160">
        <f t="shared" si="35"/>
        <v>262.14</v>
      </c>
      <c r="J128" s="160">
        <f t="shared" si="35"/>
        <v>244.89</v>
      </c>
      <c r="K128" s="160">
        <f t="shared" si="35"/>
        <v>197.47</v>
      </c>
      <c r="L128" s="160">
        <f t="shared" si="35"/>
        <v>198.83</v>
      </c>
      <c r="M128" s="160">
        <f t="shared" si="35"/>
        <v>210.93</v>
      </c>
      <c r="N128" s="160">
        <f t="shared" si="35"/>
        <v>188.49</v>
      </c>
      <c r="O128" s="160">
        <f t="shared" si="35"/>
        <v>210.92</v>
      </c>
      <c r="P128" s="160">
        <f t="shared" si="35"/>
        <v>202.86</v>
      </c>
      <c r="Q128" s="160">
        <f t="shared" si="35"/>
        <v>222.79</v>
      </c>
      <c r="R128" s="160"/>
      <c r="S128" s="157"/>
      <c r="T128" s="40" t="e">
        <f>-IF(Q128-S128=0,0,(Q128-S128)/S128)</f>
        <v>#DIV/0!</v>
      </c>
    </row>
    <row r="129" spans="1:21" s="84" customFormat="1" ht="24.95" customHeight="1">
      <c r="A129" s="3"/>
      <c r="B129" s="3"/>
      <c r="C129" s="3"/>
      <c r="D129" s="3"/>
      <c r="E129" s="3"/>
      <c r="F129" s="3"/>
      <c r="G129" s="3"/>
      <c r="H129" s="3"/>
      <c r="I129" s="3"/>
      <c r="J129" s="3"/>
      <c r="K129" s="3"/>
      <c r="L129" s="3"/>
      <c r="S129" s="157"/>
      <c r="T129" s="40"/>
    </row>
    <row r="130" spans="1:21" s="84" customFormat="1" ht="24.95" customHeight="1">
      <c r="A130" s="3"/>
      <c r="B130" s="3"/>
      <c r="C130" s="3"/>
      <c r="D130" s="19" t="s">
        <v>1138</v>
      </c>
      <c r="E130" s="3"/>
      <c r="F130" s="3"/>
      <c r="G130" s="3"/>
      <c r="H130" s="3"/>
      <c r="I130" s="3"/>
      <c r="J130" s="3"/>
      <c r="K130" s="3"/>
      <c r="L130" s="3"/>
      <c r="M130" s="3"/>
      <c r="N130" s="3"/>
      <c r="O130" s="3"/>
      <c r="S130" s="157"/>
      <c r="T130" s="40"/>
    </row>
    <row r="131" spans="1:21" s="84" customFormat="1" ht="24.95" customHeight="1">
      <c r="A131" s="3"/>
      <c r="B131" s="3"/>
      <c r="C131" s="3"/>
      <c r="D131" s="19" t="s">
        <v>1139</v>
      </c>
      <c r="E131" s="3"/>
      <c r="F131" s="3"/>
      <c r="G131" s="3"/>
      <c r="H131" s="3"/>
      <c r="I131" s="3"/>
      <c r="J131" s="3"/>
      <c r="K131" s="3"/>
      <c r="L131" s="3"/>
      <c r="S131" s="157"/>
      <c r="T131" s="40"/>
    </row>
    <row r="132" spans="1:21" s="84" customFormat="1" ht="24.95" customHeight="1">
      <c r="A132" s="3" t="s">
        <v>295</v>
      </c>
      <c r="B132" s="3" t="s">
        <v>661</v>
      </c>
      <c r="C132" s="3"/>
      <c r="D132" s="3" t="s">
        <v>1140</v>
      </c>
      <c r="E132" s="63">
        <v>16000</v>
      </c>
      <c r="F132" s="63">
        <v>16000</v>
      </c>
      <c r="G132" s="63">
        <v>16000</v>
      </c>
      <c r="H132" s="63">
        <v>16000</v>
      </c>
      <c r="I132" s="63">
        <v>16000</v>
      </c>
      <c r="J132" s="63">
        <v>16000</v>
      </c>
      <c r="K132" s="63">
        <v>16000</v>
      </c>
      <c r="L132" s="63">
        <v>16000</v>
      </c>
      <c r="M132" s="63">
        <v>16000</v>
      </c>
      <c r="N132" s="63">
        <v>16000</v>
      </c>
      <c r="O132" s="63">
        <v>16000</v>
      </c>
      <c r="P132" s="63">
        <v>16000</v>
      </c>
      <c r="Q132" s="142">
        <f>SUM(E132:P132)</f>
        <v>192000</v>
      </c>
      <c r="R132" s="142">
        <f>Q132/$Q$118</f>
        <v>11.741682974559687</v>
      </c>
      <c r="S132" s="157"/>
      <c r="T132" s="40" t="e">
        <f>-IF(Q132-S132=0,0,(Q132-S132)/S132)</f>
        <v>#DIV/0!</v>
      </c>
    </row>
    <row r="133" spans="1:21" s="84" customFormat="1" ht="24.95" customHeight="1">
      <c r="A133" s="50" t="s">
        <v>298</v>
      </c>
      <c r="B133" s="3" t="s">
        <v>661</v>
      </c>
      <c r="C133" s="3"/>
      <c r="D133" s="3" t="s">
        <v>1141</v>
      </c>
      <c r="E133" s="61">
        <v>7200</v>
      </c>
      <c r="F133" s="61">
        <v>7200</v>
      </c>
      <c r="G133" s="61">
        <v>7200</v>
      </c>
      <c r="H133" s="61">
        <v>7200</v>
      </c>
      <c r="I133" s="61">
        <v>7200</v>
      </c>
      <c r="J133" s="61">
        <v>7200</v>
      </c>
      <c r="K133" s="61">
        <v>7200</v>
      </c>
      <c r="L133" s="61">
        <v>7200</v>
      </c>
      <c r="M133" s="61">
        <v>7200</v>
      </c>
      <c r="N133" s="61">
        <v>7200</v>
      </c>
      <c r="O133" s="61">
        <v>7200</v>
      </c>
      <c r="P133" s="61">
        <v>7200</v>
      </c>
      <c r="Q133" s="142">
        <f t="shared" ref="Q133:Q134" si="36">SUM(E133:P133)</f>
        <v>86400</v>
      </c>
      <c r="R133" s="142">
        <f>Q133/$Q$118</f>
        <v>5.283757338551859</v>
      </c>
      <c r="S133" s="157"/>
      <c r="T133" s="40" t="e">
        <f t="shared" ref="T133:T166" si="37">-IF(Q133-S133=0,0,(Q133-S133)/S133)</f>
        <v>#DIV/0!</v>
      </c>
    </row>
    <row r="134" spans="1:21" s="84" customFormat="1" ht="24.95" customHeight="1">
      <c r="A134" s="50" t="s">
        <v>298</v>
      </c>
      <c r="B134" s="3" t="s">
        <v>661</v>
      </c>
      <c r="C134" s="3"/>
      <c r="D134" s="3" t="s">
        <v>1142</v>
      </c>
      <c r="E134" s="61"/>
      <c r="F134" s="61"/>
      <c r="G134" s="61"/>
      <c r="H134" s="61"/>
      <c r="I134" s="61"/>
      <c r="J134" s="61"/>
      <c r="K134" s="61"/>
      <c r="L134" s="61"/>
      <c r="M134" s="61"/>
      <c r="N134" s="61"/>
      <c r="O134" s="61"/>
      <c r="P134" s="61"/>
      <c r="Q134" s="142">
        <f t="shared" si="36"/>
        <v>0</v>
      </c>
      <c r="R134" s="142">
        <f>Q134/$Q$118</f>
        <v>0</v>
      </c>
      <c r="S134" s="157"/>
      <c r="T134" s="40">
        <f t="shared" si="37"/>
        <v>0</v>
      </c>
    </row>
    <row r="135" spans="1:21" s="84" customFormat="1" ht="24.95" customHeight="1">
      <c r="A135" s="3"/>
      <c r="B135" s="3"/>
      <c r="C135" s="3"/>
      <c r="D135" s="19" t="s">
        <v>1143</v>
      </c>
      <c r="E135" s="170">
        <f>SUM(E132:E134)</f>
        <v>23200</v>
      </c>
      <c r="F135" s="160">
        <f t="shared" ref="F135:P135" si="38">SUM(F132:F134)</f>
        <v>23200</v>
      </c>
      <c r="G135" s="160">
        <f t="shared" si="38"/>
        <v>23200</v>
      </c>
      <c r="H135" s="160">
        <f t="shared" si="38"/>
        <v>23200</v>
      </c>
      <c r="I135" s="160">
        <f t="shared" si="38"/>
        <v>23200</v>
      </c>
      <c r="J135" s="160">
        <f t="shared" si="38"/>
        <v>23200</v>
      </c>
      <c r="K135" s="160">
        <f t="shared" si="38"/>
        <v>23200</v>
      </c>
      <c r="L135" s="160">
        <f t="shared" si="38"/>
        <v>23200</v>
      </c>
      <c r="M135" s="160">
        <f t="shared" si="38"/>
        <v>23200</v>
      </c>
      <c r="N135" s="160">
        <f t="shared" si="38"/>
        <v>23200</v>
      </c>
      <c r="O135" s="160">
        <f t="shared" si="38"/>
        <v>23200</v>
      </c>
      <c r="P135" s="160">
        <f t="shared" si="38"/>
        <v>23200</v>
      </c>
      <c r="Q135" s="160">
        <f t="shared" ref="Q135" si="39">SUM(Q132:Q134)</f>
        <v>278400</v>
      </c>
      <c r="R135" s="142">
        <f>Q135/$Q$118</f>
        <v>17.025440313111545</v>
      </c>
      <c r="S135" s="157"/>
      <c r="T135" s="40" t="e">
        <f t="shared" si="37"/>
        <v>#DIV/0!</v>
      </c>
    </row>
    <row r="136" spans="1:21" s="84" customFormat="1" ht="24.95" customHeight="1">
      <c r="A136" s="3"/>
      <c r="B136" s="3"/>
      <c r="C136" s="3"/>
      <c r="D136" s="3"/>
      <c r="E136" s="3"/>
      <c r="F136" s="3"/>
      <c r="G136" s="3"/>
      <c r="H136" s="3"/>
      <c r="I136" s="3"/>
      <c r="J136" s="3"/>
      <c r="K136" s="3"/>
      <c r="L136" s="3"/>
      <c r="M136" s="3"/>
      <c r="N136" s="3"/>
      <c r="O136" s="3"/>
      <c r="P136" s="3"/>
      <c r="S136" s="157"/>
      <c r="T136" s="40"/>
    </row>
    <row r="137" spans="1:21" s="84" customFormat="1" ht="24.95" customHeight="1">
      <c r="A137" s="3" t="s">
        <v>306</v>
      </c>
      <c r="B137" s="3" t="s">
        <v>661</v>
      </c>
      <c r="C137" s="3"/>
      <c r="D137" s="26" t="s">
        <v>1144</v>
      </c>
      <c r="E137" s="61">
        <v>1011.17</v>
      </c>
      <c r="F137" s="61">
        <v>3033.52</v>
      </c>
      <c r="G137" s="61">
        <v>0</v>
      </c>
      <c r="H137" s="61">
        <v>1011.17</v>
      </c>
      <c r="I137" s="61">
        <v>1011.17</v>
      </c>
      <c r="J137" s="61">
        <v>1011.17</v>
      </c>
      <c r="K137" s="61">
        <v>0</v>
      </c>
      <c r="L137" s="61">
        <v>0</v>
      </c>
      <c r="M137" s="61">
        <v>1036.45</v>
      </c>
      <c r="N137" s="61">
        <v>3109.36</v>
      </c>
      <c r="O137" s="61">
        <v>0</v>
      </c>
      <c r="P137" s="61">
        <v>0</v>
      </c>
      <c r="Q137" s="142">
        <f>SUM(E137:P137)</f>
        <v>11224.01</v>
      </c>
      <c r="R137" s="142">
        <f t="shared" ref="R137:R144" si="40">Q137/$Q$118</f>
        <v>0.68639982876712335</v>
      </c>
      <c r="S137" s="157"/>
      <c r="T137" s="40" t="e">
        <f t="shared" si="37"/>
        <v>#DIV/0!</v>
      </c>
    </row>
    <row r="138" spans="1:21" s="84" customFormat="1" ht="24.95" customHeight="1">
      <c r="A138" s="3" t="s">
        <v>308</v>
      </c>
      <c r="B138" s="3" t="s">
        <v>661</v>
      </c>
      <c r="C138" s="3"/>
      <c r="D138" s="26" t="s">
        <v>1145</v>
      </c>
      <c r="E138" s="61">
        <f>ROUND(E135/12*2,2)</f>
        <v>3866.67</v>
      </c>
      <c r="F138" s="61">
        <f>ROUND(F135/12*1.5,2)</f>
        <v>2900</v>
      </c>
      <c r="G138" s="61">
        <f t="shared" ref="G138:P138" si="41">ROUND(G135/12*1.5,2)</f>
        <v>2900</v>
      </c>
      <c r="H138" s="61">
        <f t="shared" si="41"/>
        <v>2900</v>
      </c>
      <c r="I138" s="61">
        <f t="shared" si="41"/>
        <v>2900</v>
      </c>
      <c r="J138" s="61">
        <f t="shared" si="41"/>
        <v>2900</v>
      </c>
      <c r="K138" s="61">
        <f t="shared" si="41"/>
        <v>2900</v>
      </c>
      <c r="L138" s="61">
        <f t="shared" si="41"/>
        <v>2900</v>
      </c>
      <c r="M138" s="61">
        <f t="shared" si="41"/>
        <v>2900</v>
      </c>
      <c r="N138" s="61">
        <f t="shared" si="41"/>
        <v>2900</v>
      </c>
      <c r="O138" s="61">
        <f t="shared" si="41"/>
        <v>2900</v>
      </c>
      <c r="P138" s="61">
        <f t="shared" si="41"/>
        <v>2900</v>
      </c>
      <c r="Q138" s="142">
        <f t="shared" ref="Q138:Q143" si="42">SUM(E138:P138)</f>
        <v>35766.67</v>
      </c>
      <c r="R138" s="142">
        <f t="shared" si="40"/>
        <v>2.1872963551859099</v>
      </c>
      <c r="S138" s="157"/>
      <c r="T138" s="40" t="e">
        <f t="shared" si="37"/>
        <v>#DIV/0!</v>
      </c>
    </row>
    <row r="139" spans="1:21" s="84" customFormat="1" ht="24.95" customHeight="1">
      <c r="A139" s="3" t="s">
        <v>310</v>
      </c>
      <c r="B139" s="3" t="s">
        <v>661</v>
      </c>
      <c r="C139" s="3"/>
      <c r="D139" s="26" t="s">
        <v>1146</v>
      </c>
      <c r="E139" s="61"/>
      <c r="F139" s="61"/>
      <c r="G139" s="61"/>
      <c r="H139" s="61"/>
      <c r="I139" s="61"/>
      <c r="J139" s="61"/>
      <c r="K139" s="61"/>
      <c r="L139" s="61"/>
      <c r="M139" s="61"/>
      <c r="N139" s="61"/>
      <c r="O139" s="61"/>
      <c r="P139" s="61"/>
      <c r="Q139" s="142">
        <f t="shared" si="42"/>
        <v>0</v>
      </c>
      <c r="R139" s="142">
        <f t="shared" si="40"/>
        <v>0</v>
      </c>
      <c r="S139" s="157"/>
      <c r="T139" s="40"/>
    </row>
    <row r="140" spans="1:21" s="84" customFormat="1" ht="24.95" customHeight="1">
      <c r="A140" s="3" t="s">
        <v>312</v>
      </c>
      <c r="B140" s="3" t="s">
        <v>661</v>
      </c>
      <c r="C140" s="3"/>
      <c r="D140" s="26" t="s">
        <v>1147</v>
      </c>
      <c r="E140" s="61"/>
      <c r="F140" s="61"/>
      <c r="G140" s="61"/>
      <c r="H140" s="61"/>
      <c r="I140" s="61"/>
      <c r="J140" s="61"/>
      <c r="K140" s="61"/>
      <c r="L140" s="61"/>
      <c r="M140" s="61"/>
      <c r="N140" s="61"/>
      <c r="O140" s="61"/>
      <c r="P140" s="61"/>
      <c r="Q140" s="142">
        <f t="shared" ref="Q140:Q141" si="43">SUM(E140:P140)</f>
        <v>0</v>
      </c>
      <c r="R140" s="142">
        <f t="shared" ref="R140:R141" si="44">Q140/$Q$118</f>
        <v>0</v>
      </c>
      <c r="S140" s="157"/>
      <c r="T140" s="40">
        <f t="shared" ref="T140:T141" si="45">-IF(Q140-S140=0,0,(Q140-S140)/S140)</f>
        <v>0</v>
      </c>
    </row>
    <row r="141" spans="1:21" s="84" customFormat="1" ht="24.95" customHeight="1">
      <c r="A141" s="3" t="s">
        <v>314</v>
      </c>
      <c r="B141" s="3" t="s">
        <v>661</v>
      </c>
      <c r="C141" s="3"/>
      <c r="D141" s="26" t="s">
        <v>1148</v>
      </c>
      <c r="E141" s="61"/>
      <c r="F141" s="61"/>
      <c r="G141" s="61"/>
      <c r="H141" s="61"/>
      <c r="I141" s="61"/>
      <c r="J141" s="61"/>
      <c r="K141" s="61"/>
      <c r="L141" s="61"/>
      <c r="M141" s="61"/>
      <c r="N141" s="61"/>
      <c r="O141" s="61"/>
      <c r="P141" s="61"/>
      <c r="Q141" s="142">
        <f t="shared" si="43"/>
        <v>0</v>
      </c>
      <c r="R141" s="142">
        <f t="shared" si="44"/>
        <v>0</v>
      </c>
      <c r="S141" s="157"/>
      <c r="T141" s="40">
        <f t="shared" si="45"/>
        <v>0</v>
      </c>
    </row>
    <row r="142" spans="1:21" s="84" customFormat="1" ht="24.95" customHeight="1">
      <c r="A142" s="3" t="s">
        <v>1109</v>
      </c>
      <c r="B142" s="3" t="s">
        <v>661</v>
      </c>
      <c r="C142" s="3"/>
      <c r="D142" s="26" t="s">
        <v>1113</v>
      </c>
      <c r="E142" s="61"/>
      <c r="F142" s="61"/>
      <c r="G142" s="61"/>
      <c r="H142" s="61"/>
      <c r="I142" s="61"/>
      <c r="J142" s="61"/>
      <c r="K142" s="61"/>
      <c r="L142" s="61"/>
      <c r="M142" s="61"/>
      <c r="N142" s="61"/>
      <c r="O142" s="61"/>
      <c r="P142" s="61"/>
      <c r="Q142" s="142">
        <f t="shared" si="42"/>
        <v>0</v>
      </c>
      <c r="R142" s="142">
        <f t="shared" si="40"/>
        <v>0</v>
      </c>
      <c r="S142" s="157"/>
      <c r="T142" s="40">
        <f t="shared" si="37"/>
        <v>0</v>
      </c>
    </row>
    <row r="143" spans="1:21" s="84" customFormat="1" ht="24.95" customHeight="1">
      <c r="A143" s="3" t="s">
        <v>1109</v>
      </c>
      <c r="B143" s="3" t="s">
        <v>661</v>
      </c>
      <c r="C143" s="3"/>
      <c r="D143" s="26" t="s">
        <v>1114</v>
      </c>
      <c r="E143" s="61">
        <f>ROUND(E29*0.015,2)</f>
        <v>5250</v>
      </c>
      <c r="F143" s="61">
        <f t="shared" ref="F143:P143" si="46">ROUND(F29*0.015,2)</f>
        <v>3450</v>
      </c>
      <c r="G143" s="61">
        <f t="shared" si="46"/>
        <v>4200</v>
      </c>
      <c r="H143" s="61">
        <f t="shared" si="46"/>
        <v>6300</v>
      </c>
      <c r="I143" s="61">
        <f t="shared" si="46"/>
        <v>6600</v>
      </c>
      <c r="J143" s="61">
        <f t="shared" si="46"/>
        <v>5550</v>
      </c>
      <c r="K143" s="61">
        <f t="shared" si="46"/>
        <v>6750</v>
      </c>
      <c r="L143" s="61">
        <f t="shared" si="46"/>
        <v>7050</v>
      </c>
      <c r="M143" s="61">
        <f t="shared" si="46"/>
        <v>7800</v>
      </c>
      <c r="N143" s="61">
        <f t="shared" si="46"/>
        <v>7200</v>
      </c>
      <c r="O143" s="61">
        <f t="shared" si="46"/>
        <v>5250</v>
      </c>
      <c r="P143" s="61">
        <f t="shared" si="46"/>
        <v>4350</v>
      </c>
      <c r="Q143" s="142">
        <f t="shared" si="42"/>
        <v>69750</v>
      </c>
      <c r="R143" s="142">
        <f t="shared" si="40"/>
        <v>4.2655332681017608</v>
      </c>
      <c r="S143" s="157"/>
      <c r="T143" s="40" t="e">
        <f t="shared" si="37"/>
        <v>#DIV/0!</v>
      </c>
      <c r="U143" s="353"/>
    </row>
    <row r="144" spans="1:21" s="84" customFormat="1" ht="24.95" customHeight="1">
      <c r="A144" s="3"/>
      <c r="B144" s="3"/>
      <c r="C144" s="3"/>
      <c r="D144" s="19" t="s">
        <v>1149</v>
      </c>
      <c r="E144" s="170">
        <f>SUM(E137:E143)</f>
        <v>10127.84</v>
      </c>
      <c r="F144" s="160">
        <f t="shared" ref="F144:P144" si="47">SUM(F137:F143)</f>
        <v>9383.52</v>
      </c>
      <c r="G144" s="160">
        <f t="shared" si="47"/>
        <v>7100</v>
      </c>
      <c r="H144" s="160">
        <f t="shared" si="47"/>
        <v>10211.17</v>
      </c>
      <c r="I144" s="160">
        <f t="shared" si="47"/>
        <v>10511.17</v>
      </c>
      <c r="J144" s="160">
        <f t="shared" si="47"/>
        <v>9461.17</v>
      </c>
      <c r="K144" s="160">
        <f t="shared" si="47"/>
        <v>9650</v>
      </c>
      <c r="L144" s="160">
        <f t="shared" si="47"/>
        <v>9950</v>
      </c>
      <c r="M144" s="160">
        <f t="shared" si="47"/>
        <v>11736.45</v>
      </c>
      <c r="N144" s="160">
        <f t="shared" si="47"/>
        <v>13209.36</v>
      </c>
      <c r="O144" s="160">
        <f t="shared" si="47"/>
        <v>8150</v>
      </c>
      <c r="P144" s="160">
        <f t="shared" si="47"/>
        <v>7250</v>
      </c>
      <c r="Q144" s="160">
        <f t="shared" ref="Q144" si="48">SUM(Q137:Q143)</f>
        <v>116740.68</v>
      </c>
      <c r="R144" s="142">
        <f t="shared" si="40"/>
        <v>7.1392294520547939</v>
      </c>
      <c r="S144" s="157"/>
      <c r="T144" s="40" t="e">
        <f t="shared" si="37"/>
        <v>#DIV/0!</v>
      </c>
    </row>
    <row r="145" spans="1:20" s="84" customFormat="1" ht="24.95" customHeight="1">
      <c r="A145" s="3"/>
      <c r="B145" s="3"/>
      <c r="C145" s="3"/>
      <c r="D145" s="3"/>
      <c r="E145" s="3"/>
      <c r="F145" s="3"/>
      <c r="G145" s="3"/>
      <c r="H145" s="3"/>
      <c r="I145" s="3"/>
      <c r="J145" s="3"/>
      <c r="K145" s="3"/>
      <c r="L145" s="3"/>
      <c r="M145" s="161"/>
      <c r="S145" s="157"/>
      <c r="T145" s="40"/>
    </row>
    <row r="146" spans="1:20" s="84" customFormat="1" ht="24.95" customHeight="1">
      <c r="A146" s="3" t="s">
        <v>317</v>
      </c>
      <c r="B146" s="3" t="s">
        <v>661</v>
      </c>
      <c r="C146" s="3"/>
      <c r="D146" s="26" t="s">
        <v>1150</v>
      </c>
      <c r="E146" s="61">
        <v>4094.4</v>
      </c>
      <c r="F146" s="61">
        <v>4094.4</v>
      </c>
      <c r="G146" s="61">
        <v>4094.4</v>
      </c>
      <c r="H146" s="61">
        <v>4094.4</v>
      </c>
      <c r="I146" s="61">
        <v>4094.4</v>
      </c>
      <c r="J146" s="61">
        <v>4094.4</v>
      </c>
      <c r="K146" s="61">
        <v>4094.4</v>
      </c>
      <c r="L146" s="61">
        <v>4094.4</v>
      </c>
      <c r="M146" s="61">
        <v>4094.4</v>
      </c>
      <c r="N146" s="61">
        <v>4094.4</v>
      </c>
      <c r="O146" s="61">
        <v>4094.4</v>
      </c>
      <c r="P146" s="61">
        <v>4094.4</v>
      </c>
      <c r="Q146" s="142">
        <f>SUM(E146:P146)</f>
        <v>49132.80000000001</v>
      </c>
      <c r="R146" s="142">
        <f t="shared" ref="R146:R154" si="49">Q146/$Q$118</f>
        <v>3.0046966731898244</v>
      </c>
      <c r="S146" s="157"/>
      <c r="T146" s="40" t="e">
        <f t="shared" si="37"/>
        <v>#DIV/0!</v>
      </c>
    </row>
    <row r="147" spans="1:20" s="84" customFormat="1" ht="24.95" customHeight="1">
      <c r="A147" s="3" t="s">
        <v>319</v>
      </c>
      <c r="B147" s="3" t="s">
        <v>661</v>
      </c>
      <c r="C147" s="3"/>
      <c r="D147" s="26" t="s">
        <v>1151</v>
      </c>
      <c r="E147" s="61">
        <v>1791.3000000000002</v>
      </c>
      <c r="F147" s="61">
        <v>1791.3000000000002</v>
      </c>
      <c r="G147" s="61">
        <v>1791.3000000000002</v>
      </c>
      <c r="H147" s="61">
        <v>1791.3000000000002</v>
      </c>
      <c r="I147" s="61">
        <v>1791.3000000000002</v>
      </c>
      <c r="J147" s="61">
        <v>1791.3000000000002</v>
      </c>
      <c r="K147" s="61">
        <v>1791.3000000000002</v>
      </c>
      <c r="L147" s="61">
        <v>1791.3000000000002</v>
      </c>
      <c r="M147" s="61">
        <v>1791.3000000000002</v>
      </c>
      <c r="N147" s="61">
        <v>1791.3000000000002</v>
      </c>
      <c r="O147" s="61">
        <v>1791.3000000000002</v>
      </c>
      <c r="P147" s="61">
        <v>1791.3000000000002</v>
      </c>
      <c r="Q147" s="142">
        <f t="shared" ref="Q147:Q153" si="50">SUM(E147:P147)</f>
        <v>21495.599999999995</v>
      </c>
      <c r="R147" s="142">
        <f t="shared" si="49"/>
        <v>1.3145547945205476</v>
      </c>
      <c r="S147" s="157"/>
      <c r="T147" s="40" t="e">
        <f t="shared" si="37"/>
        <v>#DIV/0!</v>
      </c>
    </row>
    <row r="148" spans="1:20" s="84" customFormat="1" ht="24.95" customHeight="1">
      <c r="A148" s="3" t="s">
        <v>321</v>
      </c>
      <c r="B148" s="3" t="s">
        <v>661</v>
      </c>
      <c r="C148" s="3"/>
      <c r="D148" s="26" t="s">
        <v>1152</v>
      </c>
      <c r="E148" s="61">
        <v>127.95</v>
      </c>
      <c r="F148" s="61">
        <v>127.95</v>
      </c>
      <c r="G148" s="61">
        <v>127.95</v>
      </c>
      <c r="H148" s="61">
        <v>127.95</v>
      </c>
      <c r="I148" s="61">
        <v>127.95</v>
      </c>
      <c r="J148" s="61">
        <v>127.95</v>
      </c>
      <c r="K148" s="61">
        <v>127.95</v>
      </c>
      <c r="L148" s="61">
        <v>127.95</v>
      </c>
      <c r="M148" s="61">
        <v>127.95</v>
      </c>
      <c r="N148" s="61">
        <v>127.95</v>
      </c>
      <c r="O148" s="61">
        <v>127.95</v>
      </c>
      <c r="P148" s="61">
        <v>127.95</v>
      </c>
      <c r="Q148" s="142">
        <f t="shared" si="50"/>
        <v>1535.4000000000003</v>
      </c>
      <c r="R148" s="142">
        <f t="shared" si="49"/>
        <v>9.3896771037182011E-2</v>
      </c>
      <c r="S148" s="157"/>
      <c r="T148" s="40" t="e">
        <f t="shared" si="37"/>
        <v>#DIV/0!</v>
      </c>
    </row>
    <row r="149" spans="1:20" s="84" customFormat="1" ht="24.95" customHeight="1">
      <c r="A149" s="3" t="s">
        <v>323</v>
      </c>
      <c r="B149" s="3" t="s">
        <v>661</v>
      </c>
      <c r="C149" s="3"/>
      <c r="D149" s="26" t="s">
        <v>1153</v>
      </c>
      <c r="E149" s="61">
        <v>102.36</v>
      </c>
      <c r="F149" s="61">
        <v>102.36</v>
      </c>
      <c r="G149" s="61">
        <v>102.36</v>
      </c>
      <c r="H149" s="61">
        <v>102.36</v>
      </c>
      <c r="I149" s="61">
        <v>102.36</v>
      </c>
      <c r="J149" s="61">
        <v>102.36</v>
      </c>
      <c r="K149" s="61">
        <v>102.36</v>
      </c>
      <c r="L149" s="61">
        <v>102.36</v>
      </c>
      <c r="M149" s="61">
        <v>102.36</v>
      </c>
      <c r="N149" s="61">
        <v>102.36</v>
      </c>
      <c r="O149" s="61">
        <v>102.36</v>
      </c>
      <c r="P149" s="61">
        <v>102.36</v>
      </c>
      <c r="Q149" s="142">
        <f t="shared" si="50"/>
        <v>1228.32</v>
      </c>
      <c r="R149" s="142">
        <f t="shared" si="49"/>
        <v>7.5117416829745598E-2</v>
      </c>
      <c r="S149" s="157"/>
      <c r="T149" s="40" t="e">
        <f t="shared" si="37"/>
        <v>#DIV/0!</v>
      </c>
    </row>
    <row r="150" spans="1:20" s="84" customFormat="1" ht="24.95" customHeight="1">
      <c r="A150" s="3" t="s">
        <v>325</v>
      </c>
      <c r="B150" s="3" t="s">
        <v>661</v>
      </c>
      <c r="C150" s="3"/>
      <c r="D150" s="26" t="s">
        <v>1154</v>
      </c>
      <c r="E150" s="61">
        <v>204.72</v>
      </c>
      <c r="F150" s="61">
        <v>204.72</v>
      </c>
      <c r="G150" s="61">
        <v>204.72</v>
      </c>
      <c r="H150" s="61">
        <v>204.72</v>
      </c>
      <c r="I150" s="61">
        <v>204.72</v>
      </c>
      <c r="J150" s="61">
        <v>204.72</v>
      </c>
      <c r="K150" s="61">
        <v>204.72</v>
      </c>
      <c r="L150" s="61">
        <v>204.72</v>
      </c>
      <c r="M150" s="61">
        <v>204.72</v>
      </c>
      <c r="N150" s="61">
        <v>204.72</v>
      </c>
      <c r="O150" s="61">
        <v>204.72</v>
      </c>
      <c r="P150" s="61">
        <v>204.72</v>
      </c>
      <c r="Q150" s="142">
        <f t="shared" si="50"/>
        <v>2456.64</v>
      </c>
      <c r="R150" s="142">
        <f t="shared" si="49"/>
        <v>0.1502348336594912</v>
      </c>
      <c r="S150" s="157"/>
      <c r="T150" s="40" t="e">
        <f t="shared" si="37"/>
        <v>#DIV/0!</v>
      </c>
    </row>
    <row r="151" spans="1:20" s="84" customFormat="1" ht="24.95" customHeight="1">
      <c r="A151" s="3" t="s">
        <v>327</v>
      </c>
      <c r="B151" s="3" t="s">
        <v>661</v>
      </c>
      <c r="C151" s="3"/>
      <c r="D151" s="26" t="s">
        <v>1155</v>
      </c>
      <c r="E151" s="61">
        <v>2319</v>
      </c>
      <c r="F151" s="61">
        <v>2319</v>
      </c>
      <c r="G151" s="61">
        <v>2319</v>
      </c>
      <c r="H151" s="61">
        <v>2319</v>
      </c>
      <c r="I151" s="61">
        <v>2319</v>
      </c>
      <c r="J151" s="61">
        <v>2319</v>
      </c>
      <c r="K151" s="61">
        <v>2319</v>
      </c>
      <c r="L151" s="61">
        <v>2319</v>
      </c>
      <c r="M151" s="61">
        <v>2319</v>
      </c>
      <c r="N151" s="61">
        <v>2319</v>
      </c>
      <c r="O151" s="61">
        <v>2319</v>
      </c>
      <c r="P151" s="61">
        <v>2319</v>
      </c>
      <c r="Q151" s="142">
        <f t="shared" si="50"/>
        <v>27828</v>
      </c>
      <c r="R151" s="142">
        <f t="shared" si="49"/>
        <v>1.7018101761252447</v>
      </c>
      <c r="S151" s="157"/>
      <c r="T151" s="40" t="e">
        <f t="shared" si="37"/>
        <v>#DIV/0!</v>
      </c>
    </row>
    <row r="152" spans="1:20" s="84" customFormat="1" ht="24.95" customHeight="1">
      <c r="A152" s="3" t="s">
        <v>329</v>
      </c>
      <c r="B152" s="3" t="s">
        <v>415</v>
      </c>
      <c r="C152" s="3"/>
      <c r="D152" s="26" t="s">
        <v>1156</v>
      </c>
      <c r="E152" s="61">
        <f>ROUND(E135*0.02,2)</f>
        <v>464</v>
      </c>
      <c r="F152" s="61">
        <f t="shared" ref="F152:P152" si="51">ROUND(F135*0.02,2)</f>
        <v>464</v>
      </c>
      <c r="G152" s="61">
        <f t="shared" si="51"/>
        <v>464</v>
      </c>
      <c r="H152" s="61">
        <f t="shared" si="51"/>
        <v>464</v>
      </c>
      <c r="I152" s="61">
        <f t="shared" si="51"/>
        <v>464</v>
      </c>
      <c r="J152" s="61">
        <f t="shared" si="51"/>
        <v>464</v>
      </c>
      <c r="K152" s="61">
        <f t="shared" si="51"/>
        <v>464</v>
      </c>
      <c r="L152" s="61">
        <f t="shared" si="51"/>
        <v>464</v>
      </c>
      <c r="M152" s="61">
        <f t="shared" si="51"/>
        <v>464</v>
      </c>
      <c r="N152" s="61">
        <f t="shared" si="51"/>
        <v>464</v>
      </c>
      <c r="O152" s="61">
        <f t="shared" si="51"/>
        <v>464</v>
      </c>
      <c r="P152" s="61">
        <f t="shared" si="51"/>
        <v>464</v>
      </c>
      <c r="Q152" s="142">
        <f t="shared" si="50"/>
        <v>5568</v>
      </c>
      <c r="R152" s="142">
        <f t="shared" si="49"/>
        <v>0.3405088062622309</v>
      </c>
      <c r="S152" s="157"/>
      <c r="T152" s="40" t="e">
        <f t="shared" si="37"/>
        <v>#DIV/0!</v>
      </c>
    </row>
    <row r="153" spans="1:20" s="84" customFormat="1" ht="24.95" customHeight="1">
      <c r="A153" s="3" t="s">
        <v>331</v>
      </c>
      <c r="B153" s="3" t="s">
        <v>415</v>
      </c>
      <c r="C153" s="3"/>
      <c r="D153" s="26" t="s">
        <v>1157</v>
      </c>
      <c r="E153" s="61">
        <v>0</v>
      </c>
      <c r="F153" s="61"/>
      <c r="G153" s="61"/>
      <c r="H153" s="61"/>
      <c r="I153" s="61"/>
      <c r="J153" s="61"/>
      <c r="K153" s="61"/>
      <c r="L153" s="61"/>
      <c r="M153" s="61"/>
      <c r="N153" s="61"/>
      <c r="O153" s="61"/>
      <c r="P153" s="61"/>
      <c r="Q153" s="142">
        <f t="shared" si="50"/>
        <v>0</v>
      </c>
      <c r="R153" s="142">
        <f t="shared" si="49"/>
        <v>0</v>
      </c>
      <c r="S153" s="157"/>
      <c r="T153" s="40">
        <f t="shared" si="37"/>
        <v>0</v>
      </c>
    </row>
    <row r="154" spans="1:20" s="84" customFormat="1" ht="24.95" customHeight="1">
      <c r="A154" s="3"/>
      <c r="B154" s="3"/>
      <c r="C154" s="3"/>
      <c r="D154" s="19" t="s">
        <v>1158</v>
      </c>
      <c r="E154" s="170">
        <f>SUM(E146:E153)</f>
        <v>9103.73</v>
      </c>
      <c r="F154" s="160">
        <f t="shared" ref="F154:P154" si="52">SUM(F146:F153)</f>
        <v>9103.73</v>
      </c>
      <c r="G154" s="160">
        <f t="shared" si="52"/>
        <v>9103.73</v>
      </c>
      <c r="H154" s="160">
        <f t="shared" si="52"/>
        <v>9103.73</v>
      </c>
      <c r="I154" s="160">
        <f t="shared" si="52"/>
        <v>9103.73</v>
      </c>
      <c r="J154" s="160">
        <f t="shared" si="52"/>
        <v>9103.73</v>
      </c>
      <c r="K154" s="160">
        <f t="shared" si="52"/>
        <v>9103.73</v>
      </c>
      <c r="L154" s="160">
        <f t="shared" si="52"/>
        <v>9103.73</v>
      </c>
      <c r="M154" s="160">
        <f t="shared" si="52"/>
        <v>9103.73</v>
      </c>
      <c r="N154" s="160">
        <f t="shared" si="52"/>
        <v>9103.73</v>
      </c>
      <c r="O154" s="160">
        <f t="shared" si="52"/>
        <v>9103.73</v>
      </c>
      <c r="P154" s="160">
        <f t="shared" si="52"/>
        <v>9103.73</v>
      </c>
      <c r="Q154" s="160">
        <f t="shared" ref="Q154" si="53">SUM(Q146:Q153)</f>
        <v>109244.76000000001</v>
      </c>
      <c r="R154" s="142">
        <f t="shared" si="49"/>
        <v>6.6808194716242664</v>
      </c>
      <c r="S154" s="157"/>
      <c r="T154" s="40" t="e">
        <f t="shared" si="37"/>
        <v>#DIV/0!</v>
      </c>
    </row>
    <row r="155" spans="1:20" s="84" customFormat="1" ht="24.95" customHeight="1">
      <c r="A155" s="3"/>
      <c r="B155" s="3"/>
      <c r="C155" s="3"/>
      <c r="D155" s="3"/>
      <c r="E155" s="3"/>
      <c r="F155" s="3"/>
      <c r="G155" s="3"/>
      <c r="H155" s="3"/>
      <c r="I155" s="3"/>
      <c r="J155" s="3"/>
      <c r="K155" s="3"/>
      <c r="L155" s="3"/>
      <c r="M155" s="161"/>
      <c r="S155" s="157"/>
      <c r="T155" s="40"/>
    </row>
    <row r="156" spans="1:20" s="84" customFormat="1" ht="24.95" hidden="1" customHeight="1">
      <c r="A156" s="3" t="s">
        <v>334</v>
      </c>
      <c r="B156" s="3" t="s">
        <v>415</v>
      </c>
      <c r="C156" s="3"/>
      <c r="D156" s="26" t="s">
        <v>1159</v>
      </c>
      <c r="E156" s="61">
        <v>0</v>
      </c>
      <c r="F156" s="63">
        <v>0</v>
      </c>
      <c r="G156" s="63">
        <v>0</v>
      </c>
      <c r="H156" s="63">
        <v>0</v>
      </c>
      <c r="I156" s="63">
        <v>0</v>
      </c>
      <c r="J156" s="63">
        <v>0</v>
      </c>
      <c r="K156" s="63">
        <v>0</v>
      </c>
      <c r="L156" s="63">
        <v>0</v>
      </c>
      <c r="M156" s="61">
        <v>0</v>
      </c>
      <c r="N156" s="142">
        <v>0</v>
      </c>
      <c r="O156" s="142">
        <v>0</v>
      </c>
      <c r="P156" s="142">
        <v>0</v>
      </c>
      <c r="Q156" s="142">
        <f>SUM(E156:P156)</f>
        <v>0</v>
      </c>
      <c r="R156" s="142"/>
      <c r="S156" s="157"/>
      <c r="T156" s="40">
        <f t="shared" si="37"/>
        <v>0</v>
      </c>
    </row>
    <row r="157" spans="1:20" s="84" customFormat="1" ht="24.95" hidden="1" customHeight="1">
      <c r="A157" s="3" t="s">
        <v>336</v>
      </c>
      <c r="B157" s="3" t="s">
        <v>415</v>
      </c>
      <c r="C157" s="3"/>
      <c r="D157" s="3" t="s">
        <v>1160</v>
      </c>
      <c r="E157" s="61">
        <v>0</v>
      </c>
      <c r="F157" s="63">
        <v>0</v>
      </c>
      <c r="G157" s="63">
        <v>0</v>
      </c>
      <c r="H157" s="63">
        <v>0</v>
      </c>
      <c r="I157" s="63">
        <v>0</v>
      </c>
      <c r="J157" s="63">
        <v>0</v>
      </c>
      <c r="K157" s="63">
        <v>0</v>
      </c>
      <c r="L157" s="63">
        <v>0</v>
      </c>
      <c r="M157" s="61">
        <v>0</v>
      </c>
      <c r="N157" s="142">
        <v>0</v>
      </c>
      <c r="O157" s="142">
        <v>0</v>
      </c>
      <c r="P157" s="142">
        <v>0</v>
      </c>
      <c r="Q157" s="142">
        <f t="shared" ref="Q157:Q162" si="54">SUM(E157:P157)</f>
        <v>0</v>
      </c>
      <c r="R157" s="142"/>
      <c r="S157" s="157"/>
      <c r="T157" s="40">
        <f t="shared" si="37"/>
        <v>0</v>
      </c>
    </row>
    <row r="158" spans="1:20" s="84" customFormat="1" ht="24.95" hidden="1" customHeight="1">
      <c r="A158" s="3" t="s">
        <v>338</v>
      </c>
      <c r="B158" s="3" t="s">
        <v>415</v>
      </c>
      <c r="C158" s="3"/>
      <c r="D158" s="26" t="s">
        <v>1161</v>
      </c>
      <c r="E158" s="61">
        <v>0</v>
      </c>
      <c r="F158" s="63">
        <v>0</v>
      </c>
      <c r="G158" s="63">
        <v>0</v>
      </c>
      <c r="H158" s="63">
        <v>0</v>
      </c>
      <c r="I158" s="63">
        <v>0</v>
      </c>
      <c r="J158" s="63">
        <v>0</v>
      </c>
      <c r="K158" s="63">
        <v>0</v>
      </c>
      <c r="L158" s="63">
        <v>0</v>
      </c>
      <c r="M158" s="61">
        <v>0</v>
      </c>
      <c r="N158" s="142">
        <v>0</v>
      </c>
      <c r="O158" s="142">
        <v>0</v>
      </c>
      <c r="P158" s="142">
        <v>0</v>
      </c>
      <c r="Q158" s="142">
        <f t="shared" si="54"/>
        <v>0</v>
      </c>
      <c r="R158" s="142"/>
      <c r="S158" s="157"/>
      <c r="T158" s="40">
        <f t="shared" si="37"/>
        <v>0</v>
      </c>
    </row>
    <row r="159" spans="1:20" s="84" customFormat="1" ht="24.95" hidden="1" customHeight="1">
      <c r="A159" s="3" t="s">
        <v>340</v>
      </c>
      <c r="B159" s="3" t="s">
        <v>415</v>
      </c>
      <c r="C159" s="3"/>
      <c r="D159" s="26" t="s">
        <v>1162</v>
      </c>
      <c r="E159" s="61">
        <v>0</v>
      </c>
      <c r="F159" s="63">
        <v>0</v>
      </c>
      <c r="G159" s="63">
        <v>0</v>
      </c>
      <c r="H159" s="63">
        <v>0</v>
      </c>
      <c r="I159" s="63">
        <v>0</v>
      </c>
      <c r="J159" s="63">
        <v>0</v>
      </c>
      <c r="K159" s="63">
        <v>0</v>
      </c>
      <c r="L159" s="63">
        <v>0</v>
      </c>
      <c r="M159" s="61">
        <v>0</v>
      </c>
      <c r="N159" s="142">
        <v>0</v>
      </c>
      <c r="O159" s="142">
        <v>0</v>
      </c>
      <c r="P159" s="142">
        <v>0</v>
      </c>
      <c r="Q159" s="142">
        <f t="shared" si="54"/>
        <v>0</v>
      </c>
      <c r="R159" s="142"/>
      <c r="S159" s="157"/>
      <c r="T159" s="40">
        <f t="shared" si="37"/>
        <v>0</v>
      </c>
    </row>
    <row r="160" spans="1:20" s="84" customFormat="1" ht="24.95" customHeight="1">
      <c r="A160" s="3" t="s">
        <v>342</v>
      </c>
      <c r="B160" s="3" t="s">
        <v>661</v>
      </c>
      <c r="C160" s="3"/>
      <c r="D160" s="26" t="s">
        <v>1163</v>
      </c>
      <c r="E160" s="61">
        <v>0</v>
      </c>
      <c r="F160" s="61"/>
      <c r="G160" s="61"/>
      <c r="H160" s="61"/>
      <c r="I160" s="61"/>
      <c r="J160" s="61"/>
      <c r="K160" s="61"/>
      <c r="L160" s="61"/>
      <c r="M160" s="61"/>
      <c r="N160" s="61"/>
      <c r="O160" s="61"/>
      <c r="P160" s="61"/>
      <c r="Q160" s="142">
        <f t="shared" si="54"/>
        <v>0</v>
      </c>
      <c r="R160" s="142">
        <f>Q160/$Q$118</f>
        <v>0</v>
      </c>
      <c r="S160" s="157"/>
      <c r="T160" s="40">
        <f t="shared" si="37"/>
        <v>0</v>
      </c>
    </row>
    <row r="161" spans="1:20" s="84" customFormat="1" ht="24.95" customHeight="1">
      <c r="A161" s="3" t="s">
        <v>344</v>
      </c>
      <c r="B161" s="3" t="s">
        <v>661</v>
      </c>
      <c r="C161" s="3"/>
      <c r="D161" s="26" t="s">
        <v>1164</v>
      </c>
      <c r="E161" s="61">
        <v>0</v>
      </c>
      <c r="F161" s="61"/>
      <c r="G161" s="61"/>
      <c r="H161" s="61"/>
      <c r="I161" s="61"/>
      <c r="J161" s="61"/>
      <c r="K161" s="61"/>
      <c r="L161" s="61"/>
      <c r="M161" s="61"/>
      <c r="N161" s="61"/>
      <c r="O161" s="61"/>
      <c r="P161" s="61"/>
      <c r="Q161" s="142">
        <f t="shared" si="54"/>
        <v>0</v>
      </c>
      <c r="R161" s="142">
        <f>Q161/$Q$118</f>
        <v>0</v>
      </c>
      <c r="S161" s="157"/>
      <c r="T161" s="40">
        <f t="shared" si="37"/>
        <v>0</v>
      </c>
    </row>
    <row r="162" spans="1:20" s="84" customFormat="1" ht="24.95" customHeight="1">
      <c r="A162" s="3" t="s">
        <v>346</v>
      </c>
      <c r="B162" s="3" t="s">
        <v>661</v>
      </c>
      <c r="C162" s="3"/>
      <c r="D162" s="26" t="s">
        <v>1165</v>
      </c>
      <c r="E162" s="61">
        <f>'Staff Canteen'!E205</f>
        <v>6085.51</v>
      </c>
      <c r="F162" s="61">
        <f>'Staff Canteen'!F205</f>
        <v>6360.87</v>
      </c>
      <c r="G162" s="61">
        <f>'Staff Canteen'!G205</f>
        <v>5947.83</v>
      </c>
      <c r="H162" s="61">
        <f>'Staff Canteen'!H205</f>
        <v>6085.51</v>
      </c>
      <c r="I162" s="61">
        <f>'Staff Canteen'!I205</f>
        <v>6085.51</v>
      </c>
      <c r="J162" s="61">
        <f>'Staff Canteen'!J205</f>
        <v>6085.51</v>
      </c>
      <c r="K162" s="61">
        <f>'Staff Canteen'!K205</f>
        <v>5947.83</v>
      </c>
      <c r="L162" s="61">
        <f>'Staff Canteen'!L205</f>
        <v>5947.83</v>
      </c>
      <c r="M162" s="61">
        <f>'Staff Canteen'!M205</f>
        <v>6085.51</v>
      </c>
      <c r="N162" s="61">
        <f>'Staff Canteen'!N205</f>
        <v>6360.87</v>
      </c>
      <c r="O162" s="61">
        <f>'Staff Canteen'!O205</f>
        <v>5947.83</v>
      </c>
      <c r="P162" s="61">
        <f>'Staff Canteen'!P205</f>
        <v>5947.83</v>
      </c>
      <c r="Q162" s="142">
        <f t="shared" si="54"/>
        <v>72888.440000000017</v>
      </c>
      <c r="R162" s="142">
        <f>Q162/$Q$118</f>
        <v>4.4574633072407055</v>
      </c>
      <c r="S162" s="157"/>
      <c r="T162" s="40" t="e">
        <f t="shared" si="37"/>
        <v>#DIV/0!</v>
      </c>
    </row>
    <row r="163" spans="1:20" s="84" customFormat="1" ht="24.95" customHeight="1">
      <c r="A163" s="3"/>
      <c r="B163" s="3"/>
      <c r="C163" s="3"/>
      <c r="D163" s="19" t="s">
        <v>1166</v>
      </c>
      <c r="E163" s="170">
        <f>SUM(E156:E162)</f>
        <v>6085.51</v>
      </c>
      <c r="F163" s="160">
        <f t="shared" ref="F163:Q163" si="55">SUM(F156:F162)</f>
        <v>6360.87</v>
      </c>
      <c r="G163" s="160">
        <f t="shared" si="55"/>
        <v>5947.83</v>
      </c>
      <c r="H163" s="160">
        <f t="shared" si="55"/>
        <v>6085.51</v>
      </c>
      <c r="I163" s="160">
        <f t="shared" si="55"/>
        <v>6085.51</v>
      </c>
      <c r="J163" s="160">
        <f t="shared" si="55"/>
        <v>6085.51</v>
      </c>
      <c r="K163" s="160">
        <f t="shared" si="55"/>
        <v>5947.83</v>
      </c>
      <c r="L163" s="160">
        <f t="shared" si="55"/>
        <v>5947.83</v>
      </c>
      <c r="M163" s="160">
        <f t="shared" si="55"/>
        <v>6085.51</v>
      </c>
      <c r="N163" s="160">
        <f t="shared" si="55"/>
        <v>6360.87</v>
      </c>
      <c r="O163" s="160">
        <f t="shared" si="55"/>
        <v>5947.83</v>
      </c>
      <c r="P163" s="160">
        <f t="shared" si="55"/>
        <v>5947.83</v>
      </c>
      <c r="Q163" s="160">
        <f t="shared" si="55"/>
        <v>72888.440000000017</v>
      </c>
      <c r="R163" s="142">
        <f>Q163/$Q$118</f>
        <v>4.4574633072407055</v>
      </c>
      <c r="S163" s="157"/>
      <c r="T163" s="40" t="e">
        <f t="shared" si="37"/>
        <v>#DIV/0!</v>
      </c>
    </row>
    <row r="164" spans="1:20" s="84" customFormat="1" ht="24.95" customHeight="1">
      <c r="A164" s="3"/>
      <c r="B164" s="3"/>
      <c r="C164" s="3"/>
      <c r="D164" s="19" t="s">
        <v>1167</v>
      </c>
      <c r="E164" s="170">
        <f>E135+E144+E154+E163</f>
        <v>48517.079999999994</v>
      </c>
      <c r="F164" s="160">
        <f t="shared" ref="F164:Q164" si="56">F135+F144+F154+F163</f>
        <v>48048.12</v>
      </c>
      <c r="G164" s="160">
        <f t="shared" si="56"/>
        <v>45351.56</v>
      </c>
      <c r="H164" s="160">
        <f t="shared" si="56"/>
        <v>48600.409999999996</v>
      </c>
      <c r="I164" s="160">
        <f t="shared" si="56"/>
        <v>48900.409999999996</v>
      </c>
      <c r="J164" s="160">
        <f t="shared" si="56"/>
        <v>47850.409999999996</v>
      </c>
      <c r="K164" s="160">
        <f t="shared" si="56"/>
        <v>47901.56</v>
      </c>
      <c r="L164" s="160">
        <f t="shared" si="56"/>
        <v>48201.56</v>
      </c>
      <c r="M164" s="160">
        <f t="shared" si="56"/>
        <v>50125.689999999995</v>
      </c>
      <c r="N164" s="160">
        <f t="shared" si="56"/>
        <v>51873.96</v>
      </c>
      <c r="O164" s="160">
        <f t="shared" si="56"/>
        <v>46401.56</v>
      </c>
      <c r="P164" s="160">
        <f t="shared" si="56"/>
        <v>45501.56</v>
      </c>
      <c r="Q164" s="160">
        <f t="shared" si="56"/>
        <v>577273.88</v>
      </c>
      <c r="R164" s="142">
        <f>Q164/$Q$118</f>
        <v>35.302952544031314</v>
      </c>
      <c r="S164" s="157"/>
      <c r="T164" s="40" t="e">
        <f t="shared" si="37"/>
        <v>#DIV/0!</v>
      </c>
    </row>
    <row r="165" spans="1:20" s="42" customFormat="1" ht="24.95" customHeight="1">
      <c r="E165" s="301"/>
      <c r="Q165" s="42">
        <f>Q164-Q142-Q143</f>
        <v>507523.88</v>
      </c>
      <c r="S165" s="157"/>
      <c r="T165" s="40"/>
    </row>
    <row r="166" spans="1:20" s="84" customFormat="1" ht="24.95" customHeight="1">
      <c r="A166" s="3" t="s">
        <v>105</v>
      </c>
      <c r="B166" s="3" t="s">
        <v>661</v>
      </c>
      <c r="C166" s="3"/>
      <c r="D166" s="19" t="s">
        <v>1168</v>
      </c>
      <c r="E166" s="68">
        <v>4</v>
      </c>
      <c r="F166" s="68">
        <v>4</v>
      </c>
      <c r="G166" s="68">
        <v>4</v>
      </c>
      <c r="H166" s="68">
        <v>4</v>
      </c>
      <c r="I166" s="68">
        <v>4</v>
      </c>
      <c r="J166" s="68">
        <v>4</v>
      </c>
      <c r="K166" s="68">
        <v>4</v>
      </c>
      <c r="L166" s="68">
        <v>4</v>
      </c>
      <c r="M166" s="68">
        <v>4</v>
      </c>
      <c r="N166" s="68">
        <v>4</v>
      </c>
      <c r="O166" s="68">
        <v>4</v>
      </c>
      <c r="P166" s="68">
        <v>4</v>
      </c>
      <c r="Q166" s="68">
        <v>4</v>
      </c>
      <c r="R166" s="167"/>
      <c r="S166" s="157"/>
      <c r="T166" s="40" t="e">
        <f t="shared" si="37"/>
        <v>#DIV/0!</v>
      </c>
    </row>
    <row r="167" spans="1:20" ht="26.25" customHeight="1">
      <c r="E167" s="86"/>
    </row>
  </sheetData>
  <phoneticPr fontId="57" type="noConversion"/>
  <dataValidations count="5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44987.9_x000d__x000a_" sqref="E21:P21">
      <formula1>0</formula1>
      <formula2>300</formula2>
    </dataValidation>
    <dataValidation type="textLength" errorStyle="information" allowBlank="1" showInputMessage="1" showErrorMessage="1" error="XLBVal:6=1067901.23_x000d__x000a_" sqref="E37:P37">
      <formula1>0</formula1>
      <formula2>300</formula2>
    </dataValidation>
    <dataValidation type="textLength" errorStyle="information" allowBlank="1" showInputMessage="1" showErrorMessage="1" error="XLBVal:6=209604.31_x000d__x000a_" sqref="E28:P28">
      <formula1>0</formula1>
      <formula2>300</formula2>
    </dataValidation>
    <dataValidation type="textLength" errorStyle="information" allowBlank="1" showInputMessage="1" showErrorMessage="1" error="XLBVal:6=623590.56_x000d__x000a_" sqref="E14:P14">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5=2443234.73_x000d__x000a_" sqref="E30:E31">
      <formula1>0</formula1>
      <formula2>300</formula2>
    </dataValidation>
    <dataValidation type="textLength" errorStyle="information" allowBlank="1" showInputMessage="1" showErrorMessage="1" error="XLBVal:5=1285238.57_x000d__x000a_" sqref="F17:R17 E25:R25 E35:R35 R37 E17:E19">
      <formula1>0</formula1>
      <formula2>300</formula2>
    </dataValidation>
    <dataValidation type="textLength" errorStyle="information" allowBlank="1" showInputMessage="1" showErrorMessage="1" error="XLBVal:6=3973_x000d__x000a_" sqref="E114:P114">
      <formula1>0</formula1>
      <formula2>300</formula2>
    </dataValidation>
    <dataValidation type="textLength" errorStyle="information" allowBlank="1" showInputMessage="1" showErrorMessage="1" error="XLBVal:6=7235.47_x000d__x000a_" sqref="E20:P20">
      <formula1>0</formula1>
      <formula2>300</formula2>
    </dataValidation>
    <dataValidation type="textLength" errorStyle="information" allowBlank="1" showInputMessage="1" showErrorMessage="1" error="XLBVal:6=2660698_x000d__x000a_" sqref="Q146:Q153">
      <formula1>0</formula1>
      <formula2>300</formula2>
    </dataValidation>
    <dataValidation type="textLength" errorStyle="information" allowBlank="1" showInputMessage="1" showErrorMessage="1" error="XLBVal:6=24659.36_x000d__x000a_" sqref="E22:P22">
      <formula1>0</formula1>
      <formula2>300</formula2>
    </dataValidation>
    <dataValidation type="textLength" errorStyle="information" allowBlank="1" showInputMessage="1" showErrorMessage="1" error="XLBVal:6=135079.02_x000d__x000a_" sqref="E26:P26">
      <formula1>0</formula1>
      <formula2>300</formula2>
    </dataValidation>
    <dataValidation type="textLength" errorStyle="information" allowBlank="1" showInputMessage="1" showErrorMessage="1" error="XLBVal:6=530000_x000d__x000a_" sqref="Q26">
      <formula1>0</formula1>
      <formula2>300</formula2>
    </dataValidation>
    <dataValidation type="textLength" errorStyle="information" allowBlank="1" showInputMessage="1" showErrorMessage="1" error="XLBVal:6=21065.12_x000d__x000a_" sqref="E33:P33">
      <formula1>0</formula1>
      <formula2>300</formula2>
    </dataValidation>
    <dataValidation type="textLength" errorStyle="information" allowBlank="1" showInputMessage="1" showErrorMessage="1" error="XLBVal:6=38233.14_x000d__x000a_" sqref="E27:P27">
      <formula1>0</formula1>
      <formula2>300</formula2>
    </dataValidation>
    <dataValidation type="textLength" errorStyle="information" allowBlank="1" showInputMessage="1" showErrorMessage="1" error="XLBVal:6=603500_x000d__x000a_" sqref="Q27">
      <formula1>0</formula1>
      <formula2>300</formula2>
    </dataValidation>
    <dataValidation type="textLength" errorStyle="information" allowBlank="1" showInputMessage="1" showErrorMessage="1" error="XLBVal:6=2215012_x000d__x000a_" sqref="Q28">
      <formula1>0</formula1>
      <formula2>300</formula2>
    </dataValidation>
    <dataValidation type="textLength" errorStyle="information" allowBlank="1" showInputMessage="1" showErrorMessage="1" error="XLBVal:6=202115.08_x000d__x000a_" sqref="E29:R29">
      <formula1>0</formula1>
      <formula2>300</formula2>
    </dataValidation>
    <dataValidation type="textLength" errorStyle="information" allowBlank="1" showInputMessage="1" showErrorMessage="1" error="XLBVal:6=694785.13_x000d__x000a_" sqref="E32:P32">
      <formula1>0</formula1>
      <formula2>300</formula2>
    </dataValidation>
    <dataValidation type="textLength" errorStyle="information" allowBlank="1" showInputMessage="1" showErrorMessage="1" error="XLBVal:6=4423_x000d__x000a_" sqref="E113:P113">
      <formula1>0</formula1>
      <formula2>300</formula2>
    </dataValidation>
    <dataValidation type="textLength" errorStyle="information" allowBlank="1" showInputMessage="1" showErrorMessage="1" error="XLBVal:2=0_x000d__x000a_" sqref="E34:P34 E36:L36 E109:R109 F118:R118 Q99:R108 Q40:R96 R166 E116:E118 Q133:Q134 Q156:Q162 R26:R28 E153:P153 R133:R135 R146:R154 R156:R164 E15:P16 E23:P24 Q113:R117 F156:P159 R137:R144 Q20:R24 Q12:R16 F116:P117 G40:P40 Q132:R132 E156:E161 E76:P94 E134 R32:R34 E137:P137 E97:R98 E139:P143 F38:F40 E40:E74 E99:P107 F41:P74">
      <formula1>0</formula1>
      <formula2>300</formula2>
    </dataValidation>
    <dataValidation type="textLength" errorStyle="information" allowBlank="1" showInputMessage="1" showErrorMessage="1" error="XLBVal:6=30983026_x000d__x000a_" sqref="Q37">
      <formula1>0</formula1>
      <formula2>300</formula2>
    </dataValidation>
    <dataValidation type="textLength" errorStyle="information" allowBlank="1" showInputMessage="1" showErrorMessage="1" error="XLBVal:6=20831.4_x000d__x000a_" sqref="E75:P75">
      <formula1>0</formula1>
      <formula2>300</formula2>
    </dataValidation>
    <dataValidation type="textLength" errorStyle="information" allowBlank="1" showInputMessage="1" showErrorMessage="1" error="XLBVal:6=1254.81_x000d__x000a_" sqref="E95:P95">
      <formula1>0</formula1>
      <formula2>300</formula2>
    </dataValidation>
    <dataValidation type="textLength" errorStyle="information" allowBlank="1" showInputMessage="1" showErrorMessage="1" error="XLBVal:6=14493.95_x000d__x000a_" sqref="E96:P96">
      <formula1>0</formula1>
      <formula2>300</formula2>
    </dataValidation>
    <dataValidation type="textLength" errorStyle="information" allowBlank="1" showInputMessage="1" showErrorMessage="1" error="XLBVal:6=108592.14_x000d__x000a_" sqref="E108:P108">
      <formula1>0</formula1>
      <formula2>300</formula2>
    </dataValidation>
    <dataValidation type="textLength" errorStyle="information" allowBlank="1" showInputMessage="1" showErrorMessage="1" error="XLBVal:6=0_x000d__x000a_" sqref="E110:R110">
      <formula1>0</formula1>
      <formula2>300</formula2>
    </dataValidation>
    <dataValidation type="textLength" errorStyle="information" allowBlank="1" showInputMessage="1" showErrorMessage="1" error="XLBVal:6=21902.24_x000d__x000a_" sqref="F160:P161">
      <formula1>0</formula1>
      <formula2>300</formula2>
    </dataValidation>
    <dataValidation type="textLength" errorStyle="information" allowBlank="1" showInputMessage="1" showErrorMessage="1" error="XLBVal:6=3239.86_x000d__x000a_" sqref="E111:R111">
      <formula1>0</formula1>
      <formula2>300</formula2>
    </dataValidation>
    <dataValidation type="textLength" errorStyle="information" allowBlank="1" showInputMessage="1" showErrorMessage="1" error="XLBVal:6=699_x000d__x000a_" sqref="E115:P115">
      <formula1>0</formula1>
      <formula2>300</formula2>
    </dataValidation>
    <dataValidation type="textLength" errorStyle="information" allowBlank="1" showInputMessage="1" showErrorMessage="1" sqref="E119:L119 H127:L127 H128:R128 F121:R126 E121:E131 F166:P166 F165:L165 E165:E166 H129:L129 F127:G129 F131:L131 F130:O130">
      <formula1>0</formula1>
      <formula2>300</formula2>
    </dataValidation>
    <dataValidation type="textLength" errorStyle="information" allowBlank="1" showInputMessage="1" showErrorMessage="1" error="XLBVal:6=324047.45_x000d__x000a_" sqref="F134:P134">
      <formula1>0</formula1>
      <formula2>300</formula2>
    </dataValidation>
    <dataValidation type="textLength" errorStyle="information" allowBlank="1" showInputMessage="1" showErrorMessage="1" error="XLBVal:6=3678_x000d__x000a_" sqref="E155:L155">
      <formula1>0</formula1>
      <formula2>300</formula2>
    </dataValidation>
    <dataValidation type="textLength" errorStyle="information" allowBlank="1" showInputMessage="1" showErrorMessage="1" error="XLBVal:6=132_x000d__x000a_" sqref="Q166">
      <formula1>0</formula1>
      <formula2>300</formula2>
    </dataValidation>
    <dataValidation type="textLength" errorStyle="information" allowBlank="1" showInputMessage="1" showErrorMessage="1" error="XLBVal:6=6688509.16_x000d__x000a_" sqref="E38:E39">
      <formula1>0</formula1>
      <formula2>300</formula2>
    </dataValidation>
    <dataValidation type="textLength" errorStyle="information" allowBlank="1" showInputMessage="1" showErrorMessage="1" error="XLBVal:5=0_x000d__x000a_" sqref="F18:F19 F30:F31">
      <formula1>0</formula1>
      <formula2>300</formula2>
    </dataValidation>
    <dataValidation type="textLength" errorStyle="information" allowBlank="1" showInputMessage="1" showErrorMessage="1" error="XLBVal:6=25196619_x000d__x000a_" sqref="Q32:Q34">
      <formula1>0</formula1>
      <formula2>300</formula2>
    </dataValidation>
    <dataValidation type="textLength" errorStyle="information" allowBlank="1" showInputMessage="1" showErrorMessage="1" error="XLBVal:6=995082_x000d__x000a_" sqref="Q137:Q143">
      <formula1>0</formula1>
      <formula2>300</formula2>
    </dataValidation>
    <dataValidation type="textLength" errorStyle="information" allowBlank="1" showInputMessage="1" showErrorMessage="1" error="XLBVal:5=1616616_x000d__x000a_" sqref="G18:L19">
      <formula1>0</formula1>
      <formula2>300</formula2>
    </dataValidation>
    <dataValidation type="textLength" errorStyle="information" allowBlank="1" showInputMessage="1" showErrorMessage="1" error="XLBVal:5=3384188.86_x000d__x000a_" sqref="G30:L31">
      <formula1>0</formula1>
      <formula2>300</formula2>
    </dataValidation>
    <dataValidation type="textLength" errorStyle="information" allowBlank="1" showInputMessage="1" showErrorMessage="1" error="XLBVal:6=6595485.04_x000d__x000a_" sqref="G38:L39">
      <formula1>0</formula1>
      <formula2>300</formula2>
    </dataValidation>
    <dataValidation type="textLength" errorStyle="information" allowBlank="1" showInputMessage="1" showErrorMessage="1" error="XLBVal:6=324_x000d__x000a_" sqref="E152:P152">
      <formula1>0</formula1>
      <formula2>300</formula2>
    </dataValidation>
    <dataValidation type="textLength" errorStyle="information" allowBlank="1" showInputMessage="1" showErrorMessage="1" error="XLBVal:6=143.66_x000d__x000a_" sqref="E150:P150">
      <formula1>0</formula1>
      <formula2>300</formula2>
    </dataValidation>
    <dataValidation type="textLength" errorStyle="information" allowBlank="1" showInputMessage="1" showErrorMessage="1" error="XLBVal:6=1875_x000d__x000a_" sqref="E162:P162">
      <formula1>0</formula1>
      <formula2>300</formula2>
    </dataValidation>
    <dataValidation type="textLength" errorStyle="information" allowBlank="1" showInputMessage="1" showErrorMessage="1" error="XLBVal:6=1752_x000d__x000a_" sqref="E151:P151">
      <formula1>0</formula1>
      <formula2>300</formula2>
    </dataValidation>
    <dataValidation type="textLength" errorStyle="information" allowBlank="1" showInputMessage="1" showErrorMessage="1" error="XLBVal:6=72.82_x000d__x000a_" sqref="E149:P149">
      <formula1>0</formula1>
      <formula2>300</formula2>
    </dataValidation>
    <dataValidation type="textLength" errorStyle="information" allowBlank="1" showInputMessage="1" showErrorMessage="1" error="XLBVal:6=91.02_x000d__x000a_" sqref="E148:P148">
      <formula1>0</formula1>
      <formula2>300</formula2>
    </dataValidation>
    <dataValidation type="textLength" errorStyle="information" allowBlank="1" showInputMessage="1" showErrorMessage="1" error="XLBVal:6=1436.64_x000d__x000a_" sqref="E147:P147">
      <formula1>0</formula1>
      <formula2>300</formula2>
    </dataValidation>
    <dataValidation type="textLength" errorStyle="information" allowBlank="1" showInputMessage="1" showErrorMessage="1" error="XLBVal:6=2912.32_x000d__x000a_" sqref="E146:P146">
      <formula1>0</formula1>
      <formula2>300</formula2>
    </dataValidation>
    <dataValidation type="textLength" errorStyle="information" allowBlank="1" showInputMessage="1" showErrorMessage="1" error="XLBVal:6=8200_x000d__x000a_" sqref="E133:P133">
      <formula1>0</formula1>
      <formula2>300</formula2>
    </dataValidation>
    <dataValidation type="textLength" errorStyle="information" allowBlank="1" showInputMessage="1" showErrorMessage="1" error="XLBVal:6=8000_x000d__x000a_" sqref="E132:P132">
      <formula1>0</formula1>
      <formula2>300</formula2>
    </dataValidation>
    <dataValidation type="textLength" errorStyle="information" allowBlank="1" showInputMessage="1" showErrorMessage="1" error="XLBVal:6=3_x000d__x000a_" sqref="E167">
      <formula1>0</formula1>
      <formula2>300</formula2>
    </dataValidation>
    <dataValidation type="textLength" errorStyle="information" allowBlank="1" showInputMessage="1" showErrorMessage="1" error="XLBVal:6=1350.01_x000d__x000a_" sqref="E138:P138">
      <formula1>0</formula1>
      <formula2>300</formula2>
    </dataValidation>
  </dataValidations>
  <printOptions horizontalCentered="1"/>
  <pageMargins left="0.118110236220472" right="0.118110236220472" top="0.59055118110236204" bottom="0.39370078740157499" header="0" footer="0"/>
  <pageSetup paperSize="9" scale="38" fitToHeight="0" orientation="landscape" r:id="rId1"/>
  <headerFooter>
    <oddFooter>&amp;L&amp;"微软雅黑,Regular"&amp;F&amp;C&amp;"微软雅黑,Regular"Page &amp;P of &amp;N&amp;R&amp;"微软雅黑,Regular"&amp;D</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tabColor rgb="FF00B050"/>
    <pageSetUpPr fitToPage="1"/>
  </sheetPr>
  <dimension ref="A1:U277"/>
  <sheetViews>
    <sheetView zoomScale="50" zoomScaleNormal="50" zoomScaleSheetLayoutView="40" workbookViewId="0">
      <pane xSplit="4" ySplit="11" topLeftCell="E12" activePane="bottomRight" state="frozen"/>
      <selection activeCell="D1" sqref="D1"/>
      <selection pane="topRight" activeCell="E1" sqref="E1"/>
      <selection pane="bottomLeft" activeCell="D12" sqref="D12"/>
      <selection pane="bottomRight" activeCell="J145" sqref="J145"/>
    </sheetView>
  </sheetViews>
  <sheetFormatPr defaultColWidth="8.875" defaultRowHeight="26.25" customHeight="1" outlineLevelRow="1" outlineLevelCol="1"/>
  <cols>
    <col min="1" max="3" width="15.5" style="5" hidden="1" customWidth="1" outlineLevel="1"/>
    <col min="4" max="4" width="88.125" style="6" customWidth="1" collapsed="1"/>
    <col min="5" max="9" width="19.625" style="7" customWidth="1"/>
    <col min="10" max="16" width="19.625" style="5" customWidth="1"/>
    <col min="17" max="17" width="24.625" style="5" customWidth="1"/>
    <col min="18" max="18" width="28.125" style="5" hidden="1" customWidth="1"/>
    <col min="19" max="19" width="11.125" style="5" customWidth="1"/>
    <col min="20" max="20" width="22.5" style="8" hidden="1" customWidth="1"/>
    <col min="21" max="21" width="22.5" style="5" hidden="1" customWidth="1"/>
    <col min="22" max="22" width="25.5" style="5" customWidth="1"/>
    <col min="23" max="23" width="25.375" style="5" customWidth="1"/>
    <col min="24" max="16384" width="8.875" style="5"/>
  </cols>
  <sheetData>
    <row r="1" spans="1:21" s="1" customFormat="1" ht="15" customHeight="1" outlineLevel="1">
      <c r="E1" s="9"/>
      <c r="F1" s="9"/>
      <c r="G1" s="9"/>
      <c r="H1" s="9"/>
      <c r="I1" s="9"/>
      <c r="J1" s="9"/>
      <c r="K1" s="9"/>
      <c r="L1" s="9"/>
      <c r="M1" s="9"/>
      <c r="N1" s="9"/>
      <c r="O1" s="9"/>
      <c r="P1" s="9"/>
      <c r="Q1" s="9"/>
      <c r="R1" s="9" t="s">
        <v>14</v>
      </c>
      <c r="T1" s="32"/>
    </row>
    <row r="2" spans="1:21" s="1" customFormat="1" ht="15" customHeight="1" outlineLevel="1">
      <c r="E2" s="9"/>
      <c r="F2" s="9"/>
      <c r="G2" s="9"/>
      <c r="H2" s="9"/>
      <c r="I2" s="9"/>
      <c r="J2" s="9"/>
      <c r="K2" s="9"/>
      <c r="L2" s="9"/>
      <c r="M2" s="9"/>
      <c r="N2" s="9"/>
      <c r="O2" s="9"/>
      <c r="P2" s="9"/>
      <c r="Q2" s="9"/>
      <c r="R2" s="9" t="s">
        <v>15</v>
      </c>
      <c r="T2" s="32"/>
    </row>
    <row r="3" spans="1:21" s="1" customFormat="1" ht="15" customHeight="1" outlineLevel="1">
      <c r="E3" s="9"/>
      <c r="F3" s="9"/>
      <c r="G3" s="9"/>
      <c r="H3" s="9"/>
      <c r="I3" s="9"/>
      <c r="J3" s="9"/>
      <c r="K3" s="9"/>
      <c r="L3" s="9"/>
      <c r="M3" s="9"/>
      <c r="N3" s="9"/>
      <c r="O3" s="9"/>
      <c r="P3" s="9"/>
      <c r="Q3" s="9"/>
      <c r="R3" s="9" t="s">
        <v>375</v>
      </c>
      <c r="T3" s="32"/>
    </row>
    <row r="4" spans="1:21" s="2" customFormat="1" ht="24.95" customHeight="1">
      <c r="D4" s="10" t="str">
        <f>Summary!$D$4</f>
        <v>Hotel Budget Report</v>
      </c>
      <c r="E4" s="11"/>
      <c r="F4" s="11"/>
      <c r="G4" s="12"/>
      <c r="H4" s="13"/>
      <c r="I4" s="13"/>
      <c r="T4" s="33"/>
    </row>
    <row r="5" spans="1:21" s="2" customFormat="1" ht="24.95" customHeight="1">
      <c r="D5" s="10" t="str">
        <f>Summary!$D$5</f>
        <v>酒店预算报表</v>
      </c>
      <c r="E5" s="11"/>
      <c r="F5" s="11"/>
      <c r="G5" s="12"/>
      <c r="H5" s="13"/>
      <c r="I5" s="13"/>
      <c r="T5" s="33"/>
    </row>
    <row r="6" spans="1:21" s="2" customFormat="1" ht="24.95" customHeight="1">
      <c r="D6" s="14" t="s">
        <v>481</v>
      </c>
      <c r="E6" s="13"/>
      <c r="F6" s="13"/>
      <c r="G6" s="13"/>
      <c r="H6" s="13"/>
      <c r="I6" s="13"/>
      <c r="T6" s="33"/>
    </row>
    <row r="7" spans="1:21" s="2" customFormat="1" ht="24.95" customHeight="1">
      <c r="D7" s="15" t="s">
        <v>1185</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R9" s="18">
        <v>2018</v>
      </c>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T10" s="36" t="s">
        <v>24</v>
      </c>
      <c r="U10" s="37" t="s">
        <v>25</v>
      </c>
    </row>
    <row r="11" spans="1:21" s="3" customFormat="1" ht="24.75" hidden="1" customHeight="1">
      <c r="D11" s="21"/>
      <c r="E11" s="22"/>
      <c r="F11" s="22"/>
      <c r="G11" s="22"/>
      <c r="H11" s="23"/>
      <c r="I11" s="23"/>
      <c r="T11" s="35"/>
    </row>
    <row r="12" spans="1:21" s="3" customFormat="1" ht="24.95" customHeight="1">
      <c r="A12" s="3" t="s">
        <v>482</v>
      </c>
      <c r="B12" s="3" t="s">
        <v>483</v>
      </c>
      <c r="D12" s="21" t="s">
        <v>137</v>
      </c>
      <c r="E12" s="43">
        <f>+E123</f>
        <v>196073.33</v>
      </c>
      <c r="F12" s="43">
        <f t="shared" ref="F12:P12" si="0">+F123</f>
        <v>214418.64</v>
      </c>
      <c r="G12" s="43">
        <f t="shared" si="0"/>
        <v>186850.67</v>
      </c>
      <c r="H12" s="43">
        <f t="shared" si="0"/>
        <v>196073.33</v>
      </c>
      <c r="I12" s="43">
        <f t="shared" si="0"/>
        <v>196073.33</v>
      </c>
      <c r="J12" s="43">
        <f t="shared" si="0"/>
        <v>196073.33</v>
      </c>
      <c r="K12" s="43">
        <f t="shared" si="0"/>
        <v>186850.67</v>
      </c>
      <c r="L12" s="43">
        <f t="shared" si="0"/>
        <v>186850.67</v>
      </c>
      <c r="M12" s="43">
        <f t="shared" si="0"/>
        <v>196192.33</v>
      </c>
      <c r="N12" s="43">
        <f t="shared" si="0"/>
        <v>214775.66</v>
      </c>
      <c r="O12" s="43">
        <f t="shared" si="0"/>
        <v>186850.67</v>
      </c>
      <c r="P12" s="43">
        <f t="shared" si="0"/>
        <v>186850.67</v>
      </c>
      <c r="Q12" s="43">
        <f>SUM(E12:P12)</f>
        <v>2343933.2999999998</v>
      </c>
      <c r="R12" s="43">
        <v>8988613.5600000005</v>
      </c>
      <c r="S12" s="39">
        <f>Q12/'F&amp;B Summary'!$Q$50</f>
        <v>0.22008631121841143</v>
      </c>
      <c r="T12" s="35"/>
      <c r="U12" s="40" t="e">
        <f>-IF(Q12-T12=0,0,(Q12-T12)/T12)</f>
        <v>#DIV/0!</v>
      </c>
    </row>
    <row r="13" spans="1:21" s="3" customFormat="1" ht="24.95" customHeight="1">
      <c r="D13" s="26"/>
      <c r="E13" s="24"/>
      <c r="F13" s="24"/>
      <c r="G13" s="24"/>
      <c r="H13" s="25"/>
      <c r="I13" s="25"/>
      <c r="T13" s="35"/>
      <c r="U13" s="40">
        <f t="shared" ref="U13:U76" si="1">-IF(Q13-T13=0,0,(Q13-T13)/T13)</f>
        <v>0</v>
      </c>
    </row>
    <row r="14" spans="1:21" s="3" customFormat="1" ht="24.95" customHeight="1">
      <c r="D14" s="21" t="s">
        <v>138</v>
      </c>
      <c r="E14" s="24"/>
      <c r="F14" s="24"/>
      <c r="G14" s="24"/>
      <c r="H14" s="25"/>
      <c r="I14" s="25"/>
      <c r="S14" s="34" t="s">
        <v>433</v>
      </c>
      <c r="T14" s="35"/>
      <c r="U14" s="40">
        <f t="shared" si="1"/>
        <v>0</v>
      </c>
    </row>
    <row r="15" spans="1:21" s="3" customFormat="1" ht="24.95" customHeight="1">
      <c r="A15" s="3" t="s">
        <v>484</v>
      </c>
      <c r="B15" s="3" t="s">
        <v>483</v>
      </c>
      <c r="D15" s="26" t="s">
        <v>485</v>
      </c>
      <c r="E15" s="27"/>
      <c r="F15" s="27"/>
      <c r="G15" s="27"/>
      <c r="H15" s="27"/>
      <c r="I15" s="27"/>
      <c r="J15" s="27"/>
      <c r="K15" s="27"/>
      <c r="L15" s="27"/>
      <c r="M15" s="27"/>
      <c r="N15" s="27"/>
      <c r="O15" s="27"/>
      <c r="P15" s="27"/>
      <c r="Q15" s="3">
        <f>SUM(E15:P15)</f>
        <v>0</v>
      </c>
      <c r="R15" s="3">
        <v>0</v>
      </c>
      <c r="S15" s="3">
        <f>Q15/'F&amp;B Summary'!$Q$148</f>
        <v>0</v>
      </c>
      <c r="T15" s="35"/>
      <c r="U15" s="40">
        <f t="shared" si="1"/>
        <v>0</v>
      </c>
    </row>
    <row r="16" spans="1:21" s="3" customFormat="1" ht="24.95" customHeight="1">
      <c r="A16" s="3" t="s">
        <v>486</v>
      </c>
      <c r="B16" s="3" t="s">
        <v>483</v>
      </c>
      <c r="D16" s="28" t="s">
        <v>487</v>
      </c>
      <c r="E16" s="27"/>
      <c r="F16" s="27"/>
      <c r="G16" s="27"/>
      <c r="H16" s="27"/>
      <c r="I16" s="27"/>
      <c r="J16" s="27"/>
      <c r="K16" s="27"/>
      <c r="L16" s="27"/>
      <c r="M16" s="27"/>
      <c r="N16" s="27"/>
      <c r="O16" s="27"/>
      <c r="P16" s="27"/>
      <c r="Q16" s="3">
        <f t="shared" ref="Q16:Q79" si="2">SUM(E16:P16)</f>
        <v>0</v>
      </c>
      <c r="R16" s="3">
        <v>0</v>
      </c>
      <c r="S16" s="3">
        <f>Q16/'F&amp;B Summary'!$Q$148</f>
        <v>0</v>
      </c>
      <c r="T16" s="35"/>
      <c r="U16" s="40">
        <f t="shared" si="1"/>
        <v>0</v>
      </c>
    </row>
    <row r="17" spans="1:21" s="3" customFormat="1" ht="24.95" customHeight="1">
      <c r="A17" s="3" t="s">
        <v>488</v>
      </c>
      <c r="B17" s="3" t="s">
        <v>483</v>
      </c>
      <c r="D17" s="26" t="s">
        <v>489</v>
      </c>
      <c r="E17" s="27"/>
      <c r="F17" s="27"/>
      <c r="G17" s="27"/>
      <c r="H17" s="27"/>
      <c r="I17" s="27"/>
      <c r="J17" s="27"/>
      <c r="K17" s="27"/>
      <c r="L17" s="27"/>
      <c r="M17" s="27"/>
      <c r="N17" s="27"/>
      <c r="O17" s="27"/>
      <c r="P17" s="27"/>
      <c r="Q17" s="3">
        <f t="shared" si="2"/>
        <v>0</v>
      </c>
      <c r="R17" s="3">
        <v>0</v>
      </c>
      <c r="S17" s="3">
        <f>Q17/'F&amp;B Summary'!$Q$148</f>
        <v>0</v>
      </c>
      <c r="T17" s="35"/>
      <c r="U17" s="40">
        <f t="shared" si="1"/>
        <v>0</v>
      </c>
    </row>
    <row r="18" spans="1:21" s="3" customFormat="1" ht="24.95" customHeight="1">
      <c r="A18" s="3" t="s">
        <v>490</v>
      </c>
      <c r="B18" s="3" t="s">
        <v>483</v>
      </c>
      <c r="D18" s="26" t="s">
        <v>491</v>
      </c>
      <c r="E18" s="27"/>
      <c r="F18" s="27"/>
      <c r="G18" s="27"/>
      <c r="H18" s="27"/>
      <c r="I18" s="27"/>
      <c r="J18" s="27"/>
      <c r="K18" s="27"/>
      <c r="L18" s="27"/>
      <c r="M18" s="27"/>
      <c r="N18" s="27"/>
      <c r="O18" s="27"/>
      <c r="P18" s="27"/>
      <c r="Q18" s="3">
        <f t="shared" si="2"/>
        <v>0</v>
      </c>
      <c r="R18" s="3">
        <v>0</v>
      </c>
      <c r="S18" s="3">
        <f>Q18/'F&amp;B Summary'!$Q$148</f>
        <v>0</v>
      </c>
      <c r="T18" s="35"/>
      <c r="U18" s="40">
        <f t="shared" si="1"/>
        <v>0</v>
      </c>
    </row>
    <row r="19" spans="1:21" s="3" customFormat="1" ht="24.95" customHeight="1">
      <c r="A19" s="3" t="s">
        <v>492</v>
      </c>
      <c r="B19" s="3" t="s">
        <v>483</v>
      </c>
      <c r="D19" s="29" t="s">
        <v>493</v>
      </c>
      <c r="E19" s="27"/>
      <c r="F19" s="27"/>
      <c r="G19" s="27"/>
      <c r="H19" s="27"/>
      <c r="I19" s="27"/>
      <c r="J19" s="27"/>
      <c r="K19" s="27"/>
      <c r="L19" s="27"/>
      <c r="M19" s="27"/>
      <c r="N19" s="27"/>
      <c r="O19" s="27"/>
      <c r="P19" s="27"/>
      <c r="Q19" s="3">
        <f t="shared" si="2"/>
        <v>0</v>
      </c>
      <c r="R19" s="3">
        <v>0</v>
      </c>
      <c r="S19" s="3">
        <f>Q19/'F&amp;B Summary'!$Q$148</f>
        <v>0</v>
      </c>
      <c r="T19" s="35"/>
      <c r="U19" s="40">
        <f t="shared" si="1"/>
        <v>0</v>
      </c>
    </row>
    <row r="20" spans="1:21" s="3" customFormat="1" ht="24.95" customHeight="1">
      <c r="A20" s="3" t="s">
        <v>494</v>
      </c>
      <c r="B20" s="3" t="s">
        <v>483</v>
      </c>
      <c r="D20" s="29" t="s">
        <v>495</v>
      </c>
      <c r="E20" s="27"/>
      <c r="F20" s="27"/>
      <c r="G20" s="27"/>
      <c r="H20" s="27"/>
      <c r="I20" s="27"/>
      <c r="J20" s="27"/>
      <c r="K20" s="27"/>
      <c r="L20" s="27"/>
      <c r="M20" s="27"/>
      <c r="N20" s="27"/>
      <c r="O20" s="27"/>
      <c r="P20" s="27"/>
      <c r="Q20" s="3">
        <f t="shared" si="2"/>
        <v>0</v>
      </c>
      <c r="R20" s="3">
        <v>0</v>
      </c>
      <c r="S20" s="3">
        <f>Q20/'F&amp;B Summary'!$Q$148</f>
        <v>0</v>
      </c>
      <c r="T20" s="35"/>
      <c r="U20" s="40">
        <f t="shared" si="1"/>
        <v>0</v>
      </c>
    </row>
    <row r="21" spans="1:21" s="3" customFormat="1" ht="24.95" customHeight="1">
      <c r="A21" s="3" t="s">
        <v>496</v>
      </c>
      <c r="B21" s="3" t="s">
        <v>483</v>
      </c>
      <c r="D21" s="26" t="s">
        <v>497</v>
      </c>
      <c r="E21" s="27"/>
      <c r="F21" s="27"/>
      <c r="G21" s="27"/>
      <c r="H21" s="27"/>
      <c r="I21" s="27"/>
      <c r="J21" s="27"/>
      <c r="K21" s="27"/>
      <c r="L21" s="27"/>
      <c r="M21" s="27"/>
      <c r="N21" s="27"/>
      <c r="O21" s="27"/>
      <c r="P21" s="27"/>
      <c r="Q21" s="3">
        <f t="shared" si="2"/>
        <v>0</v>
      </c>
      <c r="R21" s="3">
        <v>0</v>
      </c>
      <c r="S21" s="3">
        <f>Q21/'F&amp;B Summary'!$Q$148</f>
        <v>0</v>
      </c>
      <c r="T21" s="35"/>
      <c r="U21" s="40">
        <f t="shared" si="1"/>
        <v>0</v>
      </c>
    </row>
    <row r="22" spans="1:21" s="3" customFormat="1" ht="24.75" customHeight="1">
      <c r="A22" s="3" t="s">
        <v>498</v>
      </c>
      <c r="B22" s="3" t="s">
        <v>483</v>
      </c>
      <c r="D22" s="29" t="s">
        <v>499</v>
      </c>
      <c r="E22" s="27"/>
      <c r="F22" s="27"/>
      <c r="G22" s="27"/>
      <c r="H22" s="27"/>
      <c r="I22" s="27"/>
      <c r="J22" s="27"/>
      <c r="K22" s="27"/>
      <c r="L22" s="27"/>
      <c r="M22" s="27"/>
      <c r="N22" s="27"/>
      <c r="O22" s="27"/>
      <c r="P22" s="27"/>
      <c r="Q22" s="3">
        <f t="shared" si="2"/>
        <v>0</v>
      </c>
      <c r="R22" s="3">
        <v>0</v>
      </c>
      <c r="S22" s="3">
        <f>Q22/'F&amp;B Summary'!$Q$148</f>
        <v>0</v>
      </c>
      <c r="T22" s="35"/>
      <c r="U22" s="40">
        <f t="shared" si="1"/>
        <v>0</v>
      </c>
    </row>
    <row r="23" spans="1:21" s="3" customFormat="1" ht="24.95" customHeight="1">
      <c r="A23" s="3" t="s">
        <v>500</v>
      </c>
      <c r="B23" s="3" t="s">
        <v>483</v>
      </c>
      <c r="D23" s="26" t="s">
        <v>501</v>
      </c>
      <c r="E23" s="27"/>
      <c r="F23" s="27"/>
      <c r="G23" s="27"/>
      <c r="H23" s="27"/>
      <c r="I23" s="27"/>
      <c r="J23" s="27"/>
      <c r="K23" s="27"/>
      <c r="L23" s="27"/>
      <c r="M23" s="27"/>
      <c r="N23" s="27"/>
      <c r="O23" s="27"/>
      <c r="P23" s="27"/>
      <c r="Q23" s="3">
        <f t="shared" si="2"/>
        <v>0</v>
      </c>
      <c r="R23" s="3">
        <v>719109.44</v>
      </c>
      <c r="S23" s="3">
        <f>Q23/'F&amp;B Summary'!$Q$148</f>
        <v>0</v>
      </c>
      <c r="T23" s="35"/>
      <c r="U23" s="40">
        <f t="shared" si="1"/>
        <v>0</v>
      </c>
    </row>
    <row r="24" spans="1:21" s="3" customFormat="1" ht="24.95" hidden="1" customHeight="1">
      <c r="A24" s="3" t="s">
        <v>502</v>
      </c>
      <c r="B24" s="3" t="s">
        <v>483</v>
      </c>
      <c r="D24" s="26" t="s">
        <v>503</v>
      </c>
      <c r="E24" s="27"/>
      <c r="F24" s="27"/>
      <c r="G24" s="27"/>
      <c r="H24" s="27"/>
      <c r="I24" s="27"/>
      <c r="J24" s="27"/>
      <c r="K24" s="27"/>
      <c r="L24" s="27"/>
      <c r="M24" s="27"/>
      <c r="N24" s="27"/>
      <c r="O24" s="27"/>
      <c r="P24" s="27"/>
      <c r="Q24" s="3">
        <f t="shared" si="2"/>
        <v>0</v>
      </c>
      <c r="R24" s="3">
        <v>0</v>
      </c>
      <c r="S24" s="3">
        <f>Q24/'F&amp;B Summary'!$Q$148</f>
        <v>0</v>
      </c>
      <c r="T24" s="35"/>
      <c r="U24" s="40">
        <f t="shared" si="1"/>
        <v>0</v>
      </c>
    </row>
    <row r="25" spans="1:21" s="3" customFormat="1" ht="24.95" hidden="1" customHeight="1">
      <c r="A25" s="3" t="s">
        <v>504</v>
      </c>
      <c r="B25" s="3" t="s">
        <v>483</v>
      </c>
      <c r="D25" s="26" t="s">
        <v>505</v>
      </c>
      <c r="E25" s="27"/>
      <c r="F25" s="27"/>
      <c r="G25" s="27"/>
      <c r="H25" s="27"/>
      <c r="I25" s="27"/>
      <c r="J25" s="27"/>
      <c r="K25" s="27"/>
      <c r="L25" s="27"/>
      <c r="M25" s="27"/>
      <c r="N25" s="27"/>
      <c r="O25" s="27"/>
      <c r="P25" s="27"/>
      <c r="Q25" s="3">
        <f t="shared" si="2"/>
        <v>0</v>
      </c>
      <c r="R25" s="3">
        <v>2000</v>
      </c>
      <c r="S25" s="3">
        <f>Q25/'F&amp;B Summary'!$Q$148</f>
        <v>0</v>
      </c>
      <c r="T25" s="35"/>
      <c r="U25" s="40">
        <f t="shared" si="1"/>
        <v>0</v>
      </c>
    </row>
    <row r="26" spans="1:21" s="3" customFormat="1" ht="24.95" hidden="1" customHeight="1">
      <c r="A26" s="3" t="s">
        <v>506</v>
      </c>
      <c r="B26" s="3" t="s">
        <v>483</v>
      </c>
      <c r="D26" s="26" t="s">
        <v>507</v>
      </c>
      <c r="E26" s="27"/>
      <c r="F26" s="27"/>
      <c r="G26" s="27"/>
      <c r="H26" s="27"/>
      <c r="I26" s="27"/>
      <c r="J26" s="27"/>
      <c r="K26" s="27"/>
      <c r="L26" s="27"/>
      <c r="M26" s="27"/>
      <c r="N26" s="27"/>
      <c r="O26" s="27"/>
      <c r="P26" s="27"/>
      <c r="Q26" s="3">
        <f t="shared" si="2"/>
        <v>0</v>
      </c>
      <c r="R26" s="3">
        <v>154046.97</v>
      </c>
      <c r="S26" s="3">
        <f>Q26/'F&amp;B Summary'!$Q$148</f>
        <v>0</v>
      </c>
      <c r="T26" s="35"/>
      <c r="U26" s="40">
        <f t="shared" si="1"/>
        <v>0</v>
      </c>
    </row>
    <row r="27" spans="1:21" s="3" customFormat="1" ht="24.95" hidden="1" customHeight="1">
      <c r="A27" s="3" t="s">
        <v>508</v>
      </c>
      <c r="B27" s="3" t="s">
        <v>483</v>
      </c>
      <c r="D27" s="26" t="s">
        <v>509</v>
      </c>
      <c r="E27" s="27"/>
      <c r="F27" s="27"/>
      <c r="G27" s="27"/>
      <c r="H27" s="27"/>
      <c r="I27" s="27"/>
      <c r="J27" s="27"/>
      <c r="K27" s="27"/>
      <c r="L27" s="27"/>
      <c r="M27" s="27"/>
      <c r="N27" s="27"/>
      <c r="O27" s="27"/>
      <c r="P27" s="27"/>
      <c r="Q27" s="3">
        <f t="shared" si="2"/>
        <v>0</v>
      </c>
      <c r="R27" s="3">
        <v>0</v>
      </c>
      <c r="S27" s="3">
        <f>Q27/'F&amp;B Summary'!$Q$148</f>
        <v>0</v>
      </c>
      <c r="T27" s="35"/>
      <c r="U27" s="40">
        <f t="shared" si="1"/>
        <v>0</v>
      </c>
    </row>
    <row r="28" spans="1:21" s="3" customFormat="1" ht="24.95" hidden="1" customHeight="1">
      <c r="A28" s="3" t="s">
        <v>510</v>
      </c>
      <c r="B28" s="3" t="s">
        <v>483</v>
      </c>
      <c r="D28" s="26" t="s">
        <v>511</v>
      </c>
      <c r="E28" s="27"/>
      <c r="F28" s="27"/>
      <c r="G28" s="27"/>
      <c r="H28" s="27"/>
      <c r="I28" s="27"/>
      <c r="J28" s="27"/>
      <c r="K28" s="27"/>
      <c r="L28" s="27"/>
      <c r="M28" s="27"/>
      <c r="N28" s="27"/>
      <c r="O28" s="27"/>
      <c r="P28" s="27"/>
      <c r="Q28" s="3">
        <f t="shared" si="2"/>
        <v>0</v>
      </c>
      <c r="R28" s="3">
        <v>0</v>
      </c>
      <c r="S28" s="3">
        <f>Q28/'F&amp;B Summary'!$Q$148</f>
        <v>0</v>
      </c>
      <c r="T28" s="35"/>
      <c r="U28" s="40">
        <f t="shared" si="1"/>
        <v>0</v>
      </c>
    </row>
    <row r="29" spans="1:21" s="3" customFormat="1" ht="24.95" hidden="1" customHeight="1">
      <c r="A29" s="3" t="s">
        <v>512</v>
      </c>
      <c r="B29" s="3" t="s">
        <v>483</v>
      </c>
      <c r="D29" s="26" t="s">
        <v>169</v>
      </c>
      <c r="E29" s="27"/>
      <c r="F29" s="27"/>
      <c r="G29" s="27"/>
      <c r="H29" s="27"/>
      <c r="I29" s="27"/>
      <c r="J29" s="27"/>
      <c r="K29" s="27"/>
      <c r="L29" s="27"/>
      <c r="M29" s="27"/>
      <c r="N29" s="27"/>
      <c r="O29" s="27"/>
      <c r="P29" s="27"/>
      <c r="Q29" s="3">
        <f t="shared" si="2"/>
        <v>0</v>
      </c>
      <c r="R29" s="3">
        <v>0</v>
      </c>
      <c r="S29" s="3">
        <f>Q29/'F&amp;B Summary'!$Q$148</f>
        <v>0</v>
      </c>
      <c r="T29" s="35"/>
      <c r="U29" s="40">
        <f t="shared" si="1"/>
        <v>0</v>
      </c>
    </row>
    <row r="30" spans="1:21" s="3" customFormat="1" ht="24.95" hidden="1" customHeight="1">
      <c r="A30" s="3" t="s">
        <v>513</v>
      </c>
      <c r="B30" s="3" t="s">
        <v>483</v>
      </c>
      <c r="D30" s="26" t="s">
        <v>171</v>
      </c>
      <c r="E30" s="27"/>
      <c r="F30" s="27"/>
      <c r="G30" s="27"/>
      <c r="H30" s="27"/>
      <c r="I30" s="27"/>
      <c r="J30" s="27"/>
      <c r="K30" s="27"/>
      <c r="L30" s="27"/>
      <c r="M30" s="27"/>
      <c r="N30" s="27"/>
      <c r="O30" s="27"/>
      <c r="P30" s="27"/>
      <c r="Q30" s="3">
        <f t="shared" si="2"/>
        <v>0</v>
      </c>
      <c r="R30" s="3">
        <v>0</v>
      </c>
      <c r="S30" s="3">
        <f>Q30/'F&amp;B Summary'!$Q$148</f>
        <v>0</v>
      </c>
      <c r="T30" s="35"/>
      <c r="U30" s="40">
        <f t="shared" si="1"/>
        <v>0</v>
      </c>
    </row>
    <row r="31" spans="1:21" s="3" customFormat="1" ht="24.95" hidden="1" customHeight="1">
      <c r="A31" s="3" t="s">
        <v>514</v>
      </c>
      <c r="B31" s="3" t="s">
        <v>483</v>
      </c>
      <c r="D31" s="26" t="s">
        <v>515</v>
      </c>
      <c r="E31" s="27"/>
      <c r="F31" s="27"/>
      <c r="G31" s="27"/>
      <c r="H31" s="27"/>
      <c r="I31" s="27"/>
      <c r="J31" s="27"/>
      <c r="K31" s="27"/>
      <c r="L31" s="27"/>
      <c r="M31" s="27"/>
      <c r="N31" s="27"/>
      <c r="O31" s="27"/>
      <c r="P31" s="27"/>
      <c r="Q31" s="3">
        <f t="shared" si="2"/>
        <v>0</v>
      </c>
      <c r="R31" s="3">
        <v>0</v>
      </c>
      <c r="S31" s="3">
        <f>Q31/'F&amp;B Summary'!$Q$148</f>
        <v>0</v>
      </c>
      <c r="T31" s="35"/>
      <c r="U31" s="40">
        <f t="shared" si="1"/>
        <v>0</v>
      </c>
    </row>
    <row r="32" spans="1:21" s="3" customFormat="1" ht="24.95" hidden="1" customHeight="1">
      <c r="A32" s="3" t="s">
        <v>516</v>
      </c>
      <c r="B32" s="3" t="s">
        <v>483</v>
      </c>
      <c r="D32" s="26" t="s">
        <v>517</v>
      </c>
      <c r="E32" s="27"/>
      <c r="F32" s="27"/>
      <c r="G32" s="27"/>
      <c r="H32" s="27"/>
      <c r="I32" s="27"/>
      <c r="J32" s="27"/>
      <c r="K32" s="27"/>
      <c r="L32" s="27"/>
      <c r="M32" s="27"/>
      <c r="N32" s="27"/>
      <c r="O32" s="27"/>
      <c r="P32" s="27"/>
      <c r="Q32" s="3">
        <f t="shared" si="2"/>
        <v>0</v>
      </c>
      <c r="R32" s="3">
        <v>0</v>
      </c>
      <c r="S32" s="3">
        <f>Q32/'F&amp;B Summary'!$Q$148</f>
        <v>0</v>
      </c>
      <c r="T32" s="35"/>
      <c r="U32" s="40">
        <f t="shared" si="1"/>
        <v>0</v>
      </c>
    </row>
    <row r="33" spans="1:21" s="3" customFormat="1" ht="24.95" hidden="1" customHeight="1">
      <c r="A33" s="3" t="s">
        <v>518</v>
      </c>
      <c r="B33" s="3" t="s">
        <v>483</v>
      </c>
      <c r="D33" s="26" t="s">
        <v>519</v>
      </c>
      <c r="E33" s="27"/>
      <c r="F33" s="27"/>
      <c r="G33" s="27"/>
      <c r="H33" s="27"/>
      <c r="I33" s="27"/>
      <c r="J33" s="27"/>
      <c r="K33" s="27"/>
      <c r="L33" s="27"/>
      <c r="M33" s="27"/>
      <c r="N33" s="27"/>
      <c r="O33" s="27"/>
      <c r="P33" s="27"/>
      <c r="Q33" s="3">
        <f t="shared" si="2"/>
        <v>0</v>
      </c>
      <c r="R33" s="3">
        <v>0</v>
      </c>
      <c r="S33" s="3">
        <f>Q33/'F&amp;B Summary'!$Q$148</f>
        <v>0</v>
      </c>
      <c r="T33" s="35"/>
      <c r="U33" s="40">
        <f t="shared" si="1"/>
        <v>0</v>
      </c>
    </row>
    <row r="34" spans="1:21" s="3" customFormat="1" ht="24.95" customHeight="1">
      <c r="A34" s="3" t="s">
        <v>520</v>
      </c>
      <c r="B34" s="3" t="s">
        <v>483</v>
      </c>
      <c r="D34" s="26" t="s">
        <v>521</v>
      </c>
      <c r="E34" s="27"/>
      <c r="F34" s="27"/>
      <c r="G34" s="27"/>
      <c r="H34" s="27"/>
      <c r="I34" s="27"/>
      <c r="J34" s="27"/>
      <c r="K34" s="27"/>
      <c r="L34" s="27"/>
      <c r="M34" s="27"/>
      <c r="N34" s="27"/>
      <c r="O34" s="27"/>
      <c r="P34" s="27"/>
      <c r="Q34" s="3">
        <f t="shared" si="2"/>
        <v>0</v>
      </c>
      <c r="R34" s="3">
        <v>0</v>
      </c>
      <c r="S34" s="3">
        <f>Q34/'F&amp;B Summary'!$Q$148</f>
        <v>0</v>
      </c>
      <c r="T34" s="35"/>
      <c r="U34" s="40">
        <f t="shared" si="1"/>
        <v>0</v>
      </c>
    </row>
    <row r="35" spans="1:21" s="3" customFormat="1" ht="24.95" hidden="1" customHeight="1">
      <c r="A35" s="3" t="s">
        <v>522</v>
      </c>
      <c r="B35" s="3" t="s">
        <v>483</v>
      </c>
      <c r="D35" s="26" t="s">
        <v>523</v>
      </c>
      <c r="E35" s="27"/>
      <c r="F35" s="27"/>
      <c r="G35" s="27"/>
      <c r="H35" s="27"/>
      <c r="I35" s="27"/>
      <c r="J35" s="27"/>
      <c r="K35" s="27"/>
      <c r="L35" s="27"/>
      <c r="M35" s="27"/>
      <c r="N35" s="27"/>
      <c r="O35" s="27"/>
      <c r="P35" s="27"/>
      <c r="Q35" s="3">
        <f t="shared" si="2"/>
        <v>0</v>
      </c>
      <c r="R35" s="3">
        <v>0</v>
      </c>
      <c r="S35" s="3">
        <f>Q35/'F&amp;B Summary'!$Q$148</f>
        <v>0</v>
      </c>
      <c r="T35" s="35"/>
      <c r="U35" s="40">
        <f t="shared" si="1"/>
        <v>0</v>
      </c>
    </row>
    <row r="36" spans="1:21" s="3" customFormat="1" ht="24.95" hidden="1" customHeight="1">
      <c r="A36" s="3" t="s">
        <v>524</v>
      </c>
      <c r="B36" s="3" t="s">
        <v>483</v>
      </c>
      <c r="D36" s="26" t="s">
        <v>525</v>
      </c>
      <c r="E36" s="27"/>
      <c r="F36" s="27"/>
      <c r="G36" s="27"/>
      <c r="H36" s="27"/>
      <c r="I36" s="27"/>
      <c r="J36" s="27"/>
      <c r="K36" s="27"/>
      <c r="L36" s="27"/>
      <c r="M36" s="27"/>
      <c r="N36" s="27"/>
      <c r="O36" s="27"/>
      <c r="P36" s="27"/>
      <c r="Q36" s="3">
        <f t="shared" si="2"/>
        <v>0</v>
      </c>
      <c r="R36" s="3">
        <v>0</v>
      </c>
      <c r="S36" s="3">
        <f>Q36/'F&amp;B Summary'!$Q$148</f>
        <v>0</v>
      </c>
      <c r="T36" s="35"/>
      <c r="U36" s="40">
        <f t="shared" si="1"/>
        <v>0</v>
      </c>
    </row>
    <row r="37" spans="1:21" s="3" customFormat="1" ht="24.95" hidden="1" customHeight="1">
      <c r="A37" s="3" t="s">
        <v>526</v>
      </c>
      <c r="B37" s="3" t="s">
        <v>483</v>
      </c>
      <c r="D37" s="26" t="s">
        <v>527</v>
      </c>
      <c r="E37" s="27"/>
      <c r="F37" s="27"/>
      <c r="G37" s="27"/>
      <c r="H37" s="27"/>
      <c r="I37" s="27"/>
      <c r="J37" s="27"/>
      <c r="K37" s="27"/>
      <c r="L37" s="27"/>
      <c r="M37" s="27"/>
      <c r="N37" s="27"/>
      <c r="O37" s="27"/>
      <c r="P37" s="27"/>
      <c r="Q37" s="3">
        <f t="shared" si="2"/>
        <v>0</v>
      </c>
      <c r="R37" s="3">
        <v>0</v>
      </c>
      <c r="S37" s="3">
        <f>Q37/'F&amp;B Summary'!$Q$148</f>
        <v>0</v>
      </c>
      <c r="T37" s="35"/>
      <c r="U37" s="40">
        <f t="shared" si="1"/>
        <v>0</v>
      </c>
    </row>
    <row r="38" spans="1:21" s="3" customFormat="1" ht="24.95" hidden="1" customHeight="1">
      <c r="A38" s="3" t="s">
        <v>528</v>
      </c>
      <c r="B38" s="3" t="s">
        <v>483</v>
      </c>
      <c r="D38" s="26" t="s">
        <v>529</v>
      </c>
      <c r="E38" s="27"/>
      <c r="F38" s="27"/>
      <c r="G38" s="27"/>
      <c r="H38" s="27"/>
      <c r="I38" s="27"/>
      <c r="J38" s="27"/>
      <c r="K38" s="27"/>
      <c r="L38" s="27"/>
      <c r="M38" s="27"/>
      <c r="N38" s="27"/>
      <c r="O38" s="27"/>
      <c r="P38" s="27"/>
      <c r="Q38" s="3">
        <f t="shared" si="2"/>
        <v>0</v>
      </c>
      <c r="R38" s="3">
        <v>0</v>
      </c>
      <c r="S38" s="3">
        <f>Q38/'F&amp;B Summary'!$Q$148</f>
        <v>0</v>
      </c>
      <c r="T38" s="35"/>
      <c r="U38" s="40">
        <f t="shared" si="1"/>
        <v>0</v>
      </c>
    </row>
    <row r="39" spans="1:21" s="3" customFormat="1" ht="24.95" hidden="1" customHeight="1">
      <c r="A39" s="3" t="s">
        <v>530</v>
      </c>
      <c r="B39" s="3" t="s">
        <v>483</v>
      </c>
      <c r="D39" s="26" t="s">
        <v>531</v>
      </c>
      <c r="E39" s="27"/>
      <c r="F39" s="27"/>
      <c r="G39" s="27"/>
      <c r="H39" s="27"/>
      <c r="I39" s="27"/>
      <c r="J39" s="27"/>
      <c r="K39" s="27"/>
      <c r="L39" s="27"/>
      <c r="M39" s="27"/>
      <c r="N39" s="27"/>
      <c r="O39" s="27"/>
      <c r="P39" s="27"/>
      <c r="Q39" s="3">
        <f t="shared" si="2"/>
        <v>0</v>
      </c>
      <c r="R39" s="3">
        <v>0</v>
      </c>
      <c r="S39" s="3">
        <f>Q39/'F&amp;B Summary'!$Q$148</f>
        <v>0</v>
      </c>
      <c r="T39" s="35"/>
      <c r="U39" s="40">
        <f t="shared" si="1"/>
        <v>0</v>
      </c>
    </row>
    <row r="40" spans="1:21" s="3" customFormat="1" ht="24.95" hidden="1" customHeight="1">
      <c r="A40" s="3" t="s">
        <v>532</v>
      </c>
      <c r="B40" s="3" t="s">
        <v>483</v>
      </c>
      <c r="D40" s="26" t="s">
        <v>1182</v>
      </c>
      <c r="E40" s="27"/>
      <c r="F40" s="27"/>
      <c r="G40" s="27"/>
      <c r="H40" s="27"/>
      <c r="I40" s="27"/>
      <c r="J40" s="27"/>
      <c r="K40" s="27"/>
      <c r="L40" s="27"/>
      <c r="M40" s="27"/>
      <c r="N40" s="27"/>
      <c r="O40" s="27"/>
      <c r="P40" s="27"/>
      <c r="Q40" s="3">
        <f t="shared" si="2"/>
        <v>0</v>
      </c>
      <c r="R40" s="3">
        <v>0</v>
      </c>
      <c r="S40" s="3">
        <f>Q40/'F&amp;B Summary'!$Q$148</f>
        <v>0</v>
      </c>
      <c r="T40" s="35"/>
      <c r="U40" s="40">
        <f t="shared" si="1"/>
        <v>0</v>
      </c>
    </row>
    <row r="41" spans="1:21" s="3" customFormat="1" ht="24.95" customHeight="1">
      <c r="A41" s="3" t="s">
        <v>534</v>
      </c>
      <c r="B41" s="3" t="s">
        <v>483</v>
      </c>
      <c r="D41" s="26" t="s">
        <v>535</v>
      </c>
      <c r="E41" s="27"/>
      <c r="F41" s="27"/>
      <c r="G41" s="27"/>
      <c r="H41" s="27">
        <v>5000</v>
      </c>
      <c r="I41" s="27">
        <v>5000</v>
      </c>
      <c r="J41" s="27">
        <v>3000</v>
      </c>
      <c r="K41" s="27">
        <v>3000</v>
      </c>
      <c r="L41" s="27">
        <v>3000</v>
      </c>
      <c r="M41" s="27">
        <v>5000</v>
      </c>
      <c r="N41" s="27">
        <v>5000</v>
      </c>
      <c r="O41" s="27">
        <v>3000</v>
      </c>
      <c r="P41" s="27">
        <v>3000</v>
      </c>
      <c r="Q41" s="3">
        <f t="shared" si="2"/>
        <v>35000</v>
      </c>
      <c r="R41" s="3">
        <v>0</v>
      </c>
      <c r="S41" s="3">
        <f>Q41/'F&amp;B Summary'!$Q$148</f>
        <v>0.40189781350525555</v>
      </c>
      <c r="T41" s="35"/>
      <c r="U41" s="40" t="e">
        <f t="shared" si="1"/>
        <v>#DIV/0!</v>
      </c>
    </row>
    <row r="42" spans="1:21" s="3" customFormat="1" ht="24.95" customHeight="1">
      <c r="A42" s="3" t="s">
        <v>536</v>
      </c>
      <c r="B42" s="3" t="s">
        <v>483</v>
      </c>
      <c r="D42" s="26" t="s">
        <v>537</v>
      </c>
      <c r="E42" s="27"/>
      <c r="F42" s="27"/>
      <c r="G42" s="27"/>
      <c r="H42" s="27"/>
      <c r="I42" s="27"/>
      <c r="J42" s="27"/>
      <c r="K42" s="27"/>
      <c r="L42" s="27"/>
      <c r="M42" s="27"/>
      <c r="N42" s="27"/>
      <c r="O42" s="27"/>
      <c r="P42" s="27"/>
      <c r="Q42" s="3">
        <f t="shared" si="2"/>
        <v>0</v>
      </c>
      <c r="R42" s="3">
        <v>0</v>
      </c>
      <c r="S42" s="3">
        <f>Q42/'F&amp;B Summary'!$Q$148</f>
        <v>0</v>
      </c>
      <c r="T42" s="35"/>
      <c r="U42" s="40">
        <f t="shared" si="1"/>
        <v>0</v>
      </c>
    </row>
    <row r="43" spans="1:21" s="3" customFormat="1" ht="24.95" customHeight="1">
      <c r="A43" s="3" t="s">
        <v>538</v>
      </c>
      <c r="B43" s="3" t="s">
        <v>483</v>
      </c>
      <c r="D43" s="26" t="s">
        <v>539</v>
      </c>
      <c r="E43" s="27">
        <v>420</v>
      </c>
      <c r="F43" s="27">
        <v>420</v>
      </c>
      <c r="G43" s="27">
        <v>420</v>
      </c>
      <c r="H43" s="27">
        <v>420</v>
      </c>
      <c r="I43" s="27">
        <v>420</v>
      </c>
      <c r="J43" s="27">
        <v>420</v>
      </c>
      <c r="K43" s="27">
        <v>420</v>
      </c>
      <c r="L43" s="27">
        <v>420</v>
      </c>
      <c r="M43" s="27">
        <v>420</v>
      </c>
      <c r="N43" s="27">
        <v>420</v>
      </c>
      <c r="O43" s="27">
        <v>420</v>
      </c>
      <c r="P43" s="27">
        <v>420</v>
      </c>
      <c r="Q43" s="3">
        <f t="shared" si="2"/>
        <v>5040</v>
      </c>
      <c r="R43" s="3">
        <v>29590.75</v>
      </c>
      <c r="S43" s="3">
        <f>Q43/'F&amp;B Summary'!$Q$148</f>
        <v>5.78732851447568E-2</v>
      </c>
      <c r="T43" s="35"/>
      <c r="U43" s="40" t="e">
        <f t="shared" si="1"/>
        <v>#DIV/0!</v>
      </c>
    </row>
    <row r="44" spans="1:21" s="3" customFormat="1" ht="24.95" hidden="1" customHeight="1">
      <c r="A44" s="3" t="s">
        <v>540</v>
      </c>
      <c r="B44" s="3" t="s">
        <v>483</v>
      </c>
      <c r="D44" s="26" t="s">
        <v>541</v>
      </c>
      <c r="E44" s="27"/>
      <c r="F44" s="27"/>
      <c r="G44" s="27"/>
      <c r="H44" s="27"/>
      <c r="I44" s="27"/>
      <c r="J44" s="27"/>
      <c r="K44" s="27"/>
      <c r="L44" s="27"/>
      <c r="M44" s="27"/>
      <c r="N44" s="27"/>
      <c r="O44" s="27"/>
      <c r="P44" s="27"/>
      <c r="Q44" s="3">
        <f t="shared" si="2"/>
        <v>0</v>
      </c>
      <c r="R44" s="3">
        <v>0</v>
      </c>
      <c r="S44" s="3">
        <f>Q44/'F&amp;B Summary'!$Q$148</f>
        <v>0</v>
      </c>
      <c r="T44" s="35"/>
      <c r="U44" s="40">
        <f t="shared" si="1"/>
        <v>0</v>
      </c>
    </row>
    <row r="45" spans="1:21" s="3" customFormat="1" ht="24.95" hidden="1" customHeight="1">
      <c r="A45" s="3" t="s">
        <v>542</v>
      </c>
      <c r="B45" s="3" t="s">
        <v>483</v>
      </c>
      <c r="D45" s="26" t="s">
        <v>543</v>
      </c>
      <c r="E45" s="27"/>
      <c r="F45" s="27"/>
      <c r="G45" s="27"/>
      <c r="H45" s="27"/>
      <c r="I45" s="27"/>
      <c r="J45" s="27"/>
      <c r="K45" s="27"/>
      <c r="L45" s="27"/>
      <c r="M45" s="27"/>
      <c r="N45" s="27"/>
      <c r="O45" s="27"/>
      <c r="P45" s="27"/>
      <c r="Q45" s="3">
        <f t="shared" si="2"/>
        <v>0</v>
      </c>
      <c r="R45" s="3">
        <v>0</v>
      </c>
      <c r="S45" s="3">
        <f>Q45/'F&amp;B Summary'!$Q$148</f>
        <v>0</v>
      </c>
      <c r="T45" s="35"/>
      <c r="U45" s="40">
        <f t="shared" si="1"/>
        <v>0</v>
      </c>
    </row>
    <row r="46" spans="1:21" s="3" customFormat="1" ht="24.95" hidden="1" customHeight="1">
      <c r="A46" s="3" t="s">
        <v>544</v>
      </c>
      <c r="B46" s="3" t="s">
        <v>483</v>
      </c>
      <c r="D46" s="29" t="s">
        <v>545</v>
      </c>
      <c r="E46" s="27"/>
      <c r="F46" s="27"/>
      <c r="G46" s="27"/>
      <c r="H46" s="27"/>
      <c r="I46" s="27"/>
      <c r="J46" s="27"/>
      <c r="K46" s="27"/>
      <c r="L46" s="27"/>
      <c r="M46" s="27"/>
      <c r="N46" s="27"/>
      <c r="O46" s="27"/>
      <c r="P46" s="27"/>
      <c r="Q46" s="3">
        <f t="shared" si="2"/>
        <v>0</v>
      </c>
      <c r="R46" s="3">
        <v>0</v>
      </c>
      <c r="S46" s="3">
        <f>Q46/'F&amp;B Summary'!$Q$148</f>
        <v>0</v>
      </c>
      <c r="T46" s="35"/>
      <c r="U46" s="40">
        <f t="shared" si="1"/>
        <v>0</v>
      </c>
    </row>
    <row r="47" spans="1:21" s="3" customFormat="1" ht="24.95" hidden="1" customHeight="1">
      <c r="A47" s="3" t="s">
        <v>546</v>
      </c>
      <c r="B47" s="3" t="s">
        <v>483</v>
      </c>
      <c r="D47" s="26" t="s">
        <v>547</v>
      </c>
      <c r="E47" s="27"/>
      <c r="F47" s="27"/>
      <c r="G47" s="27"/>
      <c r="H47" s="27"/>
      <c r="I47" s="27"/>
      <c r="J47" s="27"/>
      <c r="K47" s="27"/>
      <c r="L47" s="27"/>
      <c r="M47" s="27"/>
      <c r="N47" s="27"/>
      <c r="O47" s="27"/>
      <c r="P47" s="27"/>
      <c r="Q47" s="3">
        <f t="shared" si="2"/>
        <v>0</v>
      </c>
      <c r="R47" s="3">
        <v>0</v>
      </c>
      <c r="S47" s="3">
        <f>Q47/'F&amp;B Summary'!$Q$148</f>
        <v>0</v>
      </c>
      <c r="T47" s="35"/>
      <c r="U47" s="40">
        <f t="shared" si="1"/>
        <v>0</v>
      </c>
    </row>
    <row r="48" spans="1:21" s="3" customFormat="1" ht="24.95" hidden="1" customHeight="1">
      <c r="A48" s="3" t="s">
        <v>548</v>
      </c>
      <c r="B48" s="3" t="s">
        <v>483</v>
      </c>
      <c r="D48" s="26" t="s">
        <v>549</v>
      </c>
      <c r="E48" s="27"/>
      <c r="F48" s="27"/>
      <c r="G48" s="27"/>
      <c r="H48" s="27"/>
      <c r="I48" s="27"/>
      <c r="J48" s="27"/>
      <c r="K48" s="27"/>
      <c r="L48" s="27"/>
      <c r="M48" s="27"/>
      <c r="N48" s="27"/>
      <c r="O48" s="27"/>
      <c r="P48" s="27"/>
      <c r="Q48" s="3">
        <f t="shared" si="2"/>
        <v>0</v>
      </c>
      <c r="R48" s="3">
        <v>0</v>
      </c>
      <c r="S48" s="3">
        <f>Q48/'F&amp;B Summary'!$Q$148</f>
        <v>0</v>
      </c>
      <c r="T48" s="35"/>
      <c r="U48" s="40">
        <f t="shared" si="1"/>
        <v>0</v>
      </c>
    </row>
    <row r="49" spans="1:21" s="3" customFormat="1" ht="24.95" hidden="1" customHeight="1">
      <c r="A49" s="3" t="s">
        <v>550</v>
      </c>
      <c r="B49" s="3" t="s">
        <v>483</v>
      </c>
      <c r="D49" s="26" t="s">
        <v>551</v>
      </c>
      <c r="E49" s="27"/>
      <c r="F49" s="27"/>
      <c r="G49" s="27"/>
      <c r="H49" s="27"/>
      <c r="I49" s="27"/>
      <c r="J49" s="27"/>
      <c r="K49" s="27"/>
      <c r="L49" s="27"/>
      <c r="M49" s="27"/>
      <c r="N49" s="27"/>
      <c r="O49" s="27"/>
      <c r="P49" s="27"/>
      <c r="Q49" s="3">
        <f t="shared" si="2"/>
        <v>0</v>
      </c>
      <c r="R49" s="3">
        <v>0</v>
      </c>
      <c r="S49" s="3">
        <f>Q49/'F&amp;B Summary'!$Q$148</f>
        <v>0</v>
      </c>
      <c r="T49" s="35"/>
      <c r="U49" s="40">
        <f t="shared" si="1"/>
        <v>0</v>
      </c>
    </row>
    <row r="50" spans="1:21" s="3" customFormat="1" ht="24.95" customHeight="1">
      <c r="A50" s="3" t="s">
        <v>552</v>
      </c>
      <c r="B50" s="3" t="s">
        <v>483</v>
      </c>
      <c r="D50" s="26" t="s">
        <v>553</v>
      </c>
      <c r="E50" s="27"/>
      <c r="F50" s="27"/>
      <c r="G50" s="27"/>
      <c r="H50" s="27"/>
      <c r="I50" s="27"/>
      <c r="J50" s="27"/>
      <c r="K50" s="27"/>
      <c r="L50" s="27"/>
      <c r="M50" s="27"/>
      <c r="N50" s="27"/>
      <c r="O50" s="27"/>
      <c r="P50" s="27"/>
      <c r="Q50" s="3">
        <f t="shared" si="2"/>
        <v>0</v>
      </c>
      <c r="R50" s="3">
        <v>10710.05</v>
      </c>
      <c r="S50" s="3">
        <f>Q50/'F&amp;B Summary'!$Q$148</f>
        <v>0</v>
      </c>
      <c r="T50" s="35"/>
      <c r="U50" s="40">
        <f t="shared" si="1"/>
        <v>0</v>
      </c>
    </row>
    <row r="51" spans="1:21" s="3" customFormat="1" ht="24.75" hidden="1" customHeight="1">
      <c r="A51" s="3" t="s">
        <v>554</v>
      </c>
      <c r="B51" s="3" t="s">
        <v>483</v>
      </c>
      <c r="D51" s="26" t="s">
        <v>555</v>
      </c>
      <c r="E51" s="27"/>
      <c r="F51" s="27"/>
      <c r="G51" s="27"/>
      <c r="H51" s="27"/>
      <c r="I51" s="27"/>
      <c r="J51" s="27"/>
      <c r="K51" s="27"/>
      <c r="L51" s="27"/>
      <c r="M51" s="27"/>
      <c r="N51" s="27"/>
      <c r="O51" s="27"/>
      <c r="P51" s="27"/>
      <c r="Q51" s="3">
        <f t="shared" si="2"/>
        <v>0</v>
      </c>
      <c r="R51" s="3">
        <v>0</v>
      </c>
      <c r="S51" s="3">
        <f>Q51/'F&amp;B Summary'!$Q$148</f>
        <v>0</v>
      </c>
      <c r="T51" s="35"/>
      <c r="U51" s="40">
        <f t="shared" si="1"/>
        <v>0</v>
      </c>
    </row>
    <row r="52" spans="1:21" s="3" customFormat="1" ht="24.95" hidden="1" customHeight="1">
      <c r="A52" s="3" t="s">
        <v>556</v>
      </c>
      <c r="B52" s="3" t="s">
        <v>483</v>
      </c>
      <c r="D52" s="26" t="s">
        <v>557</v>
      </c>
      <c r="E52" s="27"/>
      <c r="F52" s="27"/>
      <c r="G52" s="27"/>
      <c r="H52" s="27"/>
      <c r="I52" s="27"/>
      <c r="J52" s="27"/>
      <c r="K52" s="27"/>
      <c r="L52" s="27"/>
      <c r="M52" s="27"/>
      <c r="N52" s="27"/>
      <c r="O52" s="27"/>
      <c r="P52" s="27"/>
      <c r="Q52" s="3">
        <f t="shared" si="2"/>
        <v>0</v>
      </c>
      <c r="R52" s="3">
        <v>0</v>
      </c>
      <c r="S52" s="3">
        <f>Q52/'F&amp;B Summary'!$Q$148</f>
        <v>0</v>
      </c>
      <c r="T52" s="35"/>
      <c r="U52" s="40">
        <f t="shared" si="1"/>
        <v>0</v>
      </c>
    </row>
    <row r="53" spans="1:21" s="3" customFormat="1" ht="24.95" customHeight="1">
      <c r="A53" s="3" t="s">
        <v>558</v>
      </c>
      <c r="B53" s="3" t="s">
        <v>483</v>
      </c>
      <c r="D53" s="29" t="s">
        <v>559</v>
      </c>
      <c r="E53" s="27">
        <v>1500</v>
      </c>
      <c r="F53" s="27">
        <v>500</v>
      </c>
      <c r="G53" s="27">
        <v>1000</v>
      </c>
      <c r="H53" s="27">
        <v>1000</v>
      </c>
      <c r="I53" s="27">
        <v>1000</v>
      </c>
      <c r="J53" s="27">
        <v>1000</v>
      </c>
      <c r="K53" s="27">
        <v>1000</v>
      </c>
      <c r="L53" s="27">
        <v>1000</v>
      </c>
      <c r="M53" s="27">
        <v>1000</v>
      </c>
      <c r="N53" s="27">
        <v>1000</v>
      </c>
      <c r="O53" s="27">
        <v>1000</v>
      </c>
      <c r="P53" s="27">
        <v>1000</v>
      </c>
      <c r="Q53" s="3">
        <f t="shared" si="2"/>
        <v>12000</v>
      </c>
      <c r="R53" s="3">
        <v>0</v>
      </c>
      <c r="S53" s="3">
        <f>Q53/'F&amp;B Summary'!$Q$148</f>
        <v>0.13779353605894476</v>
      </c>
      <c r="T53" s="35"/>
      <c r="U53" s="40" t="e">
        <f t="shared" si="1"/>
        <v>#DIV/0!</v>
      </c>
    </row>
    <row r="54" spans="1:21" s="3" customFormat="1" ht="24.75" hidden="1" customHeight="1">
      <c r="A54" s="3" t="s">
        <v>560</v>
      </c>
      <c r="B54" s="3" t="s">
        <v>483</v>
      </c>
      <c r="D54" s="26" t="s">
        <v>561</v>
      </c>
      <c r="E54" s="27"/>
      <c r="F54" s="27"/>
      <c r="G54" s="27"/>
      <c r="H54" s="27"/>
      <c r="I54" s="27"/>
      <c r="J54" s="27"/>
      <c r="K54" s="27"/>
      <c r="L54" s="27"/>
      <c r="M54" s="27"/>
      <c r="N54" s="27"/>
      <c r="O54" s="27"/>
      <c r="P54" s="27"/>
      <c r="Q54" s="3">
        <f t="shared" si="2"/>
        <v>0</v>
      </c>
      <c r="R54" s="3">
        <v>0</v>
      </c>
      <c r="S54" s="3">
        <f>Q54/'F&amp;B Summary'!$Q$148</f>
        <v>0</v>
      </c>
      <c r="T54" s="35"/>
      <c r="U54" s="40">
        <f t="shared" si="1"/>
        <v>0</v>
      </c>
    </row>
    <row r="55" spans="1:21" s="3" customFormat="1" ht="24.95" hidden="1" customHeight="1">
      <c r="A55" s="3" t="s">
        <v>562</v>
      </c>
      <c r="B55" s="3" t="s">
        <v>483</v>
      </c>
      <c r="D55" s="29" t="s">
        <v>563</v>
      </c>
      <c r="E55" s="27"/>
      <c r="F55" s="27"/>
      <c r="G55" s="27"/>
      <c r="H55" s="27"/>
      <c r="I55" s="27"/>
      <c r="J55" s="27"/>
      <c r="K55" s="27"/>
      <c r="L55" s="27"/>
      <c r="M55" s="27"/>
      <c r="N55" s="27"/>
      <c r="O55" s="27"/>
      <c r="P55" s="27"/>
      <c r="Q55" s="3">
        <f t="shared" si="2"/>
        <v>0</v>
      </c>
      <c r="R55" s="3">
        <v>20.6</v>
      </c>
      <c r="S55" s="3">
        <f>Q55/'F&amp;B Summary'!$Q$148</f>
        <v>0</v>
      </c>
      <c r="T55" s="35"/>
      <c r="U55" s="40">
        <f t="shared" si="1"/>
        <v>0</v>
      </c>
    </row>
    <row r="56" spans="1:21" s="3" customFormat="1" ht="24.95" hidden="1" customHeight="1">
      <c r="A56" s="3" t="s">
        <v>564</v>
      </c>
      <c r="B56" s="3" t="s">
        <v>483</v>
      </c>
      <c r="D56" s="26" t="s">
        <v>565</v>
      </c>
      <c r="E56" s="27"/>
      <c r="F56" s="27"/>
      <c r="G56" s="27"/>
      <c r="H56" s="27"/>
      <c r="I56" s="27"/>
      <c r="J56" s="27"/>
      <c r="K56" s="27"/>
      <c r="L56" s="27"/>
      <c r="M56" s="27"/>
      <c r="N56" s="27"/>
      <c r="O56" s="27"/>
      <c r="P56" s="27"/>
      <c r="Q56" s="3">
        <f t="shared" si="2"/>
        <v>0</v>
      </c>
      <c r="R56" s="3">
        <v>0</v>
      </c>
      <c r="S56" s="3">
        <f>Q56/'F&amp;B Summary'!$Q$148</f>
        <v>0</v>
      </c>
      <c r="T56" s="35"/>
      <c r="U56" s="40">
        <f t="shared" si="1"/>
        <v>0</v>
      </c>
    </row>
    <row r="57" spans="1:21" s="3" customFormat="1" ht="24.95" customHeight="1">
      <c r="A57" s="3" t="s">
        <v>566</v>
      </c>
      <c r="B57" s="3" t="s">
        <v>483</v>
      </c>
      <c r="D57" s="26" t="s">
        <v>567</v>
      </c>
      <c r="E57" s="27"/>
      <c r="F57" s="27"/>
      <c r="G57" s="27"/>
      <c r="H57" s="27"/>
      <c r="I57" s="27"/>
      <c r="J57" s="27"/>
      <c r="K57" s="27"/>
      <c r="L57" s="27"/>
      <c r="M57" s="27"/>
      <c r="N57" s="27"/>
      <c r="O57" s="27"/>
      <c r="P57" s="27"/>
      <c r="Q57" s="3">
        <f t="shared" si="2"/>
        <v>0</v>
      </c>
      <c r="R57" s="3">
        <v>0</v>
      </c>
      <c r="S57" s="3">
        <f>Q57/'F&amp;B Summary'!$Q$148</f>
        <v>0</v>
      </c>
      <c r="T57" s="35"/>
      <c r="U57" s="40">
        <f t="shared" si="1"/>
        <v>0</v>
      </c>
    </row>
    <row r="58" spans="1:21" s="3" customFormat="1" ht="24.95" hidden="1" customHeight="1">
      <c r="A58" s="3" t="s">
        <v>568</v>
      </c>
      <c r="B58" s="3" t="s">
        <v>483</v>
      </c>
      <c r="D58" s="26" t="s">
        <v>569</v>
      </c>
      <c r="E58" s="27"/>
      <c r="F58" s="27"/>
      <c r="G58" s="27"/>
      <c r="H58" s="27"/>
      <c r="I58" s="27"/>
      <c r="J58" s="27"/>
      <c r="K58" s="27"/>
      <c r="L58" s="27"/>
      <c r="M58" s="27"/>
      <c r="N58" s="27"/>
      <c r="O58" s="27"/>
      <c r="P58" s="27"/>
      <c r="Q58" s="3">
        <f t="shared" si="2"/>
        <v>0</v>
      </c>
      <c r="R58" s="3">
        <v>0</v>
      </c>
      <c r="S58" s="3">
        <f>Q58/'F&amp;B Summary'!$Q$148</f>
        <v>0</v>
      </c>
      <c r="T58" s="35"/>
      <c r="U58" s="40">
        <f t="shared" si="1"/>
        <v>0</v>
      </c>
    </row>
    <row r="59" spans="1:21" s="3" customFormat="1" ht="24.95" hidden="1" customHeight="1">
      <c r="A59" s="3" t="s">
        <v>570</v>
      </c>
      <c r="B59" s="3" t="s">
        <v>483</v>
      </c>
      <c r="D59" s="26" t="s">
        <v>571</v>
      </c>
      <c r="E59" s="27"/>
      <c r="F59" s="27"/>
      <c r="G59" s="27"/>
      <c r="H59" s="27"/>
      <c r="I59" s="27"/>
      <c r="J59" s="27"/>
      <c r="K59" s="27"/>
      <c r="L59" s="27"/>
      <c r="M59" s="27"/>
      <c r="N59" s="27"/>
      <c r="O59" s="27"/>
      <c r="P59" s="27"/>
      <c r="Q59" s="3">
        <f t="shared" si="2"/>
        <v>0</v>
      </c>
      <c r="R59" s="3">
        <v>0</v>
      </c>
      <c r="S59" s="3">
        <f>Q59/'F&amp;B Summary'!$Q$148</f>
        <v>0</v>
      </c>
      <c r="T59" s="35"/>
      <c r="U59" s="40">
        <f t="shared" si="1"/>
        <v>0</v>
      </c>
    </row>
    <row r="60" spans="1:21" s="3" customFormat="1" ht="24.95" hidden="1" customHeight="1">
      <c r="A60" s="3" t="s">
        <v>572</v>
      </c>
      <c r="B60" s="3" t="s">
        <v>483</v>
      </c>
      <c r="D60" s="26" t="s">
        <v>573</v>
      </c>
      <c r="E60" s="27"/>
      <c r="F60" s="27"/>
      <c r="G60" s="27"/>
      <c r="H60" s="27"/>
      <c r="I60" s="27"/>
      <c r="J60" s="27"/>
      <c r="K60" s="27"/>
      <c r="L60" s="27"/>
      <c r="M60" s="27"/>
      <c r="N60" s="27"/>
      <c r="O60" s="27"/>
      <c r="P60" s="27"/>
      <c r="Q60" s="3">
        <f t="shared" si="2"/>
        <v>0</v>
      </c>
      <c r="R60" s="3">
        <v>0</v>
      </c>
      <c r="S60" s="3">
        <f>Q60/'F&amp;B Summary'!$Q$148</f>
        <v>0</v>
      </c>
      <c r="T60" s="35"/>
      <c r="U60" s="40">
        <f t="shared" si="1"/>
        <v>0</v>
      </c>
    </row>
    <row r="61" spans="1:21" s="3" customFormat="1" ht="24.95" hidden="1" customHeight="1">
      <c r="A61" s="3" t="s">
        <v>574</v>
      </c>
      <c r="B61" s="3" t="s">
        <v>483</v>
      </c>
      <c r="D61" s="26" t="s">
        <v>575</v>
      </c>
      <c r="E61" s="27"/>
      <c r="F61" s="27"/>
      <c r="G61" s="27"/>
      <c r="H61" s="27"/>
      <c r="I61" s="27"/>
      <c r="J61" s="27"/>
      <c r="K61" s="27"/>
      <c r="L61" s="27"/>
      <c r="M61" s="27"/>
      <c r="N61" s="27"/>
      <c r="O61" s="27"/>
      <c r="P61" s="27"/>
      <c r="Q61" s="3">
        <f t="shared" si="2"/>
        <v>0</v>
      </c>
      <c r="R61" s="3">
        <v>0</v>
      </c>
      <c r="S61" s="3">
        <f>Q61/'F&amp;B Summary'!$Q$148</f>
        <v>0</v>
      </c>
      <c r="T61" s="35"/>
      <c r="U61" s="40">
        <f t="shared" si="1"/>
        <v>0</v>
      </c>
    </row>
    <row r="62" spans="1:21" s="3" customFormat="1" ht="24.95" hidden="1" customHeight="1">
      <c r="A62" s="3" t="s">
        <v>434</v>
      </c>
      <c r="B62" s="3" t="s">
        <v>483</v>
      </c>
      <c r="D62" s="26" t="s">
        <v>435</v>
      </c>
      <c r="E62" s="27"/>
      <c r="F62" s="27"/>
      <c r="G62" s="27"/>
      <c r="H62" s="27"/>
      <c r="I62" s="27"/>
      <c r="J62" s="27"/>
      <c r="K62" s="27"/>
      <c r="L62" s="27"/>
      <c r="M62" s="27"/>
      <c r="N62" s="27"/>
      <c r="O62" s="27"/>
      <c r="P62" s="27"/>
      <c r="Q62" s="3">
        <f t="shared" si="2"/>
        <v>0</v>
      </c>
      <c r="T62" s="35"/>
      <c r="U62" s="40">
        <f t="shared" si="1"/>
        <v>0</v>
      </c>
    </row>
    <row r="63" spans="1:21" s="3" customFormat="1" ht="24.95" hidden="1" customHeight="1">
      <c r="A63" s="3" t="s">
        <v>576</v>
      </c>
      <c r="B63" s="3" t="s">
        <v>483</v>
      </c>
      <c r="D63" s="26" t="s">
        <v>577</v>
      </c>
      <c r="E63" s="27"/>
      <c r="F63" s="27"/>
      <c r="G63" s="27"/>
      <c r="H63" s="27"/>
      <c r="I63" s="27"/>
      <c r="J63" s="27"/>
      <c r="K63" s="27"/>
      <c r="L63" s="27"/>
      <c r="M63" s="27"/>
      <c r="N63" s="27"/>
      <c r="O63" s="27"/>
      <c r="P63" s="27"/>
      <c r="Q63" s="3">
        <f t="shared" si="2"/>
        <v>0</v>
      </c>
      <c r="R63" s="3">
        <v>0</v>
      </c>
      <c r="S63" s="3">
        <f>Q63/'F&amp;B Summary'!$Q$148</f>
        <v>0</v>
      </c>
      <c r="T63" s="35"/>
      <c r="U63" s="40">
        <f t="shared" si="1"/>
        <v>0</v>
      </c>
    </row>
    <row r="64" spans="1:21" s="3" customFormat="1" ht="24.95" hidden="1" customHeight="1">
      <c r="A64" s="3" t="s">
        <v>578</v>
      </c>
      <c r="B64" s="3" t="s">
        <v>483</v>
      </c>
      <c r="D64" s="26" t="s">
        <v>579</v>
      </c>
      <c r="E64" s="27"/>
      <c r="F64" s="27"/>
      <c r="G64" s="27"/>
      <c r="H64" s="27"/>
      <c r="I64" s="27"/>
      <c r="J64" s="27"/>
      <c r="K64" s="27"/>
      <c r="L64" s="27"/>
      <c r="M64" s="27"/>
      <c r="N64" s="27"/>
      <c r="O64" s="27"/>
      <c r="P64" s="27"/>
      <c r="Q64" s="3">
        <f t="shared" si="2"/>
        <v>0</v>
      </c>
      <c r="R64" s="3">
        <v>0</v>
      </c>
      <c r="S64" s="3">
        <f>Q64/'F&amp;B Summary'!$Q$148</f>
        <v>0</v>
      </c>
      <c r="T64" s="35"/>
      <c r="U64" s="40">
        <f t="shared" si="1"/>
        <v>0</v>
      </c>
    </row>
    <row r="65" spans="1:21" s="3" customFormat="1" ht="24.95" hidden="1" customHeight="1">
      <c r="A65" s="3" t="s">
        <v>580</v>
      </c>
      <c r="B65" s="3" t="s">
        <v>483</v>
      </c>
      <c r="D65" s="26" t="s">
        <v>581</v>
      </c>
      <c r="E65" s="27"/>
      <c r="F65" s="27"/>
      <c r="G65" s="27"/>
      <c r="H65" s="27"/>
      <c r="I65" s="27"/>
      <c r="J65" s="27"/>
      <c r="K65" s="27"/>
      <c r="L65" s="27"/>
      <c r="M65" s="27"/>
      <c r="N65" s="27"/>
      <c r="O65" s="27"/>
      <c r="P65" s="27"/>
      <c r="Q65" s="3">
        <f t="shared" si="2"/>
        <v>0</v>
      </c>
      <c r="R65" s="3">
        <v>0</v>
      </c>
      <c r="S65" s="3">
        <f>Q65/'F&amp;B Summary'!$Q$148</f>
        <v>0</v>
      </c>
      <c r="T65" s="35"/>
      <c r="U65" s="40">
        <f t="shared" si="1"/>
        <v>0</v>
      </c>
    </row>
    <row r="66" spans="1:21" s="3" customFormat="1" ht="24.95" hidden="1" customHeight="1">
      <c r="A66" s="3" t="s">
        <v>582</v>
      </c>
      <c r="B66" s="3" t="s">
        <v>483</v>
      </c>
      <c r="D66" s="26" t="s">
        <v>583</v>
      </c>
      <c r="E66" s="27"/>
      <c r="F66" s="27"/>
      <c r="G66" s="27"/>
      <c r="H66" s="27"/>
      <c r="I66" s="27"/>
      <c r="J66" s="27"/>
      <c r="K66" s="27"/>
      <c r="L66" s="27"/>
      <c r="M66" s="27"/>
      <c r="N66" s="27"/>
      <c r="O66" s="27"/>
      <c r="P66" s="27"/>
      <c r="Q66" s="3">
        <f t="shared" si="2"/>
        <v>0</v>
      </c>
      <c r="R66" s="3">
        <v>0</v>
      </c>
      <c r="S66" s="3">
        <f>Q66/'F&amp;B Summary'!$Q$148</f>
        <v>0</v>
      </c>
      <c r="T66" s="35"/>
      <c r="U66" s="40">
        <f t="shared" si="1"/>
        <v>0</v>
      </c>
    </row>
    <row r="67" spans="1:21" s="3" customFormat="1" ht="24.95" hidden="1" customHeight="1">
      <c r="A67" s="3" t="s">
        <v>584</v>
      </c>
      <c r="B67" s="3" t="s">
        <v>483</v>
      </c>
      <c r="D67" s="26" t="s">
        <v>585</v>
      </c>
      <c r="E67" s="27"/>
      <c r="F67" s="27"/>
      <c r="G67" s="27"/>
      <c r="H67" s="27"/>
      <c r="I67" s="27"/>
      <c r="J67" s="27"/>
      <c r="K67" s="27"/>
      <c r="L67" s="27"/>
      <c r="M67" s="27"/>
      <c r="N67" s="27"/>
      <c r="O67" s="27"/>
      <c r="P67" s="27"/>
      <c r="Q67" s="3">
        <f t="shared" si="2"/>
        <v>0</v>
      </c>
      <c r="R67" s="3">
        <v>0</v>
      </c>
      <c r="S67" s="3">
        <f>Q67/'F&amp;B Summary'!$Q$148</f>
        <v>0</v>
      </c>
      <c r="T67" s="35"/>
      <c r="U67" s="40">
        <f t="shared" si="1"/>
        <v>0</v>
      </c>
    </row>
    <row r="68" spans="1:21" s="3" customFormat="1" ht="24.95" hidden="1" customHeight="1">
      <c r="A68" s="3" t="s">
        <v>586</v>
      </c>
      <c r="B68" s="3" t="s">
        <v>483</v>
      </c>
      <c r="D68" s="26" t="s">
        <v>587</v>
      </c>
      <c r="E68" s="27"/>
      <c r="F68" s="27"/>
      <c r="G68" s="27"/>
      <c r="H68" s="27"/>
      <c r="I68" s="27"/>
      <c r="J68" s="27"/>
      <c r="K68" s="27"/>
      <c r="L68" s="27"/>
      <c r="M68" s="27"/>
      <c r="N68" s="27"/>
      <c r="O68" s="27"/>
      <c r="P68" s="27"/>
      <c r="Q68" s="3">
        <f t="shared" si="2"/>
        <v>0</v>
      </c>
      <c r="R68" s="3">
        <v>0</v>
      </c>
      <c r="S68" s="3">
        <f>Q68/'F&amp;B Summary'!$Q$148</f>
        <v>0</v>
      </c>
      <c r="T68" s="35"/>
      <c r="U68" s="40">
        <f t="shared" si="1"/>
        <v>0</v>
      </c>
    </row>
    <row r="69" spans="1:21" s="3" customFormat="1" ht="24.95" customHeight="1">
      <c r="A69" s="3" t="s">
        <v>588</v>
      </c>
      <c r="B69" s="3" t="s">
        <v>483</v>
      </c>
      <c r="D69" s="26" t="s">
        <v>589</v>
      </c>
      <c r="E69" s="27">
        <v>100</v>
      </c>
      <c r="F69" s="27">
        <v>100</v>
      </c>
      <c r="G69" s="27">
        <v>100</v>
      </c>
      <c r="H69" s="27">
        <v>100</v>
      </c>
      <c r="I69" s="27">
        <v>100</v>
      </c>
      <c r="J69" s="27">
        <v>100</v>
      </c>
      <c r="K69" s="27">
        <v>100</v>
      </c>
      <c r="L69" s="27">
        <v>100</v>
      </c>
      <c r="M69" s="27">
        <v>100</v>
      </c>
      <c r="N69" s="27">
        <v>100</v>
      </c>
      <c r="O69" s="27">
        <v>100</v>
      </c>
      <c r="P69" s="27">
        <v>100</v>
      </c>
      <c r="Q69" s="3">
        <f t="shared" si="2"/>
        <v>1200</v>
      </c>
      <c r="R69" s="3">
        <v>4626.67</v>
      </c>
      <c r="S69" s="3">
        <f>Q69/'F&amp;B Summary'!$Q$148</f>
        <v>1.3779353605894476E-2</v>
      </c>
      <c r="T69" s="35"/>
      <c r="U69" s="40" t="e">
        <f t="shared" si="1"/>
        <v>#DIV/0!</v>
      </c>
    </row>
    <row r="70" spans="1:21" s="3" customFormat="1" ht="24.95" customHeight="1">
      <c r="A70" s="3" t="s">
        <v>590</v>
      </c>
      <c r="B70" s="3" t="s">
        <v>483</v>
      </c>
      <c r="D70" s="26" t="s">
        <v>591</v>
      </c>
      <c r="E70" s="27">
        <v>200</v>
      </c>
      <c r="F70" s="27">
        <v>200</v>
      </c>
      <c r="G70" s="27">
        <v>200</v>
      </c>
      <c r="H70" s="27">
        <v>200</v>
      </c>
      <c r="I70" s="27">
        <v>200</v>
      </c>
      <c r="J70" s="27">
        <v>200</v>
      </c>
      <c r="K70" s="27">
        <v>200</v>
      </c>
      <c r="L70" s="27">
        <v>200</v>
      </c>
      <c r="M70" s="27">
        <v>200</v>
      </c>
      <c r="N70" s="27">
        <v>200</v>
      </c>
      <c r="O70" s="27">
        <v>200</v>
      </c>
      <c r="P70" s="27">
        <v>200</v>
      </c>
      <c r="Q70" s="3">
        <f t="shared" si="2"/>
        <v>2400</v>
      </c>
      <c r="R70" s="3">
        <v>118770.64</v>
      </c>
      <c r="S70" s="3">
        <f>Q70/'F&amp;B Summary'!$Q$148</f>
        <v>2.7558707211788953E-2</v>
      </c>
      <c r="T70" s="35"/>
      <c r="U70" s="40" t="e">
        <f t="shared" si="1"/>
        <v>#DIV/0!</v>
      </c>
    </row>
    <row r="71" spans="1:21" s="3" customFormat="1" ht="24.95" customHeight="1">
      <c r="A71" s="3" t="s">
        <v>592</v>
      </c>
      <c r="B71" s="3" t="s">
        <v>483</v>
      </c>
      <c r="D71" s="26" t="s">
        <v>593</v>
      </c>
      <c r="E71" s="27">
        <f>Laundry!E203</f>
        <v>6929.28</v>
      </c>
      <c r="F71" s="27">
        <f>Laundry!F203</f>
        <v>7432.08</v>
      </c>
      <c r="G71" s="27">
        <f>Laundry!G203</f>
        <v>6910.69</v>
      </c>
      <c r="H71" s="27">
        <f>Laundry!H203</f>
        <v>7475.19</v>
      </c>
      <c r="I71" s="27">
        <f>Laundry!I203</f>
        <v>7544.77</v>
      </c>
      <c r="J71" s="27">
        <f>Laundry!J203</f>
        <v>7595.61</v>
      </c>
      <c r="K71" s="27">
        <f>Laundry!K203</f>
        <v>7539.57</v>
      </c>
      <c r="L71" s="27">
        <f>Laundry!L203</f>
        <v>7566.33</v>
      </c>
      <c r="M71" s="27">
        <f>Laundry!M203</f>
        <v>7916.74</v>
      </c>
      <c r="N71" s="27">
        <f>Laundry!N203</f>
        <v>8419.5300000000007</v>
      </c>
      <c r="O71" s="27">
        <f>Laundry!O203</f>
        <v>7333.51</v>
      </c>
      <c r="P71" s="27">
        <f>Laundry!P203</f>
        <v>7231.82</v>
      </c>
      <c r="Q71" s="3">
        <f t="shared" si="2"/>
        <v>89895.12</v>
      </c>
      <c r="R71" s="3">
        <v>31732.28</v>
      </c>
      <c r="S71" s="3">
        <f>Q71/'F&amp;B Summary'!$Q$148</f>
        <v>1.0322472049369305</v>
      </c>
      <c r="T71" s="35"/>
      <c r="U71" s="40" t="e">
        <f t="shared" si="1"/>
        <v>#DIV/0!</v>
      </c>
    </row>
    <row r="72" spans="1:21" s="3" customFormat="1" ht="24.95" customHeight="1">
      <c r="A72" s="3" t="s">
        <v>594</v>
      </c>
      <c r="B72" s="3" t="s">
        <v>483</v>
      </c>
      <c r="D72" s="26" t="s">
        <v>595</v>
      </c>
      <c r="E72" s="27"/>
      <c r="F72" s="27"/>
      <c r="G72" s="27"/>
      <c r="H72" s="27"/>
      <c r="I72" s="27"/>
      <c r="J72" s="27"/>
      <c r="K72" s="27"/>
      <c r="L72" s="27"/>
      <c r="M72" s="27"/>
      <c r="N72" s="27"/>
      <c r="O72" s="27"/>
      <c r="P72" s="27"/>
      <c r="Q72" s="3">
        <f t="shared" si="2"/>
        <v>0</v>
      </c>
      <c r="R72" s="3">
        <v>38048.019999999997</v>
      </c>
      <c r="S72" s="3">
        <f>Q72/'F&amp;B Summary'!$Q$148</f>
        <v>0</v>
      </c>
      <c r="T72" s="35"/>
      <c r="U72" s="40">
        <f t="shared" si="1"/>
        <v>0</v>
      </c>
    </row>
    <row r="73" spans="1:21" s="3" customFormat="1" ht="24.95" customHeight="1">
      <c r="A73" s="3" t="s">
        <v>596</v>
      </c>
      <c r="B73" s="3" t="s">
        <v>483</v>
      </c>
      <c r="D73" s="26" t="s">
        <v>597</v>
      </c>
      <c r="E73" s="27">
        <v>250</v>
      </c>
      <c r="F73" s="27">
        <v>250</v>
      </c>
      <c r="G73" s="27">
        <v>250</v>
      </c>
      <c r="H73" s="27">
        <v>250</v>
      </c>
      <c r="I73" s="27">
        <v>250</v>
      </c>
      <c r="J73" s="27">
        <v>250</v>
      </c>
      <c r="K73" s="27">
        <v>250</v>
      </c>
      <c r="L73" s="27">
        <v>250</v>
      </c>
      <c r="M73" s="27">
        <v>250</v>
      </c>
      <c r="N73" s="27">
        <v>250</v>
      </c>
      <c r="O73" s="27">
        <v>250</v>
      </c>
      <c r="P73" s="27">
        <v>250</v>
      </c>
      <c r="Q73" s="3">
        <f t="shared" si="2"/>
        <v>3000</v>
      </c>
      <c r="R73" s="3">
        <v>67396.899999999994</v>
      </c>
      <c r="S73" s="3">
        <f>Q73/'F&amp;B Summary'!$Q$148</f>
        <v>3.444838401473619E-2</v>
      </c>
      <c r="T73" s="35"/>
      <c r="U73" s="40" t="e">
        <f t="shared" si="1"/>
        <v>#DIV/0!</v>
      </c>
    </row>
    <row r="74" spans="1:21" s="3" customFormat="1" ht="24.95" hidden="1" customHeight="1">
      <c r="A74" s="3" t="s">
        <v>598</v>
      </c>
      <c r="B74" s="3" t="s">
        <v>483</v>
      </c>
      <c r="D74" s="26" t="s">
        <v>599</v>
      </c>
      <c r="E74" s="27"/>
      <c r="F74" s="27"/>
      <c r="G74" s="27"/>
      <c r="H74" s="27"/>
      <c r="I74" s="27"/>
      <c r="J74" s="27"/>
      <c r="K74" s="27"/>
      <c r="L74" s="27"/>
      <c r="M74" s="27"/>
      <c r="N74" s="27"/>
      <c r="O74" s="27"/>
      <c r="P74" s="27"/>
      <c r="Q74" s="3">
        <f t="shared" si="2"/>
        <v>0</v>
      </c>
      <c r="R74" s="3">
        <v>0</v>
      </c>
      <c r="S74" s="3">
        <f>Q74/'F&amp;B Summary'!$Q$148</f>
        <v>0</v>
      </c>
      <c r="T74" s="35"/>
      <c r="U74" s="40">
        <f t="shared" si="1"/>
        <v>0</v>
      </c>
    </row>
    <row r="75" spans="1:21" s="3" customFormat="1" ht="24.95" customHeight="1">
      <c r="A75" s="3" t="s">
        <v>600</v>
      </c>
      <c r="B75" s="3" t="s">
        <v>483</v>
      </c>
      <c r="D75" s="26" t="s">
        <v>601</v>
      </c>
      <c r="E75" s="27"/>
      <c r="F75" s="27"/>
      <c r="G75" s="27"/>
      <c r="H75" s="27"/>
      <c r="I75" s="27"/>
      <c r="J75" s="27"/>
      <c r="K75" s="27"/>
      <c r="L75" s="27"/>
      <c r="M75" s="27"/>
      <c r="N75" s="27"/>
      <c r="O75" s="27"/>
      <c r="P75" s="27"/>
      <c r="Q75" s="3">
        <f t="shared" si="2"/>
        <v>0</v>
      </c>
      <c r="R75" s="3">
        <v>199955.88</v>
      </c>
      <c r="S75" s="3">
        <f>Q75/'F&amp;B Summary'!$Q$148</f>
        <v>0</v>
      </c>
      <c r="T75" s="35"/>
      <c r="U75" s="40">
        <f t="shared" si="1"/>
        <v>0</v>
      </c>
    </row>
    <row r="76" spans="1:21" s="3" customFormat="1" ht="24.75" customHeight="1">
      <c r="A76" s="3" t="s">
        <v>602</v>
      </c>
      <c r="B76" s="3" t="s">
        <v>483</v>
      </c>
      <c r="D76" s="26" t="s">
        <v>603</v>
      </c>
      <c r="E76" s="27"/>
      <c r="F76" s="27"/>
      <c r="G76" s="27"/>
      <c r="H76" s="27"/>
      <c r="I76" s="27"/>
      <c r="J76" s="27"/>
      <c r="K76" s="27"/>
      <c r="L76" s="27"/>
      <c r="M76" s="27"/>
      <c r="N76" s="27"/>
      <c r="O76" s="27"/>
      <c r="P76" s="27"/>
      <c r="Q76" s="3">
        <f t="shared" si="2"/>
        <v>0</v>
      </c>
      <c r="R76" s="3">
        <v>60789.32</v>
      </c>
      <c r="S76" s="3">
        <f>Q76/'F&amp;B Summary'!$Q$148</f>
        <v>0</v>
      </c>
      <c r="T76" s="35"/>
      <c r="U76" s="40">
        <f t="shared" si="1"/>
        <v>0</v>
      </c>
    </row>
    <row r="77" spans="1:21" s="3" customFormat="1" ht="24.95" hidden="1" customHeight="1">
      <c r="A77" s="3" t="s">
        <v>604</v>
      </c>
      <c r="B77" s="3" t="s">
        <v>483</v>
      </c>
      <c r="D77" s="26" t="s">
        <v>605</v>
      </c>
      <c r="E77" s="27"/>
      <c r="F77" s="27"/>
      <c r="G77" s="27"/>
      <c r="H77" s="27"/>
      <c r="I77" s="27"/>
      <c r="J77" s="27"/>
      <c r="K77" s="27"/>
      <c r="L77" s="27"/>
      <c r="M77" s="27"/>
      <c r="N77" s="27"/>
      <c r="O77" s="27"/>
      <c r="P77" s="27"/>
      <c r="Q77" s="3">
        <f t="shared" si="2"/>
        <v>0</v>
      </c>
      <c r="R77" s="3">
        <v>0</v>
      </c>
      <c r="S77" s="3">
        <f>Q77/'F&amp;B Summary'!$Q$148</f>
        <v>0</v>
      </c>
      <c r="T77" s="35"/>
      <c r="U77" s="40">
        <f t="shared" ref="U77:U125" si="3">-IF(Q77-T77=0,0,(Q77-T77)/T77)</f>
        <v>0</v>
      </c>
    </row>
    <row r="78" spans="1:21" s="3" customFormat="1" ht="24.95" hidden="1" customHeight="1">
      <c r="A78" s="3" t="s">
        <v>606</v>
      </c>
      <c r="B78" s="3" t="s">
        <v>483</v>
      </c>
      <c r="D78" s="26" t="s">
        <v>607</v>
      </c>
      <c r="E78" s="27"/>
      <c r="F78" s="27"/>
      <c r="G78" s="27"/>
      <c r="H78" s="27"/>
      <c r="I78" s="27"/>
      <c r="J78" s="27"/>
      <c r="K78" s="27"/>
      <c r="L78" s="27"/>
      <c r="M78" s="27"/>
      <c r="N78" s="27"/>
      <c r="O78" s="27"/>
      <c r="P78" s="27"/>
      <c r="Q78" s="3">
        <f t="shared" si="2"/>
        <v>0</v>
      </c>
      <c r="R78" s="3">
        <v>0</v>
      </c>
      <c r="S78" s="3">
        <f>Q78/'F&amp;B Summary'!$Q$148</f>
        <v>0</v>
      </c>
      <c r="T78" s="35"/>
      <c r="U78" s="40">
        <f t="shared" si="3"/>
        <v>0</v>
      </c>
    </row>
    <row r="79" spans="1:21" s="3" customFormat="1" ht="24.95" hidden="1" customHeight="1">
      <c r="A79" s="3" t="s">
        <v>608</v>
      </c>
      <c r="B79" s="3" t="s">
        <v>483</v>
      </c>
      <c r="D79" s="26" t="s">
        <v>609</v>
      </c>
      <c r="E79" s="27"/>
      <c r="F79" s="27"/>
      <c r="G79" s="27"/>
      <c r="H79" s="27"/>
      <c r="I79" s="27"/>
      <c r="J79" s="27"/>
      <c r="K79" s="27"/>
      <c r="L79" s="27"/>
      <c r="M79" s="27"/>
      <c r="N79" s="27"/>
      <c r="O79" s="27"/>
      <c r="P79" s="27"/>
      <c r="Q79" s="3">
        <f t="shared" si="2"/>
        <v>0</v>
      </c>
      <c r="R79" s="3">
        <v>0</v>
      </c>
      <c r="S79" s="3">
        <f>Q79/'F&amp;B Summary'!$Q$148</f>
        <v>0</v>
      </c>
      <c r="T79" s="35"/>
      <c r="U79" s="40">
        <f t="shared" si="3"/>
        <v>0</v>
      </c>
    </row>
    <row r="80" spans="1:21" s="3" customFormat="1" ht="24.95" hidden="1" customHeight="1">
      <c r="A80" s="3" t="s">
        <v>268</v>
      </c>
      <c r="B80" s="3" t="s">
        <v>483</v>
      </c>
      <c r="D80" s="26" t="s">
        <v>610</v>
      </c>
      <c r="E80" s="27"/>
      <c r="F80" s="27"/>
      <c r="G80" s="27"/>
      <c r="H80" s="27"/>
      <c r="I80" s="27"/>
      <c r="J80" s="27"/>
      <c r="K80" s="27"/>
      <c r="L80" s="27"/>
      <c r="M80" s="27"/>
      <c r="N80" s="27"/>
      <c r="O80" s="27"/>
      <c r="P80" s="27"/>
      <c r="Q80" s="3">
        <f t="shared" ref="Q80:Q82" si="4">SUM(E80:P80)</f>
        <v>0</v>
      </c>
      <c r="R80" s="3">
        <v>0</v>
      </c>
      <c r="S80" s="3">
        <f>Q80/'F&amp;B Summary'!$Q$148</f>
        <v>0</v>
      </c>
      <c r="T80" s="35"/>
      <c r="U80" s="40">
        <f t="shared" si="3"/>
        <v>0</v>
      </c>
    </row>
    <row r="81" spans="1:21" s="3" customFormat="1" ht="24.95" hidden="1" customHeight="1">
      <c r="A81" s="3" t="s">
        <v>270</v>
      </c>
      <c r="B81" s="3" t="s">
        <v>483</v>
      </c>
      <c r="D81" s="26" t="s">
        <v>271</v>
      </c>
      <c r="E81" s="27"/>
      <c r="F81" s="27"/>
      <c r="G81" s="27"/>
      <c r="H81" s="27"/>
      <c r="I81" s="27"/>
      <c r="J81" s="27"/>
      <c r="K81" s="27"/>
      <c r="L81" s="27"/>
      <c r="M81" s="27"/>
      <c r="N81" s="27"/>
      <c r="O81" s="27"/>
      <c r="P81" s="27"/>
      <c r="Q81" s="3">
        <f t="shared" si="4"/>
        <v>0</v>
      </c>
      <c r="R81" s="3">
        <v>0</v>
      </c>
      <c r="S81" s="3">
        <f>Q81/'F&amp;B Summary'!$Q$148</f>
        <v>0</v>
      </c>
      <c r="T81" s="35"/>
      <c r="U81" s="40">
        <f t="shared" si="3"/>
        <v>0</v>
      </c>
    </row>
    <row r="82" spans="1:21" s="3" customFormat="1" ht="24.95" customHeight="1">
      <c r="A82" s="3" t="s">
        <v>611</v>
      </c>
      <c r="B82" s="3" t="s">
        <v>483</v>
      </c>
      <c r="D82" s="26" t="s">
        <v>612</v>
      </c>
      <c r="E82" s="27"/>
      <c r="F82" s="27"/>
      <c r="G82" s="27"/>
      <c r="H82" s="27"/>
      <c r="I82" s="27"/>
      <c r="J82" s="27"/>
      <c r="K82" s="27"/>
      <c r="L82" s="27"/>
      <c r="M82" s="27"/>
      <c r="N82" s="27"/>
      <c r="O82" s="27"/>
      <c r="P82" s="27"/>
      <c r="Q82" s="3">
        <f t="shared" si="4"/>
        <v>0</v>
      </c>
      <c r="R82" s="3">
        <v>1206413.77</v>
      </c>
      <c r="S82" s="3">
        <f>Q82/'F&amp;B Summary'!$Q$148</f>
        <v>0</v>
      </c>
      <c r="T82" s="35"/>
      <c r="U82" s="40">
        <f t="shared" si="3"/>
        <v>0</v>
      </c>
    </row>
    <row r="83" spans="1:21" s="19" customFormat="1" ht="24.95" customHeight="1">
      <c r="D83" s="21" t="s">
        <v>613</v>
      </c>
      <c r="E83" s="45">
        <f>SUM(E15:E82)</f>
        <v>9399.2799999999988</v>
      </c>
      <c r="F83" s="45">
        <f t="shared" ref="F83:P83" si="5">SUM(F15:F82)</f>
        <v>8902.08</v>
      </c>
      <c r="G83" s="45">
        <f t="shared" si="5"/>
        <v>8880.6899999999987</v>
      </c>
      <c r="H83" s="45">
        <f t="shared" si="5"/>
        <v>14445.189999999999</v>
      </c>
      <c r="I83" s="45">
        <f t="shared" si="5"/>
        <v>14514.77</v>
      </c>
      <c r="J83" s="45">
        <f t="shared" si="5"/>
        <v>12565.61</v>
      </c>
      <c r="K83" s="45">
        <f t="shared" si="5"/>
        <v>12509.57</v>
      </c>
      <c r="L83" s="45">
        <f t="shared" si="5"/>
        <v>12536.33</v>
      </c>
      <c r="M83" s="45">
        <f t="shared" si="5"/>
        <v>14886.74</v>
      </c>
      <c r="N83" s="45">
        <f t="shared" si="5"/>
        <v>15389.53</v>
      </c>
      <c r="O83" s="45">
        <f t="shared" si="5"/>
        <v>12303.51</v>
      </c>
      <c r="P83" s="45">
        <f t="shared" si="5"/>
        <v>12201.82</v>
      </c>
      <c r="Q83" s="45">
        <f t="shared" ref="Q83" si="6">SUM(Q15:Q82)</f>
        <v>148535.12</v>
      </c>
      <c r="R83" s="45">
        <v>3775081.91</v>
      </c>
      <c r="S83" s="3">
        <f>Q83/'F&amp;B Summary'!$Q$148</f>
        <v>1.7055982844783073</v>
      </c>
      <c r="T83" s="35"/>
      <c r="U83" s="40" t="e">
        <f t="shared" si="3"/>
        <v>#DIV/0!</v>
      </c>
    </row>
    <row r="84" spans="1:21" s="19" customFormat="1" ht="24.95" customHeight="1">
      <c r="D84" s="21" t="s">
        <v>614</v>
      </c>
      <c r="E84" s="45">
        <f t="shared" ref="E84:Q84" si="7">+E12+E83</f>
        <v>205472.61</v>
      </c>
      <c r="F84" s="45">
        <f t="shared" si="7"/>
        <v>223320.72</v>
      </c>
      <c r="G84" s="45">
        <f t="shared" si="7"/>
        <v>195731.36000000002</v>
      </c>
      <c r="H84" s="45">
        <f t="shared" si="7"/>
        <v>210518.52</v>
      </c>
      <c r="I84" s="45">
        <f t="shared" si="7"/>
        <v>210588.09999999998</v>
      </c>
      <c r="J84" s="45">
        <f t="shared" si="7"/>
        <v>208638.94</v>
      </c>
      <c r="K84" s="45">
        <f t="shared" si="7"/>
        <v>199360.24000000002</v>
      </c>
      <c r="L84" s="45">
        <f t="shared" si="7"/>
        <v>199387</v>
      </c>
      <c r="M84" s="45">
        <f t="shared" si="7"/>
        <v>211079.06999999998</v>
      </c>
      <c r="N84" s="45">
        <f t="shared" si="7"/>
        <v>230165.19</v>
      </c>
      <c r="O84" s="45">
        <f t="shared" si="7"/>
        <v>199154.18000000002</v>
      </c>
      <c r="P84" s="45">
        <f t="shared" si="7"/>
        <v>199052.49000000002</v>
      </c>
      <c r="Q84" s="45">
        <f t="shared" si="7"/>
        <v>2492468.42</v>
      </c>
      <c r="R84" s="45">
        <v>12763695.470000001</v>
      </c>
      <c r="S84" s="3">
        <f>Q84/'F&amp;B Summary'!$Q$148</f>
        <v>28.620503092254257</v>
      </c>
      <c r="T84" s="35"/>
      <c r="U84" s="40" t="e">
        <f t="shared" si="3"/>
        <v>#DIV/0!</v>
      </c>
    </row>
    <row r="85" spans="1:21" s="3" customFormat="1" ht="24.95" hidden="1" customHeight="1">
      <c r="A85" s="84" t="s">
        <v>615</v>
      </c>
      <c r="B85" s="3" t="s">
        <v>616</v>
      </c>
      <c r="D85" s="42" t="s">
        <v>351</v>
      </c>
      <c r="E85" s="74">
        <v>877418.59</v>
      </c>
      <c r="F85" s="74">
        <v>900857.82</v>
      </c>
      <c r="G85" s="74">
        <v>1104096.8</v>
      </c>
      <c r="H85" s="74">
        <v>1309327.04</v>
      </c>
      <c r="I85" s="74">
        <v>1209091.8899999999</v>
      </c>
      <c r="J85" s="74">
        <v>1090347.06</v>
      </c>
      <c r="K85" s="74">
        <v>1162046.0900000001</v>
      </c>
      <c r="L85" s="74">
        <v>1267208.1299999999</v>
      </c>
      <c r="M85" s="74">
        <f>+M84</f>
        <v>211079.06999999998</v>
      </c>
      <c r="N85" s="74">
        <f>+N84</f>
        <v>230165.19</v>
      </c>
      <c r="O85" s="74">
        <f>+O84</f>
        <v>199154.18000000002</v>
      </c>
      <c r="P85" s="74">
        <f>+P84</f>
        <v>199052.49000000002</v>
      </c>
      <c r="Q85" s="3">
        <f>+Q84</f>
        <v>2492468.42</v>
      </c>
      <c r="R85" s="3">
        <v>12763695.470000001</v>
      </c>
      <c r="T85" s="35"/>
      <c r="U85" s="40" t="e">
        <f t="shared" si="3"/>
        <v>#DIV/0!</v>
      </c>
    </row>
    <row r="86" spans="1:21" s="3" customFormat="1" ht="24.95" customHeight="1">
      <c r="A86" s="84" t="s">
        <v>468</v>
      </c>
      <c r="B86" s="3" t="s">
        <v>483</v>
      </c>
      <c r="D86" s="42" t="s">
        <v>617</v>
      </c>
      <c r="E86" s="27">
        <f t="shared" ref="E86:P86" si="8">-E84</f>
        <v>-205472.61</v>
      </c>
      <c r="F86" s="27">
        <f t="shared" si="8"/>
        <v>-223320.72</v>
      </c>
      <c r="G86" s="27">
        <f t="shared" si="8"/>
        <v>-195731.36000000002</v>
      </c>
      <c r="H86" s="27">
        <f t="shared" si="8"/>
        <v>-210518.52</v>
      </c>
      <c r="I86" s="27">
        <f t="shared" si="8"/>
        <v>-210588.09999999998</v>
      </c>
      <c r="J86" s="27">
        <f t="shared" si="8"/>
        <v>-208638.94</v>
      </c>
      <c r="K86" s="27">
        <f t="shared" si="8"/>
        <v>-199360.24000000002</v>
      </c>
      <c r="L86" s="27">
        <f t="shared" si="8"/>
        <v>-199387</v>
      </c>
      <c r="M86" s="27">
        <f t="shared" si="8"/>
        <v>-211079.06999999998</v>
      </c>
      <c r="N86" s="27">
        <f t="shared" si="8"/>
        <v>-230165.19</v>
      </c>
      <c r="O86" s="27">
        <f t="shared" si="8"/>
        <v>-199154.18000000002</v>
      </c>
      <c r="P86" s="27">
        <f t="shared" si="8"/>
        <v>-199052.49000000002</v>
      </c>
      <c r="Q86" s="3">
        <f>SUM(E86:P86)</f>
        <v>-2492468.4200000004</v>
      </c>
      <c r="T86" s="35"/>
      <c r="U86" s="40" t="e">
        <f t="shared" si="3"/>
        <v>#DIV/0!</v>
      </c>
    </row>
    <row r="87" spans="1:21" s="3" customFormat="1" ht="24.95" customHeight="1">
      <c r="D87" s="42"/>
      <c r="E87" s="74"/>
      <c r="F87" s="74"/>
      <c r="G87" s="74"/>
      <c r="H87" s="74"/>
      <c r="I87" s="74"/>
      <c r="T87" s="35"/>
      <c r="U87" s="40"/>
    </row>
    <row r="88" spans="1:21" s="3" customFormat="1" ht="24.95" customHeight="1">
      <c r="B88" s="51"/>
      <c r="D88" s="19" t="s">
        <v>618</v>
      </c>
      <c r="E88" s="48"/>
      <c r="F88" s="48"/>
      <c r="G88" s="48"/>
      <c r="H88" s="48"/>
      <c r="I88" s="48"/>
      <c r="J88" s="48"/>
      <c r="K88" s="48"/>
      <c r="L88" s="48"/>
      <c r="M88" s="48"/>
      <c r="N88" s="48"/>
      <c r="O88" s="48"/>
      <c r="P88" s="48"/>
      <c r="T88" s="35"/>
      <c r="U88" s="40"/>
    </row>
    <row r="89" spans="1:21" s="3" customFormat="1" ht="24.95" customHeight="1">
      <c r="B89" s="51"/>
      <c r="D89" s="19" t="s">
        <v>444</v>
      </c>
      <c r="E89" s="48"/>
      <c r="F89" s="48"/>
      <c r="G89" s="48"/>
      <c r="H89" s="48"/>
      <c r="I89" s="48"/>
      <c r="T89" s="35"/>
      <c r="U89" s="40"/>
    </row>
    <row r="90" spans="1:21" s="3" customFormat="1" ht="24.95" customHeight="1">
      <c r="A90" s="270" t="s">
        <v>295</v>
      </c>
      <c r="B90" s="3" t="s">
        <v>483</v>
      </c>
      <c r="D90" s="26" t="s">
        <v>297</v>
      </c>
      <c r="E90" s="27">
        <v>24000</v>
      </c>
      <c r="F90" s="27">
        <v>24000</v>
      </c>
      <c r="G90" s="27">
        <v>24000</v>
      </c>
      <c r="H90" s="27">
        <v>24000</v>
      </c>
      <c r="I90" s="27">
        <v>24000</v>
      </c>
      <c r="J90" s="27">
        <v>24000</v>
      </c>
      <c r="K90" s="27">
        <v>24000</v>
      </c>
      <c r="L90" s="27">
        <v>24000</v>
      </c>
      <c r="M90" s="27">
        <v>24000</v>
      </c>
      <c r="N90" s="27">
        <v>24000</v>
      </c>
      <c r="O90" s="27">
        <v>24000</v>
      </c>
      <c r="P90" s="27">
        <v>24000</v>
      </c>
      <c r="Q90" s="3">
        <f>SUM(E90:P90)</f>
        <v>288000</v>
      </c>
      <c r="R90" s="3">
        <v>3618344.18</v>
      </c>
      <c r="S90" s="3">
        <f>Q90/'F&amp;B Summary'!$Q$148</f>
        <v>3.3070448654146745</v>
      </c>
      <c r="T90" s="35"/>
      <c r="U90" s="40" t="e">
        <f t="shared" si="3"/>
        <v>#DIV/0!</v>
      </c>
    </row>
    <row r="91" spans="1:21" s="3" customFormat="1" ht="24.95" customHeight="1">
      <c r="A91" s="50" t="s">
        <v>298</v>
      </c>
      <c r="B91" s="3" t="s">
        <v>483</v>
      </c>
      <c r="D91" s="26" t="s">
        <v>447</v>
      </c>
      <c r="E91" s="27">
        <v>35500</v>
      </c>
      <c r="F91" s="27">
        <v>35500</v>
      </c>
      <c r="G91" s="27">
        <v>35500</v>
      </c>
      <c r="H91" s="27">
        <v>35500</v>
      </c>
      <c r="I91" s="27">
        <v>35500</v>
      </c>
      <c r="J91" s="27">
        <v>35500</v>
      </c>
      <c r="K91" s="27">
        <v>35500</v>
      </c>
      <c r="L91" s="27">
        <v>35500</v>
      </c>
      <c r="M91" s="27">
        <v>35500</v>
      </c>
      <c r="N91" s="27">
        <v>35500</v>
      </c>
      <c r="O91" s="27">
        <v>35500</v>
      </c>
      <c r="P91" s="27">
        <v>35500</v>
      </c>
      <c r="Q91" s="3">
        <f>SUM(E91:P91)</f>
        <v>426000</v>
      </c>
      <c r="R91" s="3">
        <v>1159791.6399999999</v>
      </c>
      <c r="S91" s="3">
        <f>Q91/'F&amp;B Summary'!$Q$148</f>
        <v>4.8916705300925392</v>
      </c>
      <c r="T91" s="35"/>
      <c r="U91" s="40" t="e">
        <f t="shared" si="3"/>
        <v>#DIV/0!</v>
      </c>
    </row>
    <row r="92" spans="1:21" s="3" customFormat="1" ht="24.95" customHeight="1">
      <c r="B92" s="51"/>
      <c r="D92" s="21" t="s">
        <v>450</v>
      </c>
      <c r="E92" s="52">
        <f>SUM(E90:E91)</f>
        <v>59500</v>
      </c>
      <c r="F92" s="52">
        <f t="shared" ref="F92:P92" si="9">SUM(F90:F91)</f>
        <v>59500</v>
      </c>
      <c r="G92" s="52">
        <f t="shared" si="9"/>
        <v>59500</v>
      </c>
      <c r="H92" s="52">
        <f t="shared" si="9"/>
        <v>59500</v>
      </c>
      <c r="I92" s="52">
        <f t="shared" si="9"/>
        <v>59500</v>
      </c>
      <c r="J92" s="52">
        <f t="shared" si="9"/>
        <v>59500</v>
      </c>
      <c r="K92" s="52">
        <f t="shared" si="9"/>
        <v>59500</v>
      </c>
      <c r="L92" s="52">
        <f t="shared" si="9"/>
        <v>59500</v>
      </c>
      <c r="M92" s="52">
        <f t="shared" si="9"/>
        <v>59500</v>
      </c>
      <c r="N92" s="52">
        <f t="shared" si="9"/>
        <v>59500</v>
      </c>
      <c r="O92" s="52">
        <f t="shared" si="9"/>
        <v>59500</v>
      </c>
      <c r="P92" s="52">
        <f t="shared" si="9"/>
        <v>59500</v>
      </c>
      <c r="Q92" s="52">
        <f t="shared" ref="Q92" si="10">SUM(Q90:Q91)</f>
        <v>714000</v>
      </c>
      <c r="R92" s="52">
        <v>4778135.82</v>
      </c>
      <c r="S92" s="3">
        <f>Q92/'F&amp;B Summary'!$Q$148</f>
        <v>8.1987153955072127</v>
      </c>
      <c r="T92" s="35"/>
      <c r="U92" s="40" t="e">
        <f t="shared" si="3"/>
        <v>#DIV/0!</v>
      </c>
    </row>
    <row r="93" spans="1:21" s="3" customFormat="1" ht="24.95" customHeight="1">
      <c r="B93" s="51"/>
      <c r="E93" s="53"/>
      <c r="F93" s="53"/>
      <c r="G93" s="53"/>
      <c r="H93" s="53"/>
      <c r="I93" s="53"/>
      <c r="J93" s="53"/>
      <c r="K93" s="53"/>
      <c r="L93" s="53"/>
      <c r="M93" s="53"/>
      <c r="N93" s="53"/>
      <c r="O93" s="53"/>
      <c r="P93" s="53"/>
      <c r="T93" s="35"/>
      <c r="U93" s="40"/>
    </row>
    <row r="94" spans="1:21" s="3" customFormat="1" ht="24.95" customHeight="1">
      <c r="A94" s="50" t="s">
        <v>619</v>
      </c>
      <c r="B94" s="3" t="s">
        <v>483</v>
      </c>
      <c r="D94" s="26" t="s">
        <v>307</v>
      </c>
      <c r="E94" s="27">
        <v>4760.34</v>
      </c>
      <c r="F94" s="27">
        <v>14281.01</v>
      </c>
      <c r="G94" s="27">
        <v>0</v>
      </c>
      <c r="H94" s="27">
        <v>4760.34</v>
      </c>
      <c r="I94" s="27">
        <v>4760.34</v>
      </c>
      <c r="J94" s="27">
        <v>4760.34</v>
      </c>
      <c r="K94" s="27">
        <v>0</v>
      </c>
      <c r="L94" s="27">
        <v>0</v>
      </c>
      <c r="M94" s="27">
        <v>4879.34</v>
      </c>
      <c r="N94" s="27">
        <v>14638.03</v>
      </c>
      <c r="O94" s="27"/>
      <c r="P94" s="27"/>
      <c r="Q94" s="3">
        <f>SUM(E94:P94)</f>
        <v>52839.739999999991</v>
      </c>
      <c r="R94" s="3">
        <v>148934.06</v>
      </c>
      <c r="S94" s="3">
        <f>Q94/'F&amp;B Summary'!$Q$148</f>
        <v>0.60674788491960541</v>
      </c>
      <c r="T94" s="35"/>
      <c r="U94" s="40" t="e">
        <f t="shared" si="3"/>
        <v>#DIV/0!</v>
      </c>
    </row>
    <row r="95" spans="1:21" s="3" customFormat="1" ht="24.6" customHeight="1">
      <c r="A95" s="50" t="s">
        <v>308</v>
      </c>
      <c r="B95" s="3" t="s">
        <v>483</v>
      </c>
      <c r="D95" s="26" t="s">
        <v>309</v>
      </c>
      <c r="E95" s="27">
        <f>ROUND((E92+61000)/12*1.5,2)</f>
        <v>15062.5</v>
      </c>
      <c r="F95" s="27">
        <f t="shared" ref="F95:P95" si="11">ROUND((F92+61000)/12*1.5,2)</f>
        <v>15062.5</v>
      </c>
      <c r="G95" s="27">
        <f t="shared" si="11"/>
        <v>15062.5</v>
      </c>
      <c r="H95" s="27">
        <f t="shared" si="11"/>
        <v>15062.5</v>
      </c>
      <c r="I95" s="27">
        <f t="shared" si="11"/>
        <v>15062.5</v>
      </c>
      <c r="J95" s="27">
        <f t="shared" si="11"/>
        <v>15062.5</v>
      </c>
      <c r="K95" s="27">
        <f t="shared" si="11"/>
        <v>15062.5</v>
      </c>
      <c r="L95" s="27">
        <f t="shared" si="11"/>
        <v>15062.5</v>
      </c>
      <c r="M95" s="27">
        <f t="shared" si="11"/>
        <v>15062.5</v>
      </c>
      <c r="N95" s="27">
        <f t="shared" si="11"/>
        <v>15062.5</v>
      </c>
      <c r="O95" s="27">
        <f t="shared" si="11"/>
        <v>15062.5</v>
      </c>
      <c r="P95" s="27">
        <f t="shared" si="11"/>
        <v>15062.5</v>
      </c>
      <c r="Q95" s="3">
        <f t="shared" ref="Q95:Q101" si="12">SUM(E95:P95)</f>
        <v>180750</v>
      </c>
      <c r="R95" s="3">
        <v>678215.17</v>
      </c>
      <c r="S95" s="3">
        <f>Q95/'F&amp;B Summary'!$Q$148</f>
        <v>2.0755151368878555</v>
      </c>
      <c r="T95" s="35"/>
      <c r="U95" s="40" t="e">
        <f t="shared" si="3"/>
        <v>#DIV/0!</v>
      </c>
    </row>
    <row r="96" spans="1:21" s="3" customFormat="1" ht="24.95" customHeight="1">
      <c r="A96" s="50" t="s">
        <v>620</v>
      </c>
      <c r="B96" s="3" t="s">
        <v>483</v>
      </c>
      <c r="D96" s="26" t="s">
        <v>311</v>
      </c>
      <c r="E96" s="27"/>
      <c r="F96" s="27"/>
      <c r="G96" s="27"/>
      <c r="H96" s="27"/>
      <c r="I96" s="27"/>
      <c r="J96" s="27"/>
      <c r="K96" s="27"/>
      <c r="L96" s="27"/>
      <c r="M96" s="27"/>
      <c r="N96" s="27"/>
      <c r="O96" s="27"/>
      <c r="P96" s="27"/>
      <c r="Q96" s="3">
        <f t="shared" si="12"/>
        <v>0</v>
      </c>
      <c r="R96" s="3">
        <v>16190</v>
      </c>
      <c r="S96" s="3">
        <f>Q96/'F&amp;B Summary'!$Q$148</f>
        <v>0</v>
      </c>
      <c r="T96" s="35"/>
      <c r="U96" s="40">
        <f t="shared" si="3"/>
        <v>0</v>
      </c>
    </row>
    <row r="97" spans="1:21" s="3" customFormat="1" ht="24.95" customHeight="1">
      <c r="A97" s="50" t="s">
        <v>621</v>
      </c>
      <c r="B97" s="3" t="s">
        <v>483</v>
      </c>
      <c r="D97" s="26" t="s">
        <v>313</v>
      </c>
      <c r="E97" s="27"/>
      <c r="F97" s="27"/>
      <c r="G97" s="27"/>
      <c r="H97" s="27"/>
      <c r="I97" s="27"/>
      <c r="J97" s="27"/>
      <c r="K97" s="27"/>
      <c r="L97" s="27"/>
      <c r="M97" s="27"/>
      <c r="N97" s="27"/>
      <c r="O97" s="27"/>
      <c r="P97" s="27"/>
      <c r="Q97" s="3">
        <f t="shared" ref="Q97:Q98" si="13">SUM(E97:P97)</f>
        <v>0</v>
      </c>
      <c r="R97" s="3">
        <v>33600</v>
      </c>
      <c r="S97" s="3">
        <f>Q97/'F&amp;B Summary'!$Q$148</f>
        <v>0</v>
      </c>
      <c r="T97" s="35"/>
      <c r="U97" s="40">
        <f t="shared" ref="U97:U98" si="14">-IF(Q97-T97=0,0,(Q97-T97)/T97)</f>
        <v>0</v>
      </c>
    </row>
    <row r="98" spans="1:21" s="3" customFormat="1" ht="24.95" customHeight="1">
      <c r="A98" s="50" t="s">
        <v>622</v>
      </c>
      <c r="B98" s="3" t="s">
        <v>483</v>
      </c>
      <c r="D98" s="26" t="s">
        <v>315</v>
      </c>
      <c r="E98" s="27"/>
      <c r="F98" s="27"/>
      <c r="G98" s="27"/>
      <c r="H98" s="27"/>
      <c r="I98" s="27"/>
      <c r="J98" s="27"/>
      <c r="K98" s="27"/>
      <c r="L98" s="27"/>
      <c r="M98" s="27"/>
      <c r="N98" s="27"/>
      <c r="O98" s="27"/>
      <c r="P98" s="27"/>
      <c r="Q98" s="3">
        <f t="shared" si="13"/>
        <v>0</v>
      </c>
      <c r="R98" s="3">
        <v>0</v>
      </c>
      <c r="S98" s="3">
        <f>Q98/'F&amp;B Summary'!$Q$148</f>
        <v>0</v>
      </c>
      <c r="T98" s="35"/>
      <c r="U98" s="40">
        <f t="shared" si="14"/>
        <v>0</v>
      </c>
    </row>
    <row r="99" spans="1:21" s="3" customFormat="1" ht="24.95" customHeight="1">
      <c r="A99" s="50" t="s">
        <v>1109</v>
      </c>
      <c r="B99" s="3" t="s">
        <v>483</v>
      </c>
      <c r="D99" s="26" t="s">
        <v>1113</v>
      </c>
      <c r="E99" s="27">
        <f>78200+4200</f>
        <v>82400</v>
      </c>
      <c r="F99" s="27">
        <f>78200+12500</f>
        <v>90700</v>
      </c>
      <c r="G99" s="27">
        <v>78200</v>
      </c>
      <c r="H99" s="27">
        <f>78200+4200</f>
        <v>82400</v>
      </c>
      <c r="I99" s="27">
        <f>78200+4200</f>
        <v>82400</v>
      </c>
      <c r="J99" s="27">
        <f>78200+4200</f>
        <v>82400</v>
      </c>
      <c r="K99" s="27">
        <v>78200</v>
      </c>
      <c r="L99" s="27">
        <v>78200</v>
      </c>
      <c r="M99" s="27">
        <f>78200+4200</f>
        <v>82400</v>
      </c>
      <c r="N99" s="27">
        <f>78200+12500</f>
        <v>90700</v>
      </c>
      <c r="O99" s="27">
        <v>78200</v>
      </c>
      <c r="P99" s="27">
        <v>78200</v>
      </c>
      <c r="Q99" s="3">
        <f t="shared" si="12"/>
        <v>984400</v>
      </c>
      <c r="R99" s="3">
        <v>33600</v>
      </c>
      <c r="S99" s="3">
        <f>Q99/'F&amp;B Summary'!$Q$148</f>
        <v>11.303663074702103</v>
      </c>
      <c r="T99" s="35"/>
      <c r="U99" s="40" t="e">
        <f t="shared" si="3"/>
        <v>#DIV/0!</v>
      </c>
    </row>
    <row r="100" spans="1:21" s="3" customFormat="1" ht="24.95" customHeight="1">
      <c r="A100" s="50" t="s">
        <v>1109</v>
      </c>
      <c r="B100" s="3" t="s">
        <v>483</v>
      </c>
      <c r="D100" s="26" t="s">
        <v>1114</v>
      </c>
      <c r="E100" s="27"/>
      <c r="F100" s="27"/>
      <c r="G100" s="27"/>
      <c r="H100" s="27"/>
      <c r="I100" s="27"/>
      <c r="J100" s="27"/>
      <c r="K100" s="27"/>
      <c r="L100" s="27"/>
      <c r="M100" s="27"/>
      <c r="N100" s="27"/>
      <c r="O100" s="27"/>
      <c r="P100" s="27"/>
      <c r="Q100" s="3">
        <f t="shared" si="12"/>
        <v>0</v>
      </c>
      <c r="R100" s="3">
        <v>0</v>
      </c>
      <c r="S100" s="3">
        <f>Q100/'F&amp;B Summary'!$Q$148</f>
        <v>0</v>
      </c>
      <c r="T100" s="35"/>
      <c r="U100" s="40">
        <f t="shared" si="3"/>
        <v>0</v>
      </c>
    </row>
    <row r="101" spans="1:21" s="3" customFormat="1" ht="24.95" hidden="1" customHeight="1">
      <c r="A101" s="50" t="s">
        <v>623</v>
      </c>
      <c r="B101" s="3" t="s">
        <v>483</v>
      </c>
      <c r="D101" s="26" t="s">
        <v>624</v>
      </c>
      <c r="E101" s="27"/>
      <c r="F101" s="27"/>
      <c r="G101" s="27"/>
      <c r="H101" s="27"/>
      <c r="I101" s="27"/>
      <c r="J101" s="27">
        <v>0</v>
      </c>
      <c r="K101" s="27">
        <v>0</v>
      </c>
      <c r="L101" s="27">
        <v>0</v>
      </c>
      <c r="M101" s="27">
        <v>0</v>
      </c>
      <c r="N101" s="27">
        <v>0</v>
      </c>
      <c r="O101" s="27">
        <v>0</v>
      </c>
      <c r="P101" s="27">
        <v>0</v>
      </c>
      <c r="Q101" s="3">
        <f t="shared" si="12"/>
        <v>0</v>
      </c>
      <c r="R101" s="3">
        <v>0</v>
      </c>
      <c r="S101" s="3">
        <f>Q101/'F&amp;B Summary'!$Q$148</f>
        <v>0</v>
      </c>
      <c r="T101" s="35"/>
      <c r="U101" s="40">
        <f t="shared" si="3"/>
        <v>0</v>
      </c>
    </row>
    <row r="102" spans="1:21" s="19" customFormat="1" ht="24.75" customHeight="1">
      <c r="A102" s="54"/>
      <c r="B102" s="51"/>
      <c r="D102" s="19" t="s">
        <v>316</v>
      </c>
      <c r="E102" s="52">
        <f>SUM(E94:E101)</f>
        <v>102222.84</v>
      </c>
      <c r="F102" s="52">
        <f t="shared" ref="F102:P102" si="15">SUM(F94:F101)</f>
        <v>120043.51000000001</v>
      </c>
      <c r="G102" s="52">
        <f t="shared" si="15"/>
        <v>93262.5</v>
      </c>
      <c r="H102" s="52">
        <f t="shared" si="15"/>
        <v>102222.84</v>
      </c>
      <c r="I102" s="52">
        <f t="shared" si="15"/>
        <v>102222.84</v>
      </c>
      <c r="J102" s="52">
        <f t="shared" si="15"/>
        <v>102222.84</v>
      </c>
      <c r="K102" s="52">
        <f t="shared" si="15"/>
        <v>93262.5</v>
      </c>
      <c r="L102" s="52">
        <f t="shared" si="15"/>
        <v>93262.5</v>
      </c>
      <c r="M102" s="52">
        <f t="shared" si="15"/>
        <v>102341.84</v>
      </c>
      <c r="N102" s="52">
        <f t="shared" si="15"/>
        <v>120400.53</v>
      </c>
      <c r="O102" s="52">
        <f t="shared" si="15"/>
        <v>93262.5</v>
      </c>
      <c r="P102" s="52">
        <f t="shared" si="15"/>
        <v>93262.5</v>
      </c>
      <c r="Q102" s="52">
        <f t="shared" ref="Q102" si="16">SUM(Q94:Q101)</f>
        <v>1217989.74</v>
      </c>
      <c r="R102" s="52">
        <v>876939.23</v>
      </c>
      <c r="S102" s="3">
        <f>Q102/'F&amp;B Summary'!$Q$148</f>
        <v>13.985926096509562</v>
      </c>
      <c r="T102" s="35"/>
      <c r="U102" s="40" t="e">
        <f t="shared" si="3"/>
        <v>#DIV/0!</v>
      </c>
    </row>
    <row r="103" spans="1:21" s="3" customFormat="1" ht="24.95" customHeight="1">
      <c r="A103" s="50"/>
      <c r="D103" s="19"/>
      <c r="E103" s="53"/>
      <c r="F103" s="53"/>
      <c r="G103" s="53"/>
      <c r="H103" s="53"/>
      <c r="I103" s="53"/>
      <c r="T103" s="35"/>
      <c r="U103" s="40"/>
    </row>
    <row r="104" spans="1:21" s="3" customFormat="1" ht="24.95" customHeight="1">
      <c r="A104" s="271" t="s">
        <v>625</v>
      </c>
      <c r="B104" s="3" t="s">
        <v>483</v>
      </c>
      <c r="D104" s="26" t="s">
        <v>318</v>
      </c>
      <c r="E104" s="27">
        <v>10300</v>
      </c>
      <c r="F104" s="27">
        <v>10300</v>
      </c>
      <c r="G104" s="27">
        <v>10300</v>
      </c>
      <c r="H104" s="27">
        <v>10300</v>
      </c>
      <c r="I104" s="27">
        <v>10300</v>
      </c>
      <c r="J104" s="27">
        <v>10300</v>
      </c>
      <c r="K104" s="27">
        <v>10300</v>
      </c>
      <c r="L104" s="27">
        <v>10300</v>
      </c>
      <c r="M104" s="27">
        <v>10300</v>
      </c>
      <c r="N104" s="27">
        <v>10300</v>
      </c>
      <c r="O104" s="27">
        <v>10300</v>
      </c>
      <c r="P104" s="27">
        <v>10300</v>
      </c>
      <c r="Q104" s="3">
        <f>SUM(E104:P104)</f>
        <v>123600</v>
      </c>
      <c r="R104" s="3">
        <v>451796</v>
      </c>
      <c r="S104" s="3">
        <f>Q104/'F&amp;B Summary'!$Q$148</f>
        <v>1.419273421407131</v>
      </c>
      <c r="T104" s="35"/>
      <c r="U104" s="40" t="e">
        <f t="shared" si="3"/>
        <v>#DIV/0!</v>
      </c>
    </row>
    <row r="105" spans="1:21" s="3" customFormat="1" ht="24.95" customHeight="1">
      <c r="A105" s="271" t="s">
        <v>626</v>
      </c>
      <c r="B105" s="3" t="s">
        <v>483</v>
      </c>
      <c r="D105" s="26" t="s">
        <v>320</v>
      </c>
      <c r="E105" s="27">
        <v>4475</v>
      </c>
      <c r="F105" s="27">
        <v>4475</v>
      </c>
      <c r="G105" s="27">
        <v>4475</v>
      </c>
      <c r="H105" s="27">
        <v>4475</v>
      </c>
      <c r="I105" s="27">
        <v>4475</v>
      </c>
      <c r="J105" s="27">
        <v>4475</v>
      </c>
      <c r="K105" s="27">
        <v>4475</v>
      </c>
      <c r="L105" s="27">
        <v>4475</v>
      </c>
      <c r="M105" s="27">
        <v>4475</v>
      </c>
      <c r="N105" s="27">
        <v>4475</v>
      </c>
      <c r="O105" s="27">
        <v>4475</v>
      </c>
      <c r="P105" s="27">
        <v>4475</v>
      </c>
      <c r="Q105" s="3">
        <f t="shared" ref="Q105:Q111" si="17">SUM(E105:P105)</f>
        <v>53700</v>
      </c>
      <c r="R105" s="3">
        <v>306116.28000000003</v>
      </c>
      <c r="S105" s="3">
        <f>Q105/'F&amp;B Summary'!$Q$148</f>
        <v>0.61662607386377777</v>
      </c>
      <c r="T105" s="35"/>
      <c r="U105" s="40" t="e">
        <f t="shared" si="3"/>
        <v>#DIV/0!</v>
      </c>
    </row>
    <row r="106" spans="1:21" s="3" customFormat="1" ht="24.95" customHeight="1">
      <c r="A106" s="271" t="s">
        <v>627</v>
      </c>
      <c r="B106" s="3" t="s">
        <v>483</v>
      </c>
      <c r="D106" s="26" t="s">
        <v>322</v>
      </c>
      <c r="E106" s="27">
        <v>320</v>
      </c>
      <c r="F106" s="27">
        <v>320</v>
      </c>
      <c r="G106" s="27">
        <v>320</v>
      </c>
      <c r="H106" s="27">
        <v>320</v>
      </c>
      <c r="I106" s="27">
        <v>320</v>
      </c>
      <c r="J106" s="27">
        <v>320</v>
      </c>
      <c r="K106" s="27">
        <v>320</v>
      </c>
      <c r="L106" s="27">
        <v>320</v>
      </c>
      <c r="M106" s="27">
        <v>320</v>
      </c>
      <c r="N106" s="27">
        <v>320</v>
      </c>
      <c r="O106" s="27">
        <v>320</v>
      </c>
      <c r="P106" s="27">
        <v>320</v>
      </c>
      <c r="Q106" s="3">
        <f t="shared" si="17"/>
        <v>3840</v>
      </c>
      <c r="R106" s="3">
        <v>15840.48</v>
      </c>
      <c r="S106" s="3">
        <f>Q106/'F&amp;B Summary'!$Q$148</f>
        <v>4.4093931538862326E-2</v>
      </c>
      <c r="T106" s="35"/>
      <c r="U106" s="40" t="e">
        <f t="shared" si="3"/>
        <v>#DIV/0!</v>
      </c>
    </row>
    <row r="107" spans="1:21" s="3" customFormat="1" ht="24.95" customHeight="1">
      <c r="A107" s="271" t="s">
        <v>628</v>
      </c>
      <c r="B107" s="3" t="s">
        <v>483</v>
      </c>
      <c r="D107" s="26" t="s">
        <v>324</v>
      </c>
      <c r="E107" s="27">
        <v>256</v>
      </c>
      <c r="F107" s="27">
        <v>256</v>
      </c>
      <c r="G107" s="27">
        <v>256</v>
      </c>
      <c r="H107" s="27">
        <v>256</v>
      </c>
      <c r="I107" s="27">
        <v>256</v>
      </c>
      <c r="J107" s="27">
        <v>256</v>
      </c>
      <c r="K107" s="27">
        <v>256</v>
      </c>
      <c r="L107" s="27">
        <v>256</v>
      </c>
      <c r="M107" s="27">
        <v>256</v>
      </c>
      <c r="N107" s="27">
        <v>256</v>
      </c>
      <c r="O107" s="27">
        <v>256</v>
      </c>
      <c r="P107" s="27">
        <v>256</v>
      </c>
      <c r="Q107" s="3">
        <f t="shared" si="17"/>
        <v>3072</v>
      </c>
      <c r="R107" s="3">
        <v>7884.16</v>
      </c>
      <c r="S107" s="3">
        <f>Q107/'F&amp;B Summary'!$Q$148</f>
        <v>3.5275145231089856E-2</v>
      </c>
      <c r="T107" s="35"/>
      <c r="U107" s="40" t="e">
        <f t="shared" si="3"/>
        <v>#DIV/0!</v>
      </c>
    </row>
    <row r="108" spans="1:21" s="3" customFormat="1" ht="24.95" customHeight="1">
      <c r="A108" s="271" t="s">
        <v>629</v>
      </c>
      <c r="B108" s="3" t="s">
        <v>483</v>
      </c>
      <c r="D108" s="26" t="s">
        <v>326</v>
      </c>
      <c r="E108" s="27">
        <v>512</v>
      </c>
      <c r="F108" s="27">
        <v>512</v>
      </c>
      <c r="G108" s="27">
        <v>512</v>
      </c>
      <c r="H108" s="27">
        <v>512</v>
      </c>
      <c r="I108" s="27">
        <v>512</v>
      </c>
      <c r="J108" s="27">
        <v>512</v>
      </c>
      <c r="K108" s="27">
        <v>512</v>
      </c>
      <c r="L108" s="27">
        <v>512</v>
      </c>
      <c r="M108" s="27">
        <v>512</v>
      </c>
      <c r="N108" s="27">
        <v>512</v>
      </c>
      <c r="O108" s="27">
        <v>512</v>
      </c>
      <c r="P108" s="27">
        <v>512</v>
      </c>
      <c r="Q108" s="3">
        <f t="shared" si="17"/>
        <v>6144</v>
      </c>
      <c r="R108" s="3">
        <v>36851.85</v>
      </c>
      <c r="S108" s="3">
        <f>Q108/'F&amp;B Summary'!$Q$148</f>
        <v>7.0550290462179713E-2</v>
      </c>
      <c r="T108" s="35"/>
      <c r="U108" s="40" t="e">
        <f t="shared" si="3"/>
        <v>#DIV/0!</v>
      </c>
    </row>
    <row r="109" spans="1:21" s="3" customFormat="1" ht="24.95" customHeight="1">
      <c r="A109" s="271" t="s">
        <v>630</v>
      </c>
      <c r="B109" s="3" t="s">
        <v>483</v>
      </c>
      <c r="D109" s="26" t="s">
        <v>328</v>
      </c>
      <c r="E109" s="27">
        <v>5703</v>
      </c>
      <c r="F109" s="27">
        <v>5703</v>
      </c>
      <c r="G109" s="27">
        <v>5703</v>
      </c>
      <c r="H109" s="27">
        <v>5703</v>
      </c>
      <c r="I109" s="27">
        <v>5703</v>
      </c>
      <c r="J109" s="27">
        <v>5703</v>
      </c>
      <c r="K109" s="27">
        <v>5703</v>
      </c>
      <c r="L109" s="27">
        <v>5703</v>
      </c>
      <c r="M109" s="27">
        <v>5703</v>
      </c>
      <c r="N109" s="27">
        <v>5703</v>
      </c>
      <c r="O109" s="27">
        <v>5703</v>
      </c>
      <c r="P109" s="27">
        <v>5703</v>
      </c>
      <c r="Q109" s="3">
        <f t="shared" si="17"/>
        <v>68436</v>
      </c>
      <c r="R109" s="3">
        <v>425126.40000000002</v>
      </c>
      <c r="S109" s="3">
        <f>Q109/'F&amp;B Summary'!$Q$148</f>
        <v>0.78583653614416193</v>
      </c>
      <c r="T109" s="35"/>
      <c r="U109" s="40" t="e">
        <f t="shared" si="3"/>
        <v>#DIV/0!</v>
      </c>
    </row>
    <row r="110" spans="1:21" s="3" customFormat="1" ht="24.95" customHeight="1">
      <c r="A110" s="271" t="s">
        <v>631</v>
      </c>
      <c r="B110" s="3" t="s">
        <v>483</v>
      </c>
      <c r="D110" s="26" t="s">
        <v>330</v>
      </c>
      <c r="E110" s="27">
        <f>ROUND(E92*0.02,2)</f>
        <v>1190</v>
      </c>
      <c r="F110" s="27">
        <f t="shared" ref="F110:P110" si="18">ROUND(F92*0.02,2)</f>
        <v>1190</v>
      </c>
      <c r="G110" s="27">
        <f t="shared" si="18"/>
        <v>1190</v>
      </c>
      <c r="H110" s="27">
        <f t="shared" si="18"/>
        <v>1190</v>
      </c>
      <c r="I110" s="27">
        <f t="shared" si="18"/>
        <v>1190</v>
      </c>
      <c r="J110" s="27">
        <f t="shared" si="18"/>
        <v>1190</v>
      </c>
      <c r="K110" s="27">
        <f t="shared" si="18"/>
        <v>1190</v>
      </c>
      <c r="L110" s="27">
        <f t="shared" si="18"/>
        <v>1190</v>
      </c>
      <c r="M110" s="27">
        <f t="shared" si="18"/>
        <v>1190</v>
      </c>
      <c r="N110" s="27">
        <f t="shared" si="18"/>
        <v>1190</v>
      </c>
      <c r="O110" s="27">
        <f t="shared" si="18"/>
        <v>1190</v>
      </c>
      <c r="P110" s="27">
        <f t="shared" si="18"/>
        <v>1190</v>
      </c>
      <c r="Q110" s="3">
        <f t="shared" si="17"/>
        <v>14280</v>
      </c>
      <c r="R110" s="3">
        <v>0</v>
      </c>
      <c r="S110" s="3">
        <f>Q110/'F&amp;B Summary'!$Q$148</f>
        <v>0.16397430791014428</v>
      </c>
      <c r="T110" s="35"/>
      <c r="U110" s="40" t="e">
        <f t="shared" si="3"/>
        <v>#DIV/0!</v>
      </c>
    </row>
    <row r="111" spans="1:21" s="3" customFormat="1" ht="24.95" customHeight="1">
      <c r="A111" s="271" t="s">
        <v>632</v>
      </c>
      <c r="B111" s="3" t="s">
        <v>483</v>
      </c>
      <c r="D111" s="26" t="s">
        <v>332</v>
      </c>
      <c r="E111" s="27"/>
      <c r="F111" s="27"/>
      <c r="G111" s="27"/>
      <c r="H111" s="27"/>
      <c r="I111" s="27"/>
      <c r="J111" s="27"/>
      <c r="K111" s="27"/>
      <c r="L111" s="27"/>
      <c r="M111" s="27"/>
      <c r="N111" s="27"/>
      <c r="O111" s="27"/>
      <c r="P111" s="27"/>
      <c r="Q111" s="3">
        <f t="shared" si="17"/>
        <v>0</v>
      </c>
      <c r="R111" s="3">
        <v>0</v>
      </c>
      <c r="S111" s="3">
        <f>Q111/'F&amp;B Summary'!$Q$148</f>
        <v>0</v>
      </c>
      <c r="T111" s="35"/>
      <c r="U111" s="40">
        <f t="shared" si="3"/>
        <v>0</v>
      </c>
    </row>
    <row r="112" spans="1:21" s="19" customFormat="1" ht="24.95" customHeight="1">
      <c r="A112" s="54"/>
      <c r="B112" s="51"/>
      <c r="D112" s="19" t="s">
        <v>333</v>
      </c>
      <c r="E112" s="45">
        <f>SUM(E104:E111)</f>
        <v>22756</v>
      </c>
      <c r="F112" s="45">
        <f t="shared" ref="F112:P112" si="19">SUM(F104:F111)</f>
        <v>22756</v>
      </c>
      <c r="G112" s="45">
        <f t="shared" si="19"/>
        <v>22756</v>
      </c>
      <c r="H112" s="45">
        <f t="shared" si="19"/>
        <v>22756</v>
      </c>
      <c r="I112" s="45">
        <f t="shared" si="19"/>
        <v>22756</v>
      </c>
      <c r="J112" s="45">
        <f t="shared" si="19"/>
        <v>22756</v>
      </c>
      <c r="K112" s="45">
        <f t="shared" si="19"/>
        <v>22756</v>
      </c>
      <c r="L112" s="45">
        <f t="shared" si="19"/>
        <v>22756</v>
      </c>
      <c r="M112" s="45">
        <f t="shared" si="19"/>
        <v>22756</v>
      </c>
      <c r="N112" s="45">
        <f t="shared" si="19"/>
        <v>22756</v>
      </c>
      <c r="O112" s="45">
        <f t="shared" si="19"/>
        <v>22756</v>
      </c>
      <c r="P112" s="45">
        <f t="shared" si="19"/>
        <v>22756</v>
      </c>
      <c r="Q112" s="45">
        <f>SUM(Q104:Q111)</f>
        <v>273072</v>
      </c>
      <c r="R112" s="45">
        <v>1243615.17</v>
      </c>
      <c r="S112" s="3">
        <f>Q112/'F&amp;B Summary'!$Q$148</f>
        <v>3.1356297065573471</v>
      </c>
      <c r="T112" s="35"/>
      <c r="U112" s="40" t="e">
        <f t="shared" si="3"/>
        <v>#DIV/0!</v>
      </c>
    </row>
    <row r="113" spans="1:21" s="19" customFormat="1" ht="24.95" customHeight="1">
      <c r="A113" s="54"/>
      <c r="B113" s="51"/>
      <c r="D113" s="21"/>
      <c r="E113" s="55"/>
      <c r="F113" s="55"/>
      <c r="G113" s="55"/>
      <c r="H113" s="55"/>
      <c r="I113" s="55"/>
      <c r="T113" s="35"/>
      <c r="U113" s="40"/>
    </row>
    <row r="114" spans="1:21" s="3" customFormat="1" ht="24.95" customHeight="1">
      <c r="A114" s="271" t="s">
        <v>633</v>
      </c>
      <c r="B114" s="3" t="s">
        <v>483</v>
      </c>
      <c r="D114" s="26" t="s">
        <v>335</v>
      </c>
      <c r="E114" s="27">
        <v>0</v>
      </c>
      <c r="F114" s="27">
        <v>0</v>
      </c>
      <c r="G114" s="27">
        <v>0</v>
      </c>
      <c r="H114" s="27">
        <v>0</v>
      </c>
      <c r="I114" s="27">
        <v>0</v>
      </c>
      <c r="J114" s="27">
        <v>0</v>
      </c>
      <c r="K114" s="27">
        <v>0</v>
      </c>
      <c r="L114" s="27">
        <v>0</v>
      </c>
      <c r="M114" s="27">
        <v>0</v>
      </c>
      <c r="N114" s="27">
        <v>0</v>
      </c>
      <c r="O114" s="27">
        <v>0</v>
      </c>
      <c r="P114" s="27">
        <v>0</v>
      </c>
      <c r="Q114" s="3">
        <f>SUM(E114:P114)</f>
        <v>0</v>
      </c>
      <c r="R114" s="3">
        <v>0</v>
      </c>
      <c r="T114" s="35"/>
      <c r="U114" s="40">
        <f t="shared" si="3"/>
        <v>0</v>
      </c>
    </row>
    <row r="115" spans="1:21" s="3" customFormat="1" ht="24.95" customHeight="1">
      <c r="A115" s="271" t="s">
        <v>634</v>
      </c>
      <c r="B115" s="3" t="s">
        <v>483</v>
      </c>
      <c r="D115" s="3" t="s">
        <v>337</v>
      </c>
      <c r="E115" s="27">
        <v>0</v>
      </c>
      <c r="F115" s="27">
        <v>0</v>
      </c>
      <c r="G115" s="27">
        <v>0</v>
      </c>
      <c r="H115" s="27">
        <v>0</v>
      </c>
      <c r="I115" s="27">
        <v>0</v>
      </c>
      <c r="J115" s="27">
        <v>0</v>
      </c>
      <c r="K115" s="27">
        <v>0</v>
      </c>
      <c r="L115" s="27">
        <v>0</v>
      </c>
      <c r="M115" s="27">
        <v>0</v>
      </c>
      <c r="N115" s="27">
        <v>0</v>
      </c>
      <c r="O115" s="27">
        <v>0</v>
      </c>
      <c r="P115" s="27">
        <v>0</v>
      </c>
      <c r="Q115" s="3">
        <f t="shared" ref="Q115:Q121" si="20">SUM(E115:P115)</f>
        <v>0</v>
      </c>
      <c r="R115" s="3">
        <v>0</v>
      </c>
      <c r="T115" s="35"/>
      <c r="U115" s="40">
        <f t="shared" si="3"/>
        <v>0</v>
      </c>
    </row>
    <row r="116" spans="1:21" s="3" customFormat="1" ht="24.95" customHeight="1">
      <c r="A116" s="271" t="s">
        <v>635</v>
      </c>
      <c r="B116" s="3" t="s">
        <v>483</v>
      </c>
      <c r="D116" s="26" t="s">
        <v>339</v>
      </c>
      <c r="E116" s="27">
        <v>0</v>
      </c>
      <c r="F116" s="27">
        <v>0</v>
      </c>
      <c r="G116" s="27">
        <v>0</v>
      </c>
      <c r="H116" s="27">
        <v>0</v>
      </c>
      <c r="I116" s="27">
        <v>0</v>
      </c>
      <c r="J116" s="27">
        <v>0</v>
      </c>
      <c r="K116" s="27">
        <v>0</v>
      </c>
      <c r="L116" s="27">
        <v>0</v>
      </c>
      <c r="M116" s="27">
        <v>0</v>
      </c>
      <c r="N116" s="27">
        <v>0</v>
      </c>
      <c r="O116" s="27">
        <v>0</v>
      </c>
      <c r="P116" s="27">
        <v>0</v>
      </c>
      <c r="Q116" s="3">
        <f t="shared" si="20"/>
        <v>0</v>
      </c>
      <c r="R116" s="3">
        <v>0</v>
      </c>
      <c r="T116" s="35"/>
      <c r="U116" s="40">
        <f t="shared" si="3"/>
        <v>0</v>
      </c>
    </row>
    <row r="117" spans="1:21" s="3" customFormat="1" ht="24.95" customHeight="1">
      <c r="A117" s="271" t="s">
        <v>636</v>
      </c>
      <c r="B117" s="3" t="s">
        <v>483</v>
      </c>
      <c r="D117" s="26" t="s">
        <v>341</v>
      </c>
      <c r="E117" s="27">
        <v>0</v>
      </c>
      <c r="F117" s="27">
        <v>0</v>
      </c>
      <c r="G117" s="27">
        <v>0</v>
      </c>
      <c r="H117" s="27">
        <v>0</v>
      </c>
      <c r="I117" s="27">
        <v>0</v>
      </c>
      <c r="J117" s="27">
        <v>0</v>
      </c>
      <c r="K117" s="27">
        <v>0</v>
      </c>
      <c r="L117" s="27">
        <v>0</v>
      </c>
      <c r="M117" s="27">
        <v>0</v>
      </c>
      <c r="N117" s="27">
        <v>0</v>
      </c>
      <c r="O117" s="27">
        <v>0</v>
      </c>
      <c r="P117" s="27">
        <v>0</v>
      </c>
      <c r="Q117" s="3">
        <f t="shared" si="20"/>
        <v>0</v>
      </c>
      <c r="R117" s="3">
        <v>0</v>
      </c>
      <c r="T117" s="35"/>
      <c r="U117" s="40">
        <f t="shared" si="3"/>
        <v>0</v>
      </c>
    </row>
    <row r="118" spans="1:21" s="3" customFormat="1" ht="24.95" customHeight="1">
      <c r="A118" s="271" t="s">
        <v>637</v>
      </c>
      <c r="B118" s="3" t="s">
        <v>483</v>
      </c>
      <c r="D118" s="26" t="s">
        <v>343</v>
      </c>
      <c r="E118" s="27"/>
      <c r="F118" s="27"/>
      <c r="G118" s="27"/>
      <c r="H118" s="27"/>
      <c r="I118" s="27"/>
      <c r="J118" s="27"/>
      <c r="K118" s="27"/>
      <c r="L118" s="27"/>
      <c r="M118" s="27"/>
      <c r="N118" s="27"/>
      <c r="O118" s="27"/>
      <c r="P118" s="27"/>
      <c r="Q118" s="3">
        <f t="shared" si="20"/>
        <v>0</v>
      </c>
      <c r="R118" s="3">
        <v>154372.09</v>
      </c>
      <c r="S118" s="3">
        <f>Q118/'F&amp;B Summary'!$Q$148</f>
        <v>0</v>
      </c>
      <c r="T118" s="35"/>
      <c r="U118" s="40">
        <f t="shared" si="3"/>
        <v>0</v>
      </c>
    </row>
    <row r="119" spans="1:21" s="3" customFormat="1" ht="24.95" customHeight="1">
      <c r="A119" s="50" t="s">
        <v>638</v>
      </c>
      <c r="B119" s="3" t="s">
        <v>483</v>
      </c>
      <c r="D119" s="26" t="s">
        <v>639</v>
      </c>
      <c r="E119" s="27"/>
      <c r="F119" s="27"/>
      <c r="G119" s="27"/>
      <c r="H119" s="27"/>
      <c r="I119" s="27"/>
      <c r="J119" s="27"/>
      <c r="K119" s="27"/>
      <c r="L119" s="27"/>
      <c r="M119" s="27"/>
      <c r="N119" s="27"/>
      <c r="O119" s="27"/>
      <c r="P119" s="27"/>
      <c r="Q119" s="3">
        <f t="shared" si="20"/>
        <v>0</v>
      </c>
      <c r="R119" s="3">
        <v>147047.38</v>
      </c>
      <c r="S119" s="3">
        <f>Q119/'F&amp;B Summary'!$Q$148</f>
        <v>0</v>
      </c>
      <c r="T119" s="35"/>
      <c r="U119" s="40">
        <f t="shared" si="3"/>
        <v>0</v>
      </c>
    </row>
    <row r="120" spans="1:21" s="3" customFormat="1" ht="24.95" customHeight="1">
      <c r="A120" s="271" t="s">
        <v>344</v>
      </c>
      <c r="B120" s="3" t="s">
        <v>483</v>
      </c>
      <c r="D120" s="26" t="s">
        <v>345</v>
      </c>
      <c r="E120" s="27"/>
      <c r="F120" s="27"/>
      <c r="G120" s="27"/>
      <c r="H120" s="27"/>
      <c r="I120" s="27"/>
      <c r="J120" s="27"/>
      <c r="K120" s="27"/>
      <c r="L120" s="27"/>
      <c r="M120" s="27"/>
      <c r="N120" s="27"/>
      <c r="O120" s="27"/>
      <c r="P120" s="27"/>
      <c r="Q120" s="3">
        <f t="shared" si="20"/>
        <v>0</v>
      </c>
      <c r="R120" s="3">
        <v>1327709.98</v>
      </c>
      <c r="S120" s="3">
        <f>Q120/'F&amp;B Summary'!$Q$148</f>
        <v>0</v>
      </c>
      <c r="T120" s="35"/>
      <c r="U120" s="40">
        <f t="shared" si="3"/>
        <v>0</v>
      </c>
    </row>
    <row r="121" spans="1:21" s="3" customFormat="1" ht="24.95" customHeight="1">
      <c r="A121" s="3" t="s">
        <v>640</v>
      </c>
      <c r="B121" s="3" t="s">
        <v>483</v>
      </c>
      <c r="D121" s="26" t="s">
        <v>347</v>
      </c>
      <c r="E121" s="27">
        <f>'Staff Canteen'!E203</f>
        <v>11594.49</v>
      </c>
      <c r="F121" s="27">
        <f>'Staff Canteen'!F203</f>
        <v>12119.13</v>
      </c>
      <c r="G121" s="27">
        <f>'Staff Canteen'!G203</f>
        <v>11332.17</v>
      </c>
      <c r="H121" s="27">
        <f>'Staff Canteen'!H203</f>
        <v>11594.49</v>
      </c>
      <c r="I121" s="27">
        <f>'Staff Canteen'!I203</f>
        <v>11594.49</v>
      </c>
      <c r="J121" s="27">
        <f>'Staff Canteen'!J203</f>
        <v>11594.49</v>
      </c>
      <c r="K121" s="27">
        <f>'Staff Canteen'!K203</f>
        <v>11332.17</v>
      </c>
      <c r="L121" s="27">
        <f>'Staff Canteen'!L203</f>
        <v>11332.17</v>
      </c>
      <c r="M121" s="27">
        <f>'Staff Canteen'!M203</f>
        <v>11594.49</v>
      </c>
      <c r="N121" s="27">
        <f>'Staff Canteen'!N203</f>
        <v>12119.13</v>
      </c>
      <c r="O121" s="27">
        <f>'Staff Canteen'!O203</f>
        <v>11332.17</v>
      </c>
      <c r="P121" s="27">
        <f>'Staff Canteen'!P203</f>
        <v>11332.17</v>
      </c>
      <c r="Q121" s="3">
        <f t="shared" si="20"/>
        <v>138871.56</v>
      </c>
      <c r="R121" s="3">
        <v>460793.89</v>
      </c>
      <c r="S121" s="3">
        <f>Q121/'F&amp;B Summary'!$Q$148</f>
        <v>1.5946336092018258</v>
      </c>
      <c r="T121" s="35"/>
      <c r="U121" s="40" t="e">
        <f t="shared" si="3"/>
        <v>#DIV/0!</v>
      </c>
    </row>
    <row r="122" spans="1:21" s="3" customFormat="1" ht="24.95" customHeight="1">
      <c r="A122" s="54"/>
      <c r="B122" s="51"/>
      <c r="D122" s="19" t="s">
        <v>348</v>
      </c>
      <c r="E122" s="52">
        <f>SUM(E114:E121)</f>
        <v>11594.49</v>
      </c>
      <c r="F122" s="52">
        <f t="shared" ref="F122:Q122" si="21">SUM(F114:F121)</f>
        <v>12119.13</v>
      </c>
      <c r="G122" s="52">
        <f t="shared" si="21"/>
        <v>11332.17</v>
      </c>
      <c r="H122" s="52">
        <f t="shared" si="21"/>
        <v>11594.49</v>
      </c>
      <c r="I122" s="52">
        <f t="shared" si="21"/>
        <v>11594.49</v>
      </c>
      <c r="J122" s="52">
        <f t="shared" si="21"/>
        <v>11594.49</v>
      </c>
      <c r="K122" s="52">
        <f t="shared" si="21"/>
        <v>11332.17</v>
      </c>
      <c r="L122" s="52">
        <f t="shared" si="21"/>
        <v>11332.17</v>
      </c>
      <c r="M122" s="52">
        <f t="shared" si="21"/>
        <v>11594.49</v>
      </c>
      <c r="N122" s="52">
        <f t="shared" si="21"/>
        <v>12119.13</v>
      </c>
      <c r="O122" s="52">
        <f t="shared" si="21"/>
        <v>11332.17</v>
      </c>
      <c r="P122" s="52">
        <f t="shared" si="21"/>
        <v>11332.17</v>
      </c>
      <c r="Q122" s="52">
        <f t="shared" si="21"/>
        <v>138871.56</v>
      </c>
      <c r="R122" s="52">
        <v>2089923.34</v>
      </c>
      <c r="S122" s="3">
        <f>Q122/'F&amp;B Summary'!$Q$148</f>
        <v>1.5946336092018258</v>
      </c>
      <c r="T122" s="35"/>
      <c r="U122" s="40" t="e">
        <f t="shared" si="3"/>
        <v>#DIV/0!</v>
      </c>
    </row>
    <row r="123" spans="1:21" s="3" customFormat="1" ht="24.95" customHeight="1">
      <c r="A123" s="54"/>
      <c r="B123" s="51"/>
      <c r="D123" s="19" t="s">
        <v>349</v>
      </c>
      <c r="E123" s="52">
        <f>E92+E102+E112+E122</f>
        <v>196073.33</v>
      </c>
      <c r="F123" s="52">
        <f t="shared" ref="F123:Q123" si="22">F92+F102+F112+F122</f>
        <v>214418.64</v>
      </c>
      <c r="G123" s="52">
        <f t="shared" si="22"/>
        <v>186850.67</v>
      </c>
      <c r="H123" s="52">
        <f t="shared" si="22"/>
        <v>196073.33</v>
      </c>
      <c r="I123" s="52">
        <f t="shared" si="22"/>
        <v>196073.33</v>
      </c>
      <c r="J123" s="52">
        <f t="shared" si="22"/>
        <v>196073.33</v>
      </c>
      <c r="K123" s="52">
        <f t="shared" si="22"/>
        <v>186850.67</v>
      </c>
      <c r="L123" s="52">
        <f t="shared" si="22"/>
        <v>186850.67</v>
      </c>
      <c r="M123" s="52">
        <f t="shared" si="22"/>
        <v>196192.33</v>
      </c>
      <c r="N123" s="52">
        <f t="shared" si="22"/>
        <v>214775.66</v>
      </c>
      <c r="O123" s="52">
        <f t="shared" si="22"/>
        <v>186850.67</v>
      </c>
      <c r="P123" s="52">
        <f t="shared" si="22"/>
        <v>186850.67</v>
      </c>
      <c r="Q123" s="350">
        <f t="shared" si="22"/>
        <v>2343933.3000000003</v>
      </c>
      <c r="R123" s="52">
        <v>8988613.5600000005</v>
      </c>
      <c r="S123" s="3">
        <f>Q123/'F&amp;B Summary'!$Q$148</f>
        <v>26.914904807775951</v>
      </c>
      <c r="T123" s="35"/>
      <c r="U123" s="40" t="e">
        <f t="shared" si="3"/>
        <v>#DIV/0!</v>
      </c>
    </row>
    <row r="124" spans="1:21" s="3" customFormat="1" ht="24.95" customHeight="1">
      <c r="A124" s="54"/>
      <c r="B124" s="51"/>
      <c r="D124" s="21"/>
      <c r="E124" s="53"/>
      <c r="F124" s="53"/>
      <c r="G124" s="53"/>
      <c r="H124" s="53"/>
      <c r="I124" s="53"/>
      <c r="Q124" s="3">
        <f>Q123-Q99-Q100</f>
        <v>1359533.3000000003</v>
      </c>
      <c r="T124" s="35"/>
      <c r="U124" s="40"/>
    </row>
    <row r="125" spans="1:21" s="3" customFormat="1" ht="24.95" customHeight="1">
      <c r="A125" s="3" t="s">
        <v>105</v>
      </c>
      <c r="B125" s="3" t="s">
        <v>483</v>
      </c>
      <c r="D125" s="19" t="s">
        <v>352</v>
      </c>
      <c r="E125" s="289">
        <v>19</v>
      </c>
      <c r="F125" s="289">
        <v>19</v>
      </c>
      <c r="G125" s="289">
        <v>19</v>
      </c>
      <c r="H125" s="289">
        <v>19</v>
      </c>
      <c r="I125" s="289">
        <v>19</v>
      </c>
      <c r="J125" s="289">
        <v>19</v>
      </c>
      <c r="K125" s="289">
        <v>19</v>
      </c>
      <c r="L125" s="289">
        <v>19</v>
      </c>
      <c r="M125" s="289">
        <v>19</v>
      </c>
      <c r="N125" s="289">
        <v>19</v>
      </c>
      <c r="O125" s="289">
        <v>19</v>
      </c>
      <c r="P125" s="289">
        <v>19</v>
      </c>
      <c r="Q125" s="289">
        <v>19</v>
      </c>
      <c r="R125" s="289">
        <v>19</v>
      </c>
      <c r="T125" s="35"/>
      <c r="U125" s="40" t="e">
        <f t="shared" si="3"/>
        <v>#DIV/0!</v>
      </c>
    </row>
    <row r="128" spans="1:21" ht="26.25" customHeight="1">
      <c r="D128" s="317" t="s">
        <v>641</v>
      </c>
      <c r="E128" s="322">
        <f>E129+E130</f>
        <v>686860</v>
      </c>
      <c r="F128" s="322">
        <f t="shared" ref="F128:I128" si="23">F129+F130</f>
        <v>484320</v>
      </c>
      <c r="G128" s="322">
        <f t="shared" si="23"/>
        <v>607480</v>
      </c>
      <c r="H128" s="322">
        <f t="shared" si="23"/>
        <v>751080</v>
      </c>
      <c r="I128" s="322">
        <f t="shared" si="23"/>
        <v>853840</v>
      </c>
      <c r="J128" s="322">
        <f t="shared" ref="J128:P128" si="24">J129+J130</f>
        <v>744880</v>
      </c>
      <c r="K128" s="322">
        <f t="shared" si="24"/>
        <v>829880</v>
      </c>
      <c r="L128" s="322">
        <f t="shared" si="24"/>
        <v>852280</v>
      </c>
      <c r="M128" s="322">
        <f t="shared" si="24"/>
        <v>944680</v>
      </c>
      <c r="N128" s="322">
        <f t="shared" si="24"/>
        <v>925280</v>
      </c>
      <c r="O128" s="322">
        <f t="shared" si="24"/>
        <v>724880</v>
      </c>
      <c r="P128" s="322">
        <f t="shared" si="24"/>
        <v>705280</v>
      </c>
      <c r="Q128" s="316">
        <f>SUM(E128:P128)</f>
        <v>9110740</v>
      </c>
    </row>
    <row r="129" spans="4:20" ht="26.25" customHeight="1">
      <c r="D129" s="317" t="s">
        <v>642</v>
      </c>
      <c r="E129" s="322">
        <f>'ADD-Mhub lounge'!E17</f>
        <v>396860</v>
      </c>
      <c r="F129" s="322">
        <f>'ADD-Mhub lounge'!F17</f>
        <v>304320</v>
      </c>
      <c r="G129" s="322">
        <f>'ADD-Mhub lounge'!G17</f>
        <v>367480</v>
      </c>
      <c r="H129" s="322">
        <f>'ADD-Mhub lounge'!H17</f>
        <v>431080</v>
      </c>
      <c r="I129" s="322">
        <f>'ADD-Mhub lounge'!I17</f>
        <v>483840</v>
      </c>
      <c r="J129" s="322">
        <f>'ADD-Mhub lounge'!J17</f>
        <v>434880</v>
      </c>
      <c r="K129" s="322">
        <f>'ADD-Mhub lounge'!K17</f>
        <v>459880</v>
      </c>
      <c r="L129" s="322">
        <f>'ADD-Mhub lounge'!L17</f>
        <v>462280</v>
      </c>
      <c r="M129" s="322">
        <f>'ADD-Mhub lounge'!M17</f>
        <v>474680</v>
      </c>
      <c r="N129" s="322">
        <f>'ADD-Mhub lounge'!N17</f>
        <v>505280</v>
      </c>
      <c r="O129" s="322">
        <f>'ADD-Mhub lounge'!O17</f>
        <v>474880</v>
      </c>
      <c r="P129" s="322">
        <f>'ADD-Mhub lounge'!P17</f>
        <v>475280</v>
      </c>
      <c r="Q129" s="316">
        <f t="shared" ref="Q129:Q134" si="25">SUM(E129:P129)</f>
        <v>5270740</v>
      </c>
    </row>
    <row r="130" spans="4:20" ht="26.25" customHeight="1">
      <c r="D130" s="317" t="s">
        <v>643</v>
      </c>
      <c r="E130" s="322">
        <f>Banquet!E17</f>
        <v>290000</v>
      </c>
      <c r="F130" s="322">
        <f>Banquet!F17</f>
        <v>180000</v>
      </c>
      <c r="G130" s="322">
        <f>Banquet!G17</f>
        <v>240000</v>
      </c>
      <c r="H130" s="322">
        <f>Banquet!H17</f>
        <v>320000</v>
      </c>
      <c r="I130" s="322">
        <f>Banquet!I17</f>
        <v>370000</v>
      </c>
      <c r="J130" s="322">
        <f>Banquet!J17</f>
        <v>310000</v>
      </c>
      <c r="K130" s="322">
        <f>Banquet!K17</f>
        <v>370000</v>
      </c>
      <c r="L130" s="322">
        <f>Banquet!L17</f>
        <v>390000</v>
      </c>
      <c r="M130" s="322">
        <f>Banquet!M17</f>
        <v>470000</v>
      </c>
      <c r="N130" s="322">
        <f>Banquet!N17</f>
        <v>420000</v>
      </c>
      <c r="O130" s="322">
        <f>Banquet!O17</f>
        <v>250000</v>
      </c>
      <c r="P130" s="322">
        <f>Banquet!P17</f>
        <v>230000</v>
      </c>
      <c r="Q130" s="316">
        <f t="shared" si="25"/>
        <v>3840000</v>
      </c>
    </row>
    <row r="131" spans="4:20" ht="26.25" customHeight="1">
      <c r="D131" s="317"/>
      <c r="E131" s="322"/>
      <c r="F131" s="322"/>
      <c r="G131" s="322"/>
      <c r="H131" s="322"/>
      <c r="I131" s="322"/>
      <c r="J131" s="335"/>
      <c r="K131" s="335"/>
      <c r="L131" s="335"/>
      <c r="M131" s="335"/>
      <c r="N131" s="335"/>
      <c r="O131" s="335"/>
      <c r="P131" s="335"/>
      <c r="Q131" s="316">
        <f t="shared" si="25"/>
        <v>0</v>
      </c>
    </row>
    <row r="132" spans="4:20" ht="26.25" customHeight="1">
      <c r="D132" s="317" t="s">
        <v>644</v>
      </c>
      <c r="E132" s="322">
        <f>E84</f>
        <v>205472.61</v>
      </c>
      <c r="F132" s="322">
        <f t="shared" ref="F132:I132" si="26">F84</f>
        <v>223320.72</v>
      </c>
      <c r="G132" s="322">
        <f t="shared" si="26"/>
        <v>195731.36000000002</v>
      </c>
      <c r="H132" s="322">
        <f t="shared" si="26"/>
        <v>210518.52</v>
      </c>
      <c r="I132" s="322">
        <f t="shared" si="26"/>
        <v>210588.09999999998</v>
      </c>
      <c r="J132" s="322">
        <f t="shared" ref="J132:P132" si="27">J84</f>
        <v>208638.94</v>
      </c>
      <c r="K132" s="322">
        <f t="shared" si="27"/>
        <v>199360.24000000002</v>
      </c>
      <c r="L132" s="322">
        <f t="shared" si="27"/>
        <v>199387</v>
      </c>
      <c r="M132" s="322">
        <f t="shared" si="27"/>
        <v>211079.06999999998</v>
      </c>
      <c r="N132" s="322">
        <f t="shared" si="27"/>
        <v>230165.19</v>
      </c>
      <c r="O132" s="322">
        <f t="shared" si="27"/>
        <v>199154.18000000002</v>
      </c>
      <c r="P132" s="322">
        <f t="shared" si="27"/>
        <v>199052.49000000002</v>
      </c>
      <c r="Q132" s="316">
        <f t="shared" si="25"/>
        <v>2492468.4200000004</v>
      </c>
    </row>
    <row r="133" spans="4:20" s="407" customFormat="1" ht="26.25" customHeight="1">
      <c r="D133" s="405" t="s">
        <v>642</v>
      </c>
      <c r="E133" s="322">
        <f>ROUND(E129/E128*E132,2)</f>
        <v>118719.77</v>
      </c>
      <c r="F133" s="322">
        <f t="shared" ref="F133:O133" si="28">ROUND(F129/F128*F132,2)</f>
        <v>140322.43</v>
      </c>
      <c r="G133" s="322">
        <f t="shared" si="28"/>
        <v>118402.84</v>
      </c>
      <c r="H133" s="322">
        <f t="shared" si="28"/>
        <v>120826.44</v>
      </c>
      <c r="I133" s="322">
        <f t="shared" si="28"/>
        <v>119332.6</v>
      </c>
      <c r="J133" s="322">
        <f t="shared" si="28"/>
        <v>121808.75</v>
      </c>
      <c r="K133" s="322">
        <f t="shared" si="28"/>
        <v>110475.96</v>
      </c>
      <c r="L133" s="322">
        <f t="shared" si="28"/>
        <v>108148.29</v>
      </c>
      <c r="M133" s="322">
        <f t="shared" si="28"/>
        <v>106062.38</v>
      </c>
      <c r="N133" s="322">
        <f t="shared" si="28"/>
        <v>125689.38</v>
      </c>
      <c r="O133" s="322">
        <f t="shared" si="28"/>
        <v>130468.96</v>
      </c>
      <c r="P133" s="322">
        <f>ROUND(P129/P128*P132,2)</f>
        <v>134139.16</v>
      </c>
      <c r="Q133" s="406">
        <f t="shared" si="25"/>
        <v>1454396.9599999997</v>
      </c>
      <c r="T133" s="408"/>
    </row>
    <row r="134" spans="4:20" s="407" customFormat="1" ht="26.25" customHeight="1">
      <c r="D134" s="405" t="s">
        <v>643</v>
      </c>
      <c r="E134" s="322">
        <f>ROUND(E130/E128*E132,2)</f>
        <v>86752.84</v>
      </c>
      <c r="F134" s="322">
        <f t="shared" ref="F134:P134" si="29">ROUND(F130/F128*F132,2)</f>
        <v>82998.289999999994</v>
      </c>
      <c r="G134" s="322">
        <f t="shared" si="29"/>
        <v>77328.52</v>
      </c>
      <c r="H134" s="322">
        <f t="shared" si="29"/>
        <v>89692.08</v>
      </c>
      <c r="I134" s="322">
        <f t="shared" si="29"/>
        <v>91255.5</v>
      </c>
      <c r="J134" s="322">
        <f t="shared" si="29"/>
        <v>86830.19</v>
      </c>
      <c r="K134" s="322">
        <f t="shared" si="29"/>
        <v>88884.28</v>
      </c>
      <c r="L134" s="322">
        <f t="shared" si="29"/>
        <v>91238.71</v>
      </c>
      <c r="M134" s="322">
        <f t="shared" si="29"/>
        <v>105016.69</v>
      </c>
      <c r="N134" s="322">
        <f t="shared" si="29"/>
        <v>104475.81</v>
      </c>
      <c r="O134" s="322">
        <f t="shared" si="29"/>
        <v>68685.22</v>
      </c>
      <c r="P134" s="322">
        <f t="shared" si="29"/>
        <v>64913.33</v>
      </c>
      <c r="Q134" s="406">
        <f t="shared" si="25"/>
        <v>1038071.4600000001</v>
      </c>
      <c r="T134" s="408"/>
    </row>
    <row r="135" spans="4:20" ht="26.25" customHeight="1">
      <c r="D135" s="317" t="s">
        <v>1170</v>
      </c>
      <c r="E135" s="322">
        <f>E133+E134</f>
        <v>205472.61</v>
      </c>
      <c r="F135" s="322">
        <f t="shared" ref="F135:P135" si="30">F133+F134</f>
        <v>223320.71999999997</v>
      </c>
      <c r="G135" s="322">
        <f t="shared" si="30"/>
        <v>195731.36</v>
      </c>
      <c r="H135" s="322">
        <f t="shared" si="30"/>
        <v>210518.52000000002</v>
      </c>
      <c r="I135" s="322">
        <f t="shared" si="30"/>
        <v>210588.1</v>
      </c>
      <c r="J135" s="322">
        <f t="shared" si="30"/>
        <v>208638.94</v>
      </c>
      <c r="K135" s="322">
        <f t="shared" si="30"/>
        <v>199360.24</v>
      </c>
      <c r="L135" s="322">
        <f t="shared" si="30"/>
        <v>199387</v>
      </c>
      <c r="M135" s="322">
        <f t="shared" si="30"/>
        <v>211079.07</v>
      </c>
      <c r="N135" s="322">
        <f t="shared" si="30"/>
        <v>230165.19</v>
      </c>
      <c r="O135" s="322">
        <f t="shared" si="30"/>
        <v>199154.18</v>
      </c>
      <c r="P135" s="322">
        <f t="shared" si="30"/>
        <v>199052.49</v>
      </c>
      <c r="Q135" s="316">
        <f>SUM(E135:P135)</f>
        <v>2492468.42</v>
      </c>
    </row>
    <row r="136" spans="4:20" ht="26.25" customHeight="1">
      <c r="D136" s="317" t="s">
        <v>1171</v>
      </c>
      <c r="E136" s="322">
        <f>E132-E135</f>
        <v>0</v>
      </c>
      <c r="F136" s="322">
        <f t="shared" ref="F136:P136" si="31">F132-F135</f>
        <v>0</v>
      </c>
      <c r="G136" s="322">
        <f t="shared" si="31"/>
        <v>0</v>
      </c>
      <c r="H136" s="322">
        <f t="shared" si="31"/>
        <v>0</v>
      </c>
      <c r="I136" s="322">
        <f t="shared" si="31"/>
        <v>0</v>
      </c>
      <c r="J136" s="322">
        <f t="shared" si="31"/>
        <v>0</v>
      </c>
      <c r="K136" s="322">
        <f t="shared" si="31"/>
        <v>0</v>
      </c>
      <c r="L136" s="322">
        <f t="shared" si="31"/>
        <v>0</v>
      </c>
      <c r="M136" s="322">
        <f t="shared" si="31"/>
        <v>0</v>
      </c>
      <c r="N136" s="322">
        <f t="shared" si="31"/>
        <v>0</v>
      </c>
      <c r="O136" s="322">
        <f t="shared" si="31"/>
        <v>0</v>
      </c>
      <c r="P136" s="322">
        <f t="shared" si="31"/>
        <v>0</v>
      </c>
      <c r="Q136" s="316">
        <f>SUM(E136:P136)</f>
        <v>0</v>
      </c>
    </row>
    <row r="137" spans="4:20" ht="26.25" customHeight="1">
      <c r="H137" s="87"/>
      <c r="I137" s="87"/>
    </row>
    <row r="138" spans="4:20" ht="26.25" customHeight="1">
      <c r="H138" s="87"/>
      <c r="I138" s="87"/>
    </row>
    <row r="139" spans="4:20" ht="26.25" customHeight="1">
      <c r="H139" s="87"/>
      <c r="I139" s="87"/>
    </row>
    <row r="140" spans="4:20" ht="26.25" customHeight="1">
      <c r="H140" s="87"/>
      <c r="I140" s="87"/>
    </row>
    <row r="141" spans="4:20" ht="26.25" customHeight="1">
      <c r="H141" s="87"/>
      <c r="I141" s="87"/>
    </row>
    <row r="142" spans="4:20" ht="26.25" customHeight="1">
      <c r="H142" s="87"/>
      <c r="I142" s="87"/>
    </row>
    <row r="143" spans="4:20" ht="26.25" customHeight="1">
      <c r="H143" s="87"/>
      <c r="I143" s="87"/>
    </row>
    <row r="144" spans="4:20" ht="26.25" customHeight="1">
      <c r="H144" s="87"/>
      <c r="I144" s="87"/>
    </row>
    <row r="145" spans="8:9" ht="26.25" customHeight="1">
      <c r="H145" s="87"/>
      <c r="I145" s="87"/>
    </row>
    <row r="146" spans="8:9" ht="26.25" customHeight="1">
      <c r="H146" s="87"/>
      <c r="I146" s="87"/>
    </row>
    <row r="147" spans="8:9" ht="26.25" customHeight="1">
      <c r="H147" s="87"/>
      <c r="I147" s="87"/>
    </row>
    <row r="148" spans="8:9" ht="26.25" customHeight="1">
      <c r="H148" s="87"/>
      <c r="I148" s="87"/>
    </row>
    <row r="149" spans="8:9" ht="26.25" customHeight="1">
      <c r="H149" s="87"/>
      <c r="I149" s="87"/>
    </row>
    <row r="150" spans="8:9" ht="26.25" customHeight="1">
      <c r="H150" s="87"/>
      <c r="I150" s="87"/>
    </row>
    <row r="151" spans="8:9" ht="26.25" customHeight="1">
      <c r="H151" s="87"/>
      <c r="I151" s="87"/>
    </row>
    <row r="152" spans="8:9" ht="26.25" customHeight="1">
      <c r="H152" s="87"/>
      <c r="I152" s="87"/>
    </row>
    <row r="153" spans="8:9" ht="26.25" customHeight="1">
      <c r="H153" s="87"/>
      <c r="I153" s="87"/>
    </row>
    <row r="154" spans="8:9" ht="26.25" customHeight="1">
      <c r="H154" s="27"/>
      <c r="I154" s="27"/>
    </row>
    <row r="155" spans="8:9" ht="26.25" customHeight="1">
      <c r="H155" s="27"/>
      <c r="I155" s="27"/>
    </row>
    <row r="156" spans="8:9" ht="26.25" customHeight="1">
      <c r="H156" s="74"/>
      <c r="I156" s="74"/>
    </row>
    <row r="157" spans="8:9" ht="26.25" customHeight="1">
      <c r="H157" s="53"/>
      <c r="I157" s="53"/>
    </row>
    <row r="158" spans="8:9" ht="26.25" customHeight="1">
      <c r="H158" s="27"/>
      <c r="I158" s="27"/>
    </row>
    <row r="159" spans="8:9" ht="26.25" customHeight="1">
      <c r="H159" s="27"/>
      <c r="I159" s="27"/>
    </row>
    <row r="160" spans="8:9" ht="26.25" customHeight="1">
      <c r="H160" s="27"/>
      <c r="I160" s="27"/>
    </row>
    <row r="161" spans="8:9" ht="26.25" customHeight="1">
      <c r="H161" s="27"/>
      <c r="I161" s="27"/>
    </row>
    <row r="162" spans="8:9" ht="26.25" customHeight="1">
      <c r="H162" s="27"/>
      <c r="I162" s="27"/>
    </row>
    <row r="163" spans="8:9" ht="26.25" customHeight="1">
      <c r="H163" s="27"/>
      <c r="I163" s="27"/>
    </row>
    <row r="164" spans="8:9" ht="26.25" customHeight="1">
      <c r="H164" s="74"/>
      <c r="I164" s="74"/>
    </row>
    <row r="165" spans="8:9" ht="26.25" customHeight="1">
      <c r="H165" s="53"/>
      <c r="I165" s="53"/>
    </row>
    <row r="166" spans="8:9" ht="26.25" customHeight="1">
      <c r="H166" s="27"/>
      <c r="I166" s="27"/>
    </row>
    <row r="167" spans="8:9" ht="26.25" customHeight="1">
      <c r="H167" s="27"/>
      <c r="I167" s="27"/>
    </row>
    <row r="168" spans="8:9" ht="26.25" customHeight="1">
      <c r="H168" s="27"/>
      <c r="I168" s="27"/>
    </row>
    <row r="169" spans="8:9" ht="26.25" customHeight="1">
      <c r="H169" s="27"/>
      <c r="I169" s="27"/>
    </row>
    <row r="170" spans="8:9" ht="26.25" customHeight="1">
      <c r="H170" s="27"/>
      <c r="I170" s="27"/>
    </row>
    <row r="171" spans="8:9" ht="26.25" customHeight="1">
      <c r="H171" s="27"/>
      <c r="I171" s="27"/>
    </row>
    <row r="172" spans="8:9" ht="26.25" customHeight="1">
      <c r="H172" s="27"/>
      <c r="I172" s="27"/>
    </row>
    <row r="173" spans="8:9" ht="26.25" customHeight="1">
      <c r="H173" s="27"/>
      <c r="I173" s="27"/>
    </row>
    <row r="174" spans="8:9" ht="26.25" customHeight="1">
      <c r="H174" s="62"/>
      <c r="I174" s="62"/>
    </row>
    <row r="175" spans="8:9" ht="26.25" customHeight="1">
      <c r="H175" s="55"/>
      <c r="I175" s="55"/>
    </row>
    <row r="176" spans="8:9" ht="26.25" customHeight="1">
      <c r="H176" s="27"/>
      <c r="I176" s="27"/>
    </row>
    <row r="177" spans="8:9" ht="26.25" customHeight="1">
      <c r="H177" s="27"/>
      <c r="I177" s="27"/>
    </row>
    <row r="178" spans="8:9" ht="26.25" customHeight="1">
      <c r="H178" s="27"/>
      <c r="I178" s="27"/>
    </row>
    <row r="179" spans="8:9" ht="26.25" customHeight="1">
      <c r="H179" s="27"/>
      <c r="I179" s="27"/>
    </row>
    <row r="180" spans="8:9" ht="26.25" customHeight="1">
      <c r="H180" s="27"/>
      <c r="I180" s="27"/>
    </row>
    <row r="181" spans="8:9" ht="26.25" customHeight="1">
      <c r="H181" s="27"/>
      <c r="I181" s="27"/>
    </row>
    <row r="182" spans="8:9" ht="26.25" customHeight="1">
      <c r="H182" s="27"/>
      <c r="I182" s="27"/>
    </row>
    <row r="183" spans="8:9" ht="26.25" customHeight="1">
      <c r="H183" s="27"/>
      <c r="I183" s="27"/>
    </row>
    <row r="184" spans="8:9" ht="26.25" customHeight="1">
      <c r="H184" s="74"/>
      <c r="I184" s="74"/>
    </row>
    <row r="185" spans="8:9" ht="26.25" customHeight="1">
      <c r="H185" s="74"/>
      <c r="I185" s="74"/>
    </row>
    <row r="186" spans="8:9" ht="26.25" customHeight="1">
      <c r="H186" s="53"/>
      <c r="I186" s="53"/>
    </row>
    <row r="187" spans="8:9" ht="26.25" customHeight="1">
      <c r="H187" s="27"/>
      <c r="I187" s="27"/>
    </row>
    <row r="188" spans="8:9" ht="26.25" customHeight="1">
      <c r="H188" s="87"/>
      <c r="I188" s="87"/>
    </row>
    <row r="189" spans="8:9" ht="26.25" customHeight="1">
      <c r="H189" s="87"/>
      <c r="I189" s="87"/>
    </row>
    <row r="190" spans="8:9" ht="26.25" customHeight="1">
      <c r="H190" s="87"/>
      <c r="I190" s="87"/>
    </row>
    <row r="191" spans="8:9" ht="26.25" customHeight="1">
      <c r="H191" s="87"/>
      <c r="I191" s="87"/>
    </row>
    <row r="192" spans="8:9" ht="26.25" customHeight="1">
      <c r="H192" s="87"/>
      <c r="I192" s="87"/>
    </row>
    <row r="193" spans="8:9" ht="26.25" customHeight="1">
      <c r="H193" s="87"/>
      <c r="I193" s="87"/>
    </row>
    <row r="194" spans="8:9" ht="26.25" customHeight="1">
      <c r="H194" s="87"/>
      <c r="I194" s="87"/>
    </row>
    <row r="195" spans="8:9" ht="26.25" customHeight="1">
      <c r="H195" s="87"/>
      <c r="I195" s="87"/>
    </row>
    <row r="196" spans="8:9" ht="26.25" customHeight="1">
      <c r="H196" s="87"/>
      <c r="I196" s="87"/>
    </row>
    <row r="197" spans="8:9" ht="26.25" customHeight="1">
      <c r="H197" s="87"/>
      <c r="I197" s="87"/>
    </row>
    <row r="198" spans="8:9" ht="26.25" customHeight="1">
      <c r="H198" s="87"/>
      <c r="I198" s="87"/>
    </row>
    <row r="199" spans="8:9" ht="26.25" customHeight="1">
      <c r="H199" s="87"/>
      <c r="I199" s="87"/>
    </row>
    <row r="200" spans="8:9" ht="26.25" customHeight="1">
      <c r="H200" s="87"/>
      <c r="I200" s="87"/>
    </row>
    <row r="201" spans="8:9" ht="26.25" customHeight="1">
      <c r="H201" s="87"/>
      <c r="I201" s="87"/>
    </row>
    <row r="202" spans="8:9" ht="26.25" customHeight="1">
      <c r="H202" s="87"/>
      <c r="I202" s="87"/>
    </row>
    <row r="203" spans="8:9" ht="26.25" customHeight="1">
      <c r="H203" s="87"/>
      <c r="I203" s="87"/>
    </row>
    <row r="204" spans="8:9" ht="26.25" customHeight="1">
      <c r="H204" s="87"/>
      <c r="I204" s="87"/>
    </row>
    <row r="205" spans="8:9" ht="26.25" customHeight="1">
      <c r="H205" s="87"/>
      <c r="I205" s="87"/>
    </row>
    <row r="206" spans="8:9" ht="26.25" customHeight="1">
      <c r="H206" s="87"/>
      <c r="I206" s="87"/>
    </row>
    <row r="207" spans="8:9" ht="26.25" customHeight="1">
      <c r="H207" s="87"/>
      <c r="I207" s="87"/>
    </row>
    <row r="208" spans="8:9" ht="26.25" customHeight="1">
      <c r="H208" s="87"/>
      <c r="I208" s="87"/>
    </row>
    <row r="209" spans="8:9" ht="26.25" customHeight="1">
      <c r="H209" s="87"/>
      <c r="I209" s="87"/>
    </row>
    <row r="210" spans="8:9" ht="26.25" customHeight="1">
      <c r="H210" s="87"/>
      <c r="I210" s="87"/>
    </row>
    <row r="211" spans="8:9" ht="26.25" customHeight="1">
      <c r="H211" s="87"/>
      <c r="I211" s="87"/>
    </row>
    <row r="212" spans="8:9" ht="26.25" customHeight="1">
      <c r="H212" s="87"/>
      <c r="I212" s="87"/>
    </row>
    <row r="213" spans="8:9" ht="26.25" customHeight="1">
      <c r="H213" s="87"/>
      <c r="I213" s="87"/>
    </row>
    <row r="214" spans="8:9" ht="26.25" customHeight="1">
      <c r="H214" s="87"/>
      <c r="I214" s="87"/>
    </row>
    <row r="215" spans="8:9" ht="26.25" customHeight="1">
      <c r="H215" s="87"/>
      <c r="I215" s="87"/>
    </row>
    <row r="216" spans="8:9" ht="26.25" customHeight="1">
      <c r="H216" s="87"/>
      <c r="I216" s="87"/>
    </row>
    <row r="217" spans="8:9" ht="26.25" customHeight="1">
      <c r="H217" s="87"/>
      <c r="I217" s="87"/>
    </row>
    <row r="218" spans="8:9" ht="26.25" customHeight="1">
      <c r="H218" s="87"/>
      <c r="I218" s="87"/>
    </row>
    <row r="219" spans="8:9" ht="26.25" customHeight="1">
      <c r="H219" s="87"/>
      <c r="I219" s="87"/>
    </row>
    <row r="220" spans="8:9" ht="26.25" customHeight="1">
      <c r="H220" s="87"/>
      <c r="I220" s="87"/>
    </row>
    <row r="221" spans="8:9" ht="26.25" customHeight="1">
      <c r="H221" s="87"/>
      <c r="I221" s="87"/>
    </row>
    <row r="222" spans="8:9" ht="26.25" customHeight="1">
      <c r="H222" s="87"/>
      <c r="I222" s="87"/>
    </row>
    <row r="223" spans="8:9" ht="26.25" customHeight="1">
      <c r="H223" s="87"/>
      <c r="I223" s="87"/>
    </row>
    <row r="224" spans="8:9" ht="26.25" customHeight="1">
      <c r="H224" s="87"/>
      <c r="I224" s="87"/>
    </row>
    <row r="225" spans="8:9" ht="26.25" customHeight="1">
      <c r="H225" s="87"/>
      <c r="I225" s="87"/>
    </row>
    <row r="226" spans="8:9" ht="26.25" customHeight="1">
      <c r="H226" s="87"/>
      <c r="I226" s="87"/>
    </row>
    <row r="227" spans="8:9" ht="26.25" customHeight="1">
      <c r="H227" s="87"/>
      <c r="I227" s="87"/>
    </row>
    <row r="228" spans="8:9" ht="26.25" customHeight="1">
      <c r="H228" s="87"/>
      <c r="I228" s="87"/>
    </row>
    <row r="229" spans="8:9" ht="26.25" customHeight="1">
      <c r="H229" s="87"/>
      <c r="I229" s="87"/>
    </row>
    <row r="230" spans="8:9" ht="26.25" customHeight="1">
      <c r="H230" s="87"/>
      <c r="I230" s="87"/>
    </row>
    <row r="231" spans="8:9" ht="26.25" customHeight="1">
      <c r="H231" s="87"/>
      <c r="I231" s="87"/>
    </row>
    <row r="232" spans="8:9" ht="26.25" customHeight="1">
      <c r="H232" s="87"/>
      <c r="I232" s="87"/>
    </row>
    <row r="233" spans="8:9" ht="26.25" customHeight="1">
      <c r="H233" s="87"/>
      <c r="I233" s="87"/>
    </row>
    <row r="234" spans="8:9" ht="26.25" customHeight="1">
      <c r="H234" s="87"/>
      <c r="I234" s="87"/>
    </row>
    <row r="235" spans="8:9" ht="26.25" customHeight="1">
      <c r="H235" s="87"/>
      <c r="I235" s="87"/>
    </row>
    <row r="236" spans="8:9" ht="26.25" customHeight="1">
      <c r="H236" s="87"/>
      <c r="I236" s="87"/>
    </row>
    <row r="237" spans="8:9" ht="26.25" customHeight="1">
      <c r="H237" s="87"/>
      <c r="I237" s="87"/>
    </row>
    <row r="238" spans="8:9" ht="26.25" customHeight="1">
      <c r="H238" s="87"/>
      <c r="I238" s="87"/>
    </row>
    <row r="239" spans="8:9" ht="26.25" customHeight="1">
      <c r="H239" s="87"/>
      <c r="I239" s="87"/>
    </row>
    <row r="240" spans="8:9" ht="26.25" customHeight="1">
      <c r="H240" s="87"/>
      <c r="I240" s="87"/>
    </row>
    <row r="241" spans="8:9" ht="26.25" customHeight="1">
      <c r="H241" s="87"/>
      <c r="I241" s="87"/>
    </row>
    <row r="242" spans="8:9" ht="26.25" customHeight="1">
      <c r="H242" s="87"/>
      <c r="I242" s="87"/>
    </row>
    <row r="243" spans="8:9" ht="26.25" customHeight="1">
      <c r="H243" s="87"/>
      <c r="I243" s="87"/>
    </row>
    <row r="244" spans="8:9" ht="26.25" customHeight="1">
      <c r="H244" s="87"/>
      <c r="I244" s="87"/>
    </row>
    <row r="245" spans="8:9" ht="26.25" customHeight="1">
      <c r="H245" s="87"/>
      <c r="I245" s="87"/>
    </row>
    <row r="246" spans="8:9" ht="26.25" customHeight="1">
      <c r="H246" s="87"/>
      <c r="I246" s="87"/>
    </row>
    <row r="247" spans="8:9" ht="26.25" customHeight="1">
      <c r="H247" s="87"/>
      <c r="I247" s="87"/>
    </row>
    <row r="248" spans="8:9" ht="26.25" customHeight="1">
      <c r="H248" s="87"/>
      <c r="I248" s="87"/>
    </row>
    <row r="249" spans="8:9" ht="26.25" customHeight="1">
      <c r="H249" s="87"/>
      <c r="I249" s="87"/>
    </row>
    <row r="250" spans="8:9" ht="26.25" customHeight="1">
      <c r="H250" s="87"/>
      <c r="I250" s="87"/>
    </row>
    <row r="251" spans="8:9" ht="26.25" customHeight="1">
      <c r="H251" s="87"/>
      <c r="I251" s="87"/>
    </row>
    <row r="252" spans="8:9" ht="26.25" customHeight="1">
      <c r="H252" s="87"/>
      <c r="I252" s="87"/>
    </row>
    <row r="253" spans="8:9" ht="26.25" customHeight="1">
      <c r="H253" s="87"/>
      <c r="I253" s="87"/>
    </row>
    <row r="254" spans="8:9" ht="26.25" customHeight="1">
      <c r="H254" s="87"/>
      <c r="I254" s="87"/>
    </row>
    <row r="255" spans="8:9" ht="26.25" customHeight="1">
      <c r="H255" s="87"/>
      <c r="I255" s="87"/>
    </row>
    <row r="256" spans="8:9" ht="26.25" customHeight="1">
      <c r="H256" s="87"/>
      <c r="I256" s="87"/>
    </row>
    <row r="257" spans="8:9" ht="26.25" customHeight="1">
      <c r="H257" s="87"/>
      <c r="I257" s="87"/>
    </row>
    <row r="258" spans="8:9" ht="26.25" customHeight="1">
      <c r="H258" s="87"/>
      <c r="I258" s="87"/>
    </row>
    <row r="259" spans="8:9" ht="26.25" customHeight="1">
      <c r="H259" s="87"/>
      <c r="I259" s="87"/>
    </row>
    <row r="260" spans="8:9" ht="26.25" customHeight="1">
      <c r="H260" s="87"/>
      <c r="I260" s="87"/>
    </row>
    <row r="261" spans="8:9" ht="26.25" customHeight="1">
      <c r="H261" s="87"/>
      <c r="I261" s="87"/>
    </row>
    <row r="262" spans="8:9" ht="26.25" customHeight="1">
      <c r="H262" s="87"/>
      <c r="I262" s="87"/>
    </row>
    <row r="263" spans="8:9" ht="26.25" customHeight="1">
      <c r="H263" s="87"/>
      <c r="I263" s="87"/>
    </row>
    <row r="264" spans="8:9" ht="26.25" customHeight="1">
      <c r="H264" s="87"/>
      <c r="I264" s="87"/>
    </row>
    <row r="265" spans="8:9" ht="26.25" customHeight="1">
      <c r="H265" s="87"/>
      <c r="I265" s="87"/>
    </row>
    <row r="266" spans="8:9" ht="26.25" customHeight="1">
      <c r="H266" s="87"/>
      <c r="I266" s="87"/>
    </row>
    <row r="267" spans="8:9" ht="26.25" customHeight="1">
      <c r="H267" s="87"/>
      <c r="I267" s="87"/>
    </row>
    <row r="268" spans="8:9" ht="26.25" customHeight="1">
      <c r="H268" s="87"/>
      <c r="I268" s="87"/>
    </row>
    <row r="269" spans="8:9" ht="26.25" customHeight="1">
      <c r="H269" s="87"/>
      <c r="I269" s="87"/>
    </row>
    <row r="270" spans="8:9" ht="26.25" customHeight="1">
      <c r="H270" s="87"/>
      <c r="I270" s="87"/>
    </row>
    <row r="271" spans="8:9" ht="26.25" customHeight="1">
      <c r="H271" s="87"/>
      <c r="I271" s="87"/>
    </row>
    <row r="272" spans="8:9" ht="26.25" customHeight="1">
      <c r="H272" s="87"/>
      <c r="I272" s="87"/>
    </row>
    <row r="273" spans="8:9" ht="26.25" customHeight="1">
      <c r="H273" s="87"/>
      <c r="I273" s="87"/>
    </row>
    <row r="274" spans="8:9" ht="26.25" customHeight="1">
      <c r="H274" s="87"/>
      <c r="I274" s="87"/>
    </row>
    <row r="275" spans="8:9" ht="26.25" customHeight="1">
      <c r="H275" s="87"/>
      <c r="I275" s="87"/>
    </row>
    <row r="276" spans="8:9" ht="26.25" customHeight="1">
      <c r="H276" s="87"/>
      <c r="I276" s="87"/>
    </row>
    <row r="277" spans="8:9" ht="26.25" customHeight="1">
      <c r="H277" s="87"/>
      <c r="I277" s="87"/>
    </row>
  </sheetData>
  <phoneticPr fontId="57" type="noConversion"/>
  <dataValidations count="30">
    <dataValidation type="textLength" errorStyle="information" allowBlank="1" showInputMessage="1" showErrorMessage="1" error="XLBVal:6=-228530.97_x000d__x000a_" sqref="E86:P86">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515_x000d__x000a_" sqref="E73:P73">
      <formula1>0</formula1>
      <formula2>300</formula2>
    </dataValidation>
    <dataValidation type="textLength" errorStyle="information" allowBlank="1" showInputMessage="1" showErrorMessage="1" error="XLBVal:6=737.88_x000d__x000a_" sqref="E71:P71">
      <formula1>0</formula1>
      <formula2>300</formula2>
    </dataValidation>
    <dataValidation type="textLength" errorStyle="information" allowBlank="1" showInputMessage="1" showErrorMessage="1" error="XLBVal:6=1196.58_x000d__x000a_" sqref="E53:P53">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76.42_x000d__x000a_" sqref="E69:P69">
      <formula1>0</formula1>
      <formula2>300</formula2>
    </dataValidation>
    <dataValidation type="textLength" errorStyle="information" allowBlank="1" showInputMessage="1" showErrorMessage="1" error="XLBVal:2=0_x000d__x000a_" sqref="R12 E70:Q70 E43:P52 Q71 E72:Q72 Q86 E94:P101 E15:E40 F13:F40 Q15:Q69 Q73:Q82 R15:R82 R85:R86 R104:R111 R94:R101 Q90:R91 Q114:R121 E74:P81 E54:P68 G15:P40 E114:P117 E110:P111">
      <formula1>0</formula1>
      <formula2>300</formula2>
    </dataValidation>
    <dataValidation type="textLength" errorStyle="information" allowBlank="1" showInputMessage="1" showErrorMessage="1" error="XLBVal:6=380_x000d__x000a_" sqref="E82:P82">
      <formula1>0</formula1>
      <formula2>300</formula2>
    </dataValidation>
    <dataValidation type="textLength" errorStyle="information" allowBlank="1" showInputMessage="1" showErrorMessage="1" error="XLBVal:6=0_x000d__x000a_" sqref="E83:R83">
      <formula1>0</formula1>
      <formula2>300</formula2>
    </dataValidation>
    <dataValidation type="textLength" errorStyle="information" allowBlank="1" showInputMessage="1" showErrorMessage="1" error="XLBVal:6=3239.86_x000d__x000a_" sqref="E84:R84">
      <formula1>0</formula1>
      <formula2>300</formula2>
    </dataValidation>
    <dataValidation type="textLength" errorStyle="information" allowBlank="1" showInputMessage="1" showErrorMessage="1" error="XLBVal:6=169013_x000d__x000a_" sqref="Q94:Q101">
      <formula1>0</formula1>
      <formula2>300</formula2>
    </dataValidation>
    <dataValidation type="textLength" errorStyle="information" allowBlank="1" showInputMessage="1" showErrorMessage="1" error="XLBVal:6=877418.59_x000d__x000a_" sqref="E85">
      <formula1>0</formula1>
      <formula2>300</formula2>
    </dataValidation>
    <dataValidation type="textLength" errorStyle="information" allowBlank="1" showInputMessage="1" showErrorMessage="1" error="XLBVal:6=206.5_x000d__x000a_" sqref="E41:P42">
      <formula1>0</formula1>
      <formula2>300</formula2>
    </dataValidation>
    <dataValidation type="textLength" errorStyle="information" allowBlank="1" showInputMessage="1" showErrorMessage="1" error="XLBVal:6=900857.82_x000d__x000a_" sqref="F85">
      <formula1>0</formula1>
      <formula2>300</formula2>
    </dataValidation>
    <dataValidation type="textLength" errorStyle="information" allowBlank="1" showInputMessage="1" showErrorMessage="1" error="XLBVal:6=1064596.75_x000d__x000a_" sqref="G85:P85">
      <formula1>0</formula1>
      <formula2>300</formula2>
    </dataValidation>
    <dataValidation type="textLength" errorStyle="information" allowBlank="1" showInputMessage="1" showErrorMessage="1" error="XLBVal:6=12779429.56_x000d__x000a_" sqref="Q85">
      <formula1>0</formula1>
      <formula2>300</formula2>
    </dataValidation>
    <dataValidation type="textLength" errorStyle="information" allowBlank="1" showInputMessage="1" showErrorMessage="1" sqref="F122:R123 E122:E124 H113:I113 F124:I124 H103:I103 E88:E89 F89:I89 F88:P88">
      <formula1>0</formula1>
      <formula2>300</formula2>
    </dataValidation>
    <dataValidation type="textLength" errorStyle="information" allowBlank="1" showInputMessage="1" showErrorMessage="1" error="XLBVal:6=3678_x000d__x000a_" sqref="E112:R112 E113:G113">
      <formula1>0</formula1>
      <formula2>300</formula2>
    </dataValidation>
    <dataValidation type="textLength" errorStyle="information" allowBlank="1" showInputMessage="1" showErrorMessage="1" error="XLBVal:6=29_x000d__x000a_" sqref="E125:R125">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293444_x000d__x000a_" sqref="Q104:Q111">
      <formula1>0</formula1>
      <formula2>300</formula2>
    </dataValidation>
    <dataValidation type="textLength" errorStyle="information" allowBlank="1" showInputMessage="1" showErrorMessage="1" error="XLBVal:6=3021.77_x000d__x000a_" sqref="E104:P109">
      <formula1>0</formula1>
      <formula2>300</formula2>
    </dataValidation>
    <dataValidation type="textLength" errorStyle="information" allowBlank="1" showInputMessage="1" showErrorMessage="1" error="XLBVal:6=43620.26_x000d__x000a_" sqref="E90:P91">
      <formula1>0</formula1>
      <formula2>300</formula2>
    </dataValidation>
    <dataValidation type="textLength" errorStyle="information" allowBlank="1" showInputMessage="1" showErrorMessage="1" error="XLBVal:6=2737.78_x000d__x000a_" sqref="E118:F121 G119:G121 H118:P121">
      <formula1>0</formula1>
      <formula2>300</formula2>
    </dataValidation>
    <dataValidation type="textLength" errorStyle="information" allowBlank="1" showInputMessage="1" showErrorMessage="1" error="XLBVal:6=13973.8_x000d__x000a_" sqref="G118">
      <formula1>0</formula1>
      <formula2>300</formula2>
    </dataValidation>
  </dataValidations>
  <printOptions horizontalCentered="1"/>
  <pageMargins left="0.118110236220472" right="0.118110236220472" top="0.59055118110236204" bottom="0.39370078740157499" header="0" footer="0"/>
  <pageSetup paperSize="9" scale="36" fitToHeight="0" orientation="landscape" r:id="rId1"/>
  <headerFooter>
    <oddFooter>&amp;L&amp;"微软雅黑,Regular"&amp;F&amp;C&amp;"微软雅黑,Regular"Page &amp;P of &amp;N&amp;R&amp;"微软雅黑,Regular"&amp;D</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FFFF00"/>
  </sheetPr>
  <dimension ref="A1:T173"/>
  <sheetViews>
    <sheetView topLeftCell="D1" zoomScale="57" zoomScaleNormal="57" zoomScaleSheetLayoutView="40" workbookViewId="0">
      <pane xSplit="1" ySplit="10" topLeftCell="E137" activePane="bottomRight" state="frozen"/>
      <selection pane="topRight"/>
      <selection pane="bottomLeft"/>
      <selection pane="bottomRight" activeCell="E132" sqref="E132:P132"/>
    </sheetView>
  </sheetViews>
  <sheetFormatPr defaultColWidth="8.875" defaultRowHeight="26.25" customHeight="1" outlineLevelRow="1" outlineLevelCol="1"/>
  <cols>
    <col min="1" max="3" width="15.5" style="5" hidden="1" customWidth="1" outlineLevel="1"/>
    <col min="4" max="4" width="68.875" style="6" customWidth="1" collapsed="1"/>
    <col min="5" max="5" width="19.5" style="7" customWidth="1"/>
    <col min="6" max="6" width="21.5" style="7" customWidth="1"/>
    <col min="7" max="7" width="19.5" style="7" customWidth="1"/>
    <col min="8" max="8" width="21.5" style="7" customWidth="1"/>
    <col min="9" max="9" width="19.5" style="7" customWidth="1"/>
    <col min="10" max="11" width="21.5" style="148" customWidth="1"/>
    <col min="12" max="12" width="21.5" style="5" customWidth="1"/>
    <col min="13" max="16" width="20" style="148" customWidth="1"/>
    <col min="17" max="17" width="30.125" style="148" customWidth="1"/>
    <col min="18" max="18" width="15" style="148" customWidth="1"/>
    <col min="19" max="19" width="22.5" style="149" customWidth="1"/>
    <col min="20" max="20" width="22.5" style="148" customWidth="1"/>
    <col min="21" max="16384" width="8.875" style="148"/>
  </cols>
  <sheetData>
    <row r="1" spans="1:20" s="1" customFormat="1" ht="15" customHeight="1" outlineLevel="1">
      <c r="E1" s="9"/>
      <c r="F1" s="9"/>
      <c r="G1" s="9"/>
      <c r="H1" s="9"/>
      <c r="I1" s="9"/>
      <c r="J1" s="9"/>
      <c r="K1" s="9"/>
      <c r="L1" s="9"/>
      <c r="M1" s="9"/>
      <c r="N1" s="9"/>
      <c r="O1" s="9"/>
      <c r="P1" s="9"/>
      <c r="Q1" s="9"/>
      <c r="R1" s="9"/>
      <c r="S1" s="32"/>
    </row>
    <row r="2" spans="1:20" s="1" customFormat="1" ht="15" customHeight="1" outlineLevel="1">
      <c r="E2" s="9"/>
      <c r="F2" s="9"/>
      <c r="G2" s="9"/>
      <c r="H2" s="9"/>
      <c r="I2" s="9"/>
      <c r="J2" s="9"/>
      <c r="K2" s="9"/>
      <c r="L2" s="9"/>
      <c r="M2" s="9"/>
      <c r="N2" s="9"/>
      <c r="O2" s="9"/>
      <c r="P2" s="9"/>
      <c r="Q2" s="9"/>
      <c r="R2" s="9"/>
      <c r="S2" s="32"/>
    </row>
    <row r="3" spans="1:20" s="1" customFormat="1" ht="15" customHeight="1" outlineLevel="1">
      <c r="E3" s="9"/>
      <c r="F3" s="9"/>
      <c r="G3" s="9"/>
      <c r="H3" s="9"/>
      <c r="I3" s="9"/>
      <c r="J3" s="9"/>
      <c r="K3" s="9"/>
      <c r="L3" s="9"/>
      <c r="M3" s="9"/>
      <c r="N3" s="9"/>
      <c r="O3" s="9"/>
      <c r="P3" s="9"/>
      <c r="Q3" s="9"/>
      <c r="R3" s="9"/>
      <c r="S3" s="32"/>
    </row>
    <row r="4" spans="1:20" s="147" customFormat="1" ht="24.95" customHeight="1">
      <c r="D4" s="10" t="str">
        <f>Summary!$D$4</f>
        <v>Hotel Budget Report</v>
      </c>
      <c r="E4" s="150"/>
      <c r="F4" s="150"/>
      <c r="G4" s="151"/>
      <c r="H4" s="152"/>
      <c r="I4" s="152"/>
      <c r="L4" s="2"/>
      <c r="S4" s="156"/>
    </row>
    <row r="5" spans="1:20" s="147" customFormat="1" ht="24.95" customHeight="1">
      <c r="D5" s="10" t="str">
        <f>Summary!$D$5</f>
        <v>酒店预算报表</v>
      </c>
      <c r="E5" s="150"/>
      <c r="F5" s="150"/>
      <c r="G5" s="151"/>
      <c r="H5" s="152"/>
      <c r="I5" s="152"/>
      <c r="L5" s="2"/>
      <c r="S5" s="156"/>
    </row>
    <row r="6" spans="1:20" s="147" customFormat="1" ht="24.95" customHeight="1">
      <c r="D6" s="10" t="s">
        <v>645</v>
      </c>
      <c r="E6" s="152"/>
      <c r="F6" s="152"/>
      <c r="G6" s="152"/>
      <c r="H6" s="152"/>
      <c r="I6" s="152"/>
      <c r="L6" s="2"/>
      <c r="S6" s="156"/>
    </row>
    <row r="7" spans="1:20" s="147" customFormat="1" ht="24.95" customHeight="1">
      <c r="D7" s="15" t="str">
        <f>Summary!D7</f>
        <v>2025</v>
      </c>
      <c r="E7" s="152"/>
      <c r="F7" s="152"/>
      <c r="G7" s="152"/>
      <c r="H7" s="152"/>
      <c r="I7" s="152"/>
      <c r="L7" s="2"/>
      <c r="S7" s="15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S9" s="15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378</v>
      </c>
      <c r="E11" s="76"/>
      <c r="F11" s="76"/>
      <c r="G11" s="76"/>
      <c r="H11" s="77"/>
      <c r="I11" s="77"/>
      <c r="J11" s="3"/>
      <c r="K11" s="155"/>
      <c r="L11" s="155"/>
      <c r="M11" s="155"/>
      <c r="S11" s="157"/>
    </row>
    <row r="12" spans="1:20" s="84" customFormat="1" ht="24.95" customHeight="1">
      <c r="A12" s="50" t="s">
        <v>452</v>
      </c>
      <c r="B12" s="3" t="s">
        <v>405</v>
      </c>
      <c r="C12" s="3"/>
      <c r="D12" s="26" t="s">
        <v>453</v>
      </c>
      <c r="E12" s="155"/>
      <c r="F12" s="155"/>
      <c r="G12" s="155"/>
      <c r="H12" s="155"/>
      <c r="I12" s="155"/>
      <c r="J12" s="155"/>
      <c r="K12" s="155"/>
      <c r="L12" s="155"/>
      <c r="M12" s="155"/>
      <c r="N12" s="155"/>
      <c r="O12" s="155"/>
      <c r="P12" s="155"/>
      <c r="Q12" s="155">
        <f>SUM(E12:P12)</f>
        <v>0</v>
      </c>
      <c r="R12" s="155"/>
      <c r="S12" s="157"/>
      <c r="T12" s="40">
        <f>IF(Q12-S12=0,0,(Q12-S12)/S12)</f>
        <v>0</v>
      </c>
    </row>
    <row r="13" spans="1:20" s="84" customFormat="1" ht="24.95" customHeight="1">
      <c r="A13" s="50" t="s">
        <v>454</v>
      </c>
      <c r="B13" s="3" t="s">
        <v>405</v>
      </c>
      <c r="C13" s="3"/>
      <c r="D13" s="26" t="s">
        <v>455</v>
      </c>
      <c r="E13" s="63"/>
      <c r="F13" s="63"/>
      <c r="G13" s="63"/>
      <c r="H13" s="63"/>
      <c r="I13" s="63"/>
      <c r="J13" s="63"/>
      <c r="K13" s="63"/>
      <c r="L13" s="63"/>
      <c r="M13" s="63"/>
      <c r="N13" s="63"/>
      <c r="O13" s="63"/>
      <c r="P13" s="63"/>
      <c r="Q13" s="155">
        <f t="shared" ref="Q13:Q16" si="0">SUM(E13:P13)</f>
        <v>0</v>
      </c>
      <c r="R13" s="142"/>
      <c r="S13" s="157"/>
      <c r="T13" s="40">
        <f t="shared" ref="T13:T28" si="1">IF(Q13-S13=0,0,(Q13-S13)/S13)</f>
        <v>0</v>
      </c>
    </row>
    <row r="14" spans="1:20" s="84" customFormat="1" ht="24.95" customHeight="1">
      <c r="A14" s="50" t="s">
        <v>456</v>
      </c>
      <c r="B14" s="3" t="s">
        <v>405</v>
      </c>
      <c r="C14" s="3"/>
      <c r="D14" s="26" t="s">
        <v>457</v>
      </c>
      <c r="E14" s="63"/>
      <c r="F14" s="63"/>
      <c r="G14" s="63"/>
      <c r="H14" s="63"/>
      <c r="I14" s="63"/>
      <c r="J14" s="63"/>
      <c r="K14" s="63"/>
      <c r="L14" s="63"/>
      <c r="M14" s="63"/>
      <c r="N14" s="63"/>
      <c r="O14" s="63"/>
      <c r="P14" s="63"/>
      <c r="Q14" s="155">
        <f t="shared" si="0"/>
        <v>0</v>
      </c>
      <c r="R14" s="142"/>
      <c r="S14" s="157"/>
      <c r="T14" s="40">
        <f t="shared" si="1"/>
        <v>0</v>
      </c>
    </row>
    <row r="15" spans="1:20" s="84" customFormat="1" ht="24.95" customHeight="1">
      <c r="A15" s="50" t="s">
        <v>458</v>
      </c>
      <c r="B15" s="3" t="s">
        <v>405</v>
      </c>
      <c r="C15" s="3"/>
      <c r="D15" s="26" t="s">
        <v>459</v>
      </c>
      <c r="E15" s="63"/>
      <c r="F15" s="63"/>
      <c r="G15" s="63"/>
      <c r="H15" s="63"/>
      <c r="I15" s="63"/>
      <c r="J15" s="63"/>
      <c r="K15" s="63"/>
      <c r="L15" s="63"/>
      <c r="M15" s="63"/>
      <c r="N15" s="63"/>
      <c r="O15" s="63"/>
      <c r="P15" s="63"/>
      <c r="Q15" s="155">
        <f t="shared" si="0"/>
        <v>0</v>
      </c>
      <c r="R15" s="142"/>
      <c r="S15" s="157"/>
      <c r="T15" s="40">
        <f t="shared" si="1"/>
        <v>0</v>
      </c>
    </row>
    <row r="16" spans="1:20" s="84" customFormat="1" ht="24.95" customHeight="1">
      <c r="A16" s="50" t="s">
        <v>460</v>
      </c>
      <c r="B16" s="3" t="s">
        <v>405</v>
      </c>
      <c r="C16" s="3"/>
      <c r="D16" s="26" t="s">
        <v>461</v>
      </c>
      <c r="E16" s="63"/>
      <c r="F16" s="63"/>
      <c r="G16" s="63"/>
      <c r="H16" s="63"/>
      <c r="I16" s="63"/>
      <c r="J16" s="63"/>
      <c r="K16" s="63"/>
      <c r="L16" s="63"/>
      <c r="M16" s="63"/>
      <c r="N16" s="63"/>
      <c r="O16" s="63"/>
      <c r="P16" s="63"/>
      <c r="Q16" s="155">
        <f t="shared" si="0"/>
        <v>0</v>
      </c>
      <c r="R16" s="142"/>
      <c r="S16" s="157"/>
      <c r="T16" s="40">
        <f t="shared" si="1"/>
        <v>0</v>
      </c>
    </row>
    <row r="17" spans="1:20" s="84" customFormat="1" ht="24.95" customHeight="1">
      <c r="A17" s="3"/>
      <c r="B17" s="3"/>
      <c r="C17" s="3"/>
      <c r="D17" s="21" t="s">
        <v>409</v>
      </c>
      <c r="E17" s="45">
        <f>SUM(E12:E16)</f>
        <v>0</v>
      </c>
      <c r="F17" s="45">
        <f t="shared" ref="F17:P17" si="2">SUM(F12:F16)</f>
        <v>0</v>
      </c>
      <c r="G17" s="45">
        <f t="shared" si="2"/>
        <v>0</v>
      </c>
      <c r="H17" s="45">
        <f t="shared" si="2"/>
        <v>0</v>
      </c>
      <c r="I17" s="45">
        <f t="shared" si="2"/>
        <v>0</v>
      </c>
      <c r="J17" s="45">
        <f t="shared" si="2"/>
        <v>0</v>
      </c>
      <c r="K17" s="45">
        <f t="shared" si="2"/>
        <v>0</v>
      </c>
      <c r="L17" s="45">
        <f t="shared" si="2"/>
        <v>0</v>
      </c>
      <c r="M17" s="45">
        <f t="shared" si="2"/>
        <v>0</v>
      </c>
      <c r="N17" s="45">
        <f t="shared" si="2"/>
        <v>0</v>
      </c>
      <c r="O17" s="45">
        <f t="shared" si="2"/>
        <v>0</v>
      </c>
      <c r="P17" s="45">
        <f t="shared" si="2"/>
        <v>0</v>
      </c>
      <c r="Q17" s="45">
        <f t="shared" ref="Q17" si="3">SUM(Q12:Q16)</f>
        <v>0</v>
      </c>
      <c r="R17" s="45"/>
      <c r="S17" s="157"/>
      <c r="T17" s="40">
        <f t="shared" si="1"/>
        <v>0</v>
      </c>
    </row>
    <row r="18" spans="1:20" s="84" customFormat="1" ht="24.95" customHeight="1">
      <c r="A18" s="3"/>
      <c r="B18" s="3"/>
      <c r="C18" s="3"/>
      <c r="D18" s="26"/>
      <c r="E18" s="113"/>
      <c r="F18" s="24"/>
      <c r="G18" s="113"/>
      <c r="H18" s="113"/>
      <c r="I18" s="113"/>
      <c r="J18" s="113"/>
      <c r="K18" s="113"/>
      <c r="L18" s="113"/>
      <c r="S18" s="157"/>
      <c r="T18" s="40"/>
    </row>
    <row r="19" spans="1:20" s="84" customFormat="1" ht="24.95" customHeight="1">
      <c r="A19" s="3"/>
      <c r="B19" s="3"/>
      <c r="C19" s="3"/>
      <c r="D19" s="21" t="s">
        <v>410</v>
      </c>
      <c r="E19" s="113"/>
      <c r="F19" s="63"/>
      <c r="G19" s="63"/>
      <c r="H19" s="63"/>
      <c r="I19" s="63"/>
      <c r="J19" s="63"/>
      <c r="K19" s="63"/>
      <c r="L19" s="63"/>
      <c r="S19" s="157"/>
      <c r="T19" s="40"/>
    </row>
    <row r="20" spans="1:20" s="84" customFormat="1" ht="24.95" customHeight="1">
      <c r="A20" s="50" t="s">
        <v>462</v>
      </c>
      <c r="B20" s="3" t="s">
        <v>405</v>
      </c>
      <c r="C20" s="3"/>
      <c r="D20" s="26" t="s">
        <v>453</v>
      </c>
      <c r="E20" s="63">
        <v>0</v>
      </c>
      <c r="F20" s="63">
        <v>0</v>
      </c>
      <c r="G20" s="63">
        <v>0</v>
      </c>
      <c r="H20" s="63">
        <v>0</v>
      </c>
      <c r="I20" s="63">
        <v>0</v>
      </c>
      <c r="J20" s="63">
        <v>0</v>
      </c>
      <c r="K20" s="63">
        <v>0</v>
      </c>
      <c r="L20" s="63">
        <v>0</v>
      </c>
      <c r="M20" s="63">
        <v>0</v>
      </c>
      <c r="N20" s="63">
        <v>0</v>
      </c>
      <c r="O20" s="63">
        <v>0</v>
      </c>
      <c r="P20" s="63">
        <v>0</v>
      </c>
      <c r="Q20" s="142">
        <f>SUM(E20:P20)</f>
        <v>0</v>
      </c>
      <c r="R20" s="142"/>
      <c r="S20" s="157"/>
      <c r="T20" s="40">
        <f>IF(S20&lt;&gt;0,(Q20-S20)/S20,1)</f>
        <v>1</v>
      </c>
    </row>
    <row r="21" spans="1:20" s="84" customFormat="1" ht="24.95" customHeight="1">
      <c r="A21" s="50" t="s">
        <v>463</v>
      </c>
      <c r="B21" s="3" t="s">
        <v>405</v>
      </c>
      <c r="C21" s="3"/>
      <c r="D21" s="26" t="s">
        <v>455</v>
      </c>
      <c r="E21" s="63"/>
      <c r="F21" s="63"/>
      <c r="G21" s="63"/>
      <c r="H21" s="63"/>
      <c r="I21" s="63"/>
      <c r="J21" s="63"/>
      <c r="K21" s="63"/>
      <c r="L21" s="63"/>
      <c r="M21" s="63"/>
      <c r="N21" s="63"/>
      <c r="O21" s="63"/>
      <c r="P21" s="63"/>
      <c r="Q21" s="142">
        <f t="shared" ref="Q21:Q24" si="4">SUM(E21:P21)</f>
        <v>0</v>
      </c>
      <c r="R21" s="142"/>
      <c r="S21" s="157"/>
      <c r="T21" s="40">
        <f t="shared" si="1"/>
        <v>0</v>
      </c>
    </row>
    <row r="22" spans="1:20" s="84" customFormat="1" ht="24.95" customHeight="1">
      <c r="A22" s="50" t="s">
        <v>646</v>
      </c>
      <c r="B22" s="3" t="s">
        <v>405</v>
      </c>
      <c r="C22" s="3"/>
      <c r="D22" s="26" t="s">
        <v>457</v>
      </c>
      <c r="E22" s="63"/>
      <c r="F22" s="63"/>
      <c r="G22" s="63"/>
      <c r="H22" s="63"/>
      <c r="I22" s="63"/>
      <c r="J22" s="63"/>
      <c r="K22" s="63"/>
      <c r="L22" s="63"/>
      <c r="M22" s="63"/>
      <c r="N22" s="63"/>
      <c r="O22" s="63"/>
      <c r="P22" s="63"/>
      <c r="Q22" s="142">
        <f t="shared" si="4"/>
        <v>0</v>
      </c>
      <c r="R22" s="142"/>
      <c r="S22" s="157"/>
      <c r="T22" s="40">
        <f t="shared" si="1"/>
        <v>0</v>
      </c>
    </row>
    <row r="23" spans="1:20" s="84" customFormat="1" ht="24.95" customHeight="1">
      <c r="A23" s="50" t="s">
        <v>465</v>
      </c>
      <c r="B23" s="3" t="s">
        <v>405</v>
      </c>
      <c r="C23" s="3"/>
      <c r="D23" s="26" t="s">
        <v>459</v>
      </c>
      <c r="E23" s="63"/>
      <c r="F23" s="63"/>
      <c r="G23" s="63"/>
      <c r="H23" s="63"/>
      <c r="I23" s="63"/>
      <c r="J23" s="63"/>
      <c r="K23" s="63"/>
      <c r="L23" s="63"/>
      <c r="M23" s="63"/>
      <c r="N23" s="63"/>
      <c r="O23" s="63"/>
      <c r="P23" s="63"/>
      <c r="Q23" s="142">
        <f t="shared" si="4"/>
        <v>0</v>
      </c>
      <c r="R23" s="142"/>
      <c r="S23" s="157"/>
      <c r="T23" s="40">
        <f t="shared" si="1"/>
        <v>0</v>
      </c>
    </row>
    <row r="24" spans="1:20" s="84" customFormat="1" ht="24.95" customHeight="1">
      <c r="A24" s="50" t="s">
        <v>466</v>
      </c>
      <c r="B24" s="3" t="s">
        <v>405</v>
      </c>
      <c r="C24" s="3"/>
      <c r="D24" s="26" t="s">
        <v>461</v>
      </c>
      <c r="E24" s="63"/>
      <c r="F24" s="63"/>
      <c r="G24" s="63"/>
      <c r="H24" s="63"/>
      <c r="I24" s="63"/>
      <c r="J24" s="63"/>
      <c r="K24" s="63"/>
      <c r="L24" s="63"/>
      <c r="M24" s="63"/>
      <c r="N24" s="63"/>
      <c r="O24" s="63"/>
      <c r="P24" s="63"/>
      <c r="Q24" s="142">
        <f t="shared" si="4"/>
        <v>0</v>
      </c>
      <c r="R24" s="142"/>
      <c r="S24" s="157"/>
      <c r="T24" s="40">
        <f t="shared" si="1"/>
        <v>0</v>
      </c>
    </row>
    <row r="25" spans="1:20" s="84" customFormat="1" ht="24.95" customHeight="1">
      <c r="A25" s="3"/>
      <c r="B25" s="3"/>
      <c r="C25" s="3"/>
      <c r="D25" s="21" t="s">
        <v>413</v>
      </c>
      <c r="E25" s="45">
        <f>SUM(E20:E24)</f>
        <v>0</v>
      </c>
      <c r="F25" s="45">
        <f t="shared" ref="F25:Q25" si="5">SUM(F20:F24)</f>
        <v>0</v>
      </c>
      <c r="G25" s="45">
        <f t="shared" si="5"/>
        <v>0</v>
      </c>
      <c r="H25" s="45">
        <f t="shared" si="5"/>
        <v>0</v>
      </c>
      <c r="I25" s="45">
        <f t="shared" si="5"/>
        <v>0</v>
      </c>
      <c r="J25" s="45">
        <f t="shared" si="5"/>
        <v>0</v>
      </c>
      <c r="K25" s="45">
        <f t="shared" si="5"/>
        <v>0</v>
      </c>
      <c r="L25" s="45">
        <f t="shared" si="5"/>
        <v>0</v>
      </c>
      <c r="M25" s="45">
        <f t="shared" si="5"/>
        <v>0</v>
      </c>
      <c r="N25" s="45">
        <f t="shared" si="5"/>
        <v>0</v>
      </c>
      <c r="O25" s="45">
        <f t="shared" si="5"/>
        <v>0</v>
      </c>
      <c r="P25" s="45">
        <f t="shared" si="5"/>
        <v>0</v>
      </c>
      <c r="Q25" s="45">
        <f t="shared" si="5"/>
        <v>0</v>
      </c>
      <c r="R25" s="45"/>
      <c r="S25" s="157"/>
      <c r="T25" s="40">
        <f t="shared" si="1"/>
        <v>0</v>
      </c>
    </row>
    <row r="26" spans="1:20" s="84" customFormat="1" ht="24.95" customHeight="1">
      <c r="A26" s="50" t="s">
        <v>419</v>
      </c>
      <c r="B26" s="3" t="s">
        <v>405</v>
      </c>
      <c r="C26" s="3"/>
      <c r="D26" s="26" t="s">
        <v>420</v>
      </c>
      <c r="E26" s="63">
        <v>0</v>
      </c>
      <c r="F26" s="63">
        <v>0</v>
      </c>
      <c r="G26" s="63">
        <v>0</v>
      </c>
      <c r="H26" s="63">
        <v>0</v>
      </c>
      <c r="I26" s="63">
        <v>0</v>
      </c>
      <c r="J26" s="63">
        <v>0</v>
      </c>
      <c r="K26" s="63">
        <v>0</v>
      </c>
      <c r="L26" s="63">
        <v>0</v>
      </c>
      <c r="M26" s="27">
        <v>0</v>
      </c>
      <c r="N26" s="27">
        <v>0</v>
      </c>
      <c r="O26" s="27">
        <v>0</v>
      </c>
      <c r="P26" s="27">
        <v>0</v>
      </c>
      <c r="Q26" s="142">
        <f>SUM(E26:P26)</f>
        <v>0</v>
      </c>
      <c r="R26" s="142"/>
      <c r="S26" s="157"/>
      <c r="T26" s="40">
        <f>IF(S26&lt;&gt;0,(Q26-S26)/S26,1)</f>
        <v>1</v>
      </c>
    </row>
    <row r="27" spans="1:20" s="84" customFormat="1" ht="24.95" customHeight="1">
      <c r="A27" s="50" t="s">
        <v>126</v>
      </c>
      <c r="B27" s="3" t="s">
        <v>405</v>
      </c>
      <c r="C27" s="3"/>
      <c r="D27" s="26" t="s">
        <v>421</v>
      </c>
      <c r="E27" s="63">
        <f t="shared" ref="E27:P27" si="6">+(E17+E25)*0.1</f>
        <v>0</v>
      </c>
      <c r="F27" s="63">
        <f t="shared" si="6"/>
        <v>0</v>
      </c>
      <c r="G27" s="63">
        <f t="shared" si="6"/>
        <v>0</v>
      </c>
      <c r="H27" s="63">
        <f t="shared" si="6"/>
        <v>0</v>
      </c>
      <c r="I27" s="63">
        <f t="shared" si="6"/>
        <v>0</v>
      </c>
      <c r="J27" s="63">
        <f t="shared" si="6"/>
        <v>0</v>
      </c>
      <c r="K27" s="63">
        <f t="shared" si="6"/>
        <v>0</v>
      </c>
      <c r="L27" s="63">
        <f t="shared" si="6"/>
        <v>0</v>
      </c>
      <c r="M27" s="63">
        <f t="shared" si="6"/>
        <v>0</v>
      </c>
      <c r="N27" s="63">
        <f t="shared" si="6"/>
        <v>0</v>
      </c>
      <c r="O27" s="63">
        <f t="shared" si="6"/>
        <v>0</v>
      </c>
      <c r="P27" s="63">
        <f t="shared" si="6"/>
        <v>0</v>
      </c>
      <c r="Q27" s="142">
        <f>SUM(E27:P27)</f>
        <v>0</v>
      </c>
      <c r="R27" s="142"/>
      <c r="S27" s="157"/>
      <c r="T27" s="40">
        <f t="shared" si="1"/>
        <v>0</v>
      </c>
    </row>
    <row r="28" spans="1:20" s="84" customFormat="1" ht="24.95" customHeight="1">
      <c r="A28" s="50"/>
      <c r="B28" s="3"/>
      <c r="C28" s="3"/>
      <c r="D28" s="21" t="s">
        <v>422</v>
      </c>
      <c r="E28" s="45">
        <f>E17+E25+E26+E27</f>
        <v>0</v>
      </c>
      <c r="F28" s="45">
        <f t="shared" ref="F28:Q28" si="7">F17+F25+F26+F27</f>
        <v>0</v>
      </c>
      <c r="G28" s="45">
        <f t="shared" si="7"/>
        <v>0</v>
      </c>
      <c r="H28" s="45">
        <f t="shared" si="7"/>
        <v>0</v>
      </c>
      <c r="I28" s="45">
        <f t="shared" si="7"/>
        <v>0</v>
      </c>
      <c r="J28" s="45">
        <f t="shared" si="7"/>
        <v>0</v>
      </c>
      <c r="K28" s="45">
        <f t="shared" si="7"/>
        <v>0</v>
      </c>
      <c r="L28" s="45">
        <f t="shared" si="7"/>
        <v>0</v>
      </c>
      <c r="M28" s="45">
        <f t="shared" si="7"/>
        <v>0</v>
      </c>
      <c r="N28" s="45">
        <f t="shared" si="7"/>
        <v>0</v>
      </c>
      <c r="O28" s="45">
        <f t="shared" si="7"/>
        <v>0</v>
      </c>
      <c r="P28" s="45">
        <f t="shared" si="7"/>
        <v>0</v>
      </c>
      <c r="Q28" s="45">
        <f t="shared" si="7"/>
        <v>0</v>
      </c>
      <c r="R28" s="45"/>
      <c r="S28" s="157"/>
      <c r="T28" s="40">
        <f t="shared" si="1"/>
        <v>0</v>
      </c>
    </row>
    <row r="29" spans="1:20" s="84" customFormat="1" ht="24.95" customHeight="1">
      <c r="A29" s="50"/>
      <c r="B29" s="3"/>
      <c r="C29" s="3"/>
      <c r="D29" s="26"/>
      <c r="E29" s="63"/>
      <c r="F29" s="63"/>
      <c r="G29" s="63"/>
      <c r="H29" s="63"/>
      <c r="I29" s="63"/>
      <c r="J29" s="63"/>
      <c r="K29" s="63"/>
      <c r="L29" s="63"/>
      <c r="S29" s="157"/>
      <c r="T29" s="40"/>
    </row>
    <row r="30" spans="1:20" s="84" customFormat="1" ht="24.95" customHeight="1">
      <c r="A30" s="50"/>
      <c r="B30" s="3"/>
      <c r="C30" s="3"/>
      <c r="D30" s="21" t="s">
        <v>423</v>
      </c>
      <c r="E30" s="63"/>
      <c r="F30" s="63"/>
      <c r="G30" s="63"/>
      <c r="H30" s="63"/>
      <c r="I30" s="63"/>
      <c r="J30" s="63"/>
      <c r="K30" s="63"/>
      <c r="L30" s="63"/>
      <c r="S30" s="157"/>
      <c r="T30" s="40"/>
    </row>
    <row r="31" spans="1:20" s="84" customFormat="1" ht="24.95" customHeight="1">
      <c r="A31" s="3" t="s">
        <v>424</v>
      </c>
      <c r="B31" s="3" t="s">
        <v>405</v>
      </c>
      <c r="C31" s="3"/>
      <c r="D31" s="26" t="s">
        <v>425</v>
      </c>
      <c r="E31" s="63">
        <f>E17*28%</f>
        <v>0</v>
      </c>
      <c r="F31" s="63">
        <f>F17*29.99%</f>
        <v>0</v>
      </c>
      <c r="G31" s="63">
        <f>G17*29%</f>
        <v>0</v>
      </c>
      <c r="H31" s="63">
        <f>H17*28%</f>
        <v>0</v>
      </c>
      <c r="I31" s="63">
        <f>I17*28%</f>
        <v>0</v>
      </c>
      <c r="J31" s="63">
        <f>J17*28%</f>
        <v>0</v>
      </c>
      <c r="K31" s="63">
        <f>K17*31%</f>
        <v>0</v>
      </c>
      <c r="L31" s="63">
        <f>L17*27.95%</f>
        <v>0</v>
      </c>
      <c r="M31" s="63">
        <f>M17*32.93%</f>
        <v>0</v>
      </c>
      <c r="N31" s="63">
        <f>N17*27.08%</f>
        <v>0</v>
      </c>
      <c r="O31" s="63">
        <f>O17*27.89%</f>
        <v>0</v>
      </c>
      <c r="P31" s="63">
        <f>P17*28.5%</f>
        <v>0</v>
      </c>
      <c r="Q31" s="142">
        <f>SUM(E31:P31)</f>
        <v>0</v>
      </c>
      <c r="R31" s="168" t="e">
        <f>Q31/Q17</f>
        <v>#DIV/0!</v>
      </c>
      <c r="S31" s="157"/>
      <c r="T31" s="40">
        <f>-IF(Q31-S31=0,0,(Q31-S31)/S31)</f>
        <v>0</v>
      </c>
    </row>
    <row r="32" spans="1:20" s="84" customFormat="1" ht="24.95" customHeight="1">
      <c r="A32" s="3" t="s">
        <v>426</v>
      </c>
      <c r="B32" s="3" t="s">
        <v>405</v>
      </c>
      <c r="C32" s="3"/>
      <c r="D32" s="26" t="s">
        <v>427</v>
      </c>
      <c r="E32" s="63">
        <f>E25*21%</f>
        <v>0</v>
      </c>
      <c r="F32" s="63">
        <f>F25*20.5%</f>
        <v>0</v>
      </c>
      <c r="G32" s="63">
        <f>G25*21.5%</f>
        <v>0</v>
      </c>
      <c r="H32" s="63">
        <f>H25*20.5%</f>
        <v>0</v>
      </c>
      <c r="I32" s="63">
        <f>I25*21%</f>
        <v>0</v>
      </c>
      <c r="J32" s="63">
        <f>J25*20.5%</f>
        <v>0</v>
      </c>
      <c r="K32" s="63">
        <f>K25*20.5%</f>
        <v>0</v>
      </c>
      <c r="L32" s="63">
        <f>L25*20.5%</f>
        <v>0</v>
      </c>
      <c r="M32" s="63">
        <f>M25*20.5%</f>
        <v>0</v>
      </c>
      <c r="N32" s="63">
        <f>N25*21.5%</f>
        <v>0</v>
      </c>
      <c r="O32" s="63">
        <f>O25*21.5%</f>
        <v>0</v>
      </c>
      <c r="P32" s="63">
        <f>P25*21.5%</f>
        <v>0</v>
      </c>
      <c r="Q32" s="142">
        <f t="shared" ref="Q32:Q33" si="8">SUM(E32:P32)</f>
        <v>0</v>
      </c>
      <c r="R32" s="168" t="e">
        <f>Q32/Q25</f>
        <v>#DIV/0!</v>
      </c>
      <c r="S32" s="157"/>
      <c r="T32" s="40">
        <f t="shared" ref="T32:T95" si="9">-IF(Q32-S32=0,0,(Q32-S32)/S32)</f>
        <v>0</v>
      </c>
    </row>
    <row r="33" spans="1:20" s="84" customFormat="1" ht="24.95" customHeight="1">
      <c r="A33" s="3" t="s">
        <v>467</v>
      </c>
      <c r="B33" s="3" t="s">
        <v>405</v>
      </c>
      <c r="C33" s="3"/>
      <c r="D33" s="26" t="s">
        <v>431</v>
      </c>
      <c r="E33" s="63"/>
      <c r="F33" s="63"/>
      <c r="G33" s="63"/>
      <c r="H33" s="63"/>
      <c r="I33" s="63"/>
      <c r="J33" s="63"/>
      <c r="K33" s="63"/>
      <c r="L33" s="63"/>
      <c r="M33" s="27">
        <v>0</v>
      </c>
      <c r="N33" s="27">
        <v>0</v>
      </c>
      <c r="O33" s="27">
        <v>0</v>
      </c>
      <c r="P33" s="27">
        <v>0</v>
      </c>
      <c r="Q33" s="142">
        <f t="shared" si="8"/>
        <v>0</v>
      </c>
      <c r="R33" s="174"/>
      <c r="S33" s="157"/>
      <c r="T33" s="40">
        <f t="shared" si="9"/>
        <v>0</v>
      </c>
    </row>
    <row r="34" spans="1:20" s="84" customFormat="1" ht="24.95" customHeight="1">
      <c r="A34" s="3"/>
      <c r="B34" s="3"/>
      <c r="C34" s="3"/>
      <c r="D34" s="21" t="s">
        <v>432</v>
      </c>
      <c r="E34" s="45">
        <f>+SUM(E31:E33)</f>
        <v>0</v>
      </c>
      <c r="F34" s="45">
        <f t="shared" ref="F34:P34" si="10">+SUM(F31:F33)</f>
        <v>0</v>
      </c>
      <c r="G34" s="45">
        <f t="shared" si="10"/>
        <v>0</v>
      </c>
      <c r="H34" s="45">
        <f t="shared" si="10"/>
        <v>0</v>
      </c>
      <c r="I34" s="45">
        <f t="shared" si="10"/>
        <v>0</v>
      </c>
      <c r="J34" s="45">
        <f t="shared" si="10"/>
        <v>0</v>
      </c>
      <c r="K34" s="45">
        <f t="shared" si="10"/>
        <v>0</v>
      </c>
      <c r="L34" s="45">
        <f t="shared" si="10"/>
        <v>0</v>
      </c>
      <c r="M34" s="45">
        <f t="shared" si="10"/>
        <v>0</v>
      </c>
      <c r="N34" s="45">
        <f t="shared" si="10"/>
        <v>0</v>
      </c>
      <c r="O34" s="45">
        <f t="shared" si="10"/>
        <v>0</v>
      </c>
      <c r="P34" s="45">
        <f t="shared" si="10"/>
        <v>0</v>
      </c>
      <c r="Q34" s="45">
        <f>SUM(Q31:Q33)</f>
        <v>0</v>
      </c>
      <c r="R34" s="158" t="e">
        <f>Q34/$Q$28</f>
        <v>#DIV/0!</v>
      </c>
      <c r="S34" s="157"/>
      <c r="T34" s="40">
        <f t="shared" si="9"/>
        <v>0</v>
      </c>
    </row>
    <row r="35" spans="1:20" s="84" customFormat="1" ht="24.95" customHeight="1">
      <c r="A35" s="3"/>
      <c r="B35" s="3"/>
      <c r="C35" s="3"/>
      <c r="D35" s="26"/>
      <c r="E35" s="63"/>
      <c r="F35" s="63"/>
      <c r="G35" s="63"/>
      <c r="H35" s="63"/>
      <c r="I35" s="63"/>
      <c r="J35" s="63"/>
      <c r="K35" s="63"/>
      <c r="L35" s="63"/>
      <c r="Q35" s="159"/>
      <c r="R35" s="174"/>
      <c r="S35" s="157"/>
      <c r="T35" s="40"/>
    </row>
    <row r="36" spans="1:20" s="84" customFormat="1" ht="24.95" customHeight="1">
      <c r="A36" s="3" t="s">
        <v>103</v>
      </c>
      <c r="B36" s="3" t="s">
        <v>405</v>
      </c>
      <c r="C36" s="3"/>
      <c r="D36" s="21" t="s">
        <v>137</v>
      </c>
      <c r="E36" s="45">
        <f>+E161</f>
        <v>0</v>
      </c>
      <c r="F36" s="45">
        <f t="shared" ref="F36:P36" si="11">+F161</f>
        <v>0</v>
      </c>
      <c r="G36" s="45">
        <f t="shared" si="11"/>
        <v>0</v>
      </c>
      <c r="H36" s="45">
        <f t="shared" si="11"/>
        <v>0</v>
      </c>
      <c r="I36" s="45">
        <f t="shared" si="11"/>
        <v>0</v>
      </c>
      <c r="J36" s="45">
        <f t="shared" si="11"/>
        <v>0</v>
      </c>
      <c r="K36" s="45">
        <f t="shared" si="11"/>
        <v>0</v>
      </c>
      <c r="L36" s="45">
        <f t="shared" si="11"/>
        <v>0</v>
      </c>
      <c r="M36" s="45">
        <f t="shared" si="11"/>
        <v>0</v>
      </c>
      <c r="N36" s="45">
        <f t="shared" si="11"/>
        <v>0</v>
      </c>
      <c r="O36" s="45">
        <f t="shared" si="11"/>
        <v>0</v>
      </c>
      <c r="P36" s="45">
        <f t="shared" si="11"/>
        <v>0</v>
      </c>
      <c r="Q36" s="45">
        <f>SUM(E36:P36)</f>
        <v>0</v>
      </c>
      <c r="R36" s="158" t="e">
        <f>Q36/$Q$28</f>
        <v>#DIV/0!</v>
      </c>
      <c r="S36" s="157"/>
      <c r="T36" s="40"/>
    </row>
    <row r="37" spans="1:20" s="84" customFormat="1" ht="24.95" customHeight="1">
      <c r="A37" s="3"/>
      <c r="B37" s="3"/>
      <c r="C37" s="3"/>
      <c r="D37" s="26"/>
      <c r="E37" s="63"/>
      <c r="F37" s="63"/>
      <c r="G37" s="63"/>
      <c r="H37" s="63"/>
      <c r="I37" s="63"/>
      <c r="J37" s="63"/>
      <c r="K37" s="63"/>
      <c r="L37" s="63"/>
      <c r="R37" s="34"/>
      <c r="S37" s="157"/>
      <c r="T37" s="40"/>
    </row>
    <row r="38" spans="1:20" s="84" customFormat="1" ht="24.95" customHeight="1">
      <c r="A38" s="3"/>
      <c r="B38" s="3"/>
      <c r="C38" s="3"/>
      <c r="D38" s="21" t="s">
        <v>138</v>
      </c>
      <c r="E38" s="63"/>
      <c r="F38" s="63"/>
      <c r="G38" s="63"/>
      <c r="H38" s="63"/>
      <c r="I38" s="63"/>
      <c r="J38" s="63"/>
      <c r="K38" s="63"/>
      <c r="L38" s="63"/>
      <c r="R38" s="34" t="s">
        <v>433</v>
      </c>
      <c r="S38" s="157"/>
      <c r="T38" s="40"/>
    </row>
    <row r="39" spans="1:20" s="84" customFormat="1" ht="24.95" hidden="1" customHeight="1">
      <c r="A39" s="3" t="s">
        <v>140</v>
      </c>
      <c r="B39" s="3" t="s">
        <v>405</v>
      </c>
      <c r="C39" s="3"/>
      <c r="D39" s="26" t="s">
        <v>141</v>
      </c>
      <c r="E39" s="27">
        <v>0</v>
      </c>
      <c r="F39" s="27">
        <v>0</v>
      </c>
      <c r="G39" s="27">
        <v>0</v>
      </c>
      <c r="H39" s="27">
        <v>0</v>
      </c>
      <c r="I39" s="27">
        <v>0</v>
      </c>
      <c r="J39" s="27">
        <v>0</v>
      </c>
      <c r="K39" s="27">
        <v>0</v>
      </c>
      <c r="L39" s="27">
        <v>0</v>
      </c>
      <c r="M39" s="27">
        <v>0</v>
      </c>
      <c r="N39" s="27">
        <v>0</v>
      </c>
      <c r="O39" s="27">
        <v>0</v>
      </c>
      <c r="P39" s="27">
        <v>0</v>
      </c>
      <c r="Q39" s="142">
        <f>SUM(E39:P39)</f>
        <v>0</v>
      </c>
      <c r="R39" s="142" t="e">
        <f t="shared" ref="R39:R70" si="12">Q39/$Q$117</f>
        <v>#DIV/0!</v>
      </c>
      <c r="S39" s="157"/>
      <c r="T39" s="40">
        <f t="shared" si="9"/>
        <v>0</v>
      </c>
    </row>
    <row r="40" spans="1:20" s="84" customFormat="1" ht="24.95" hidden="1" customHeight="1">
      <c r="A40" s="3" t="s">
        <v>142</v>
      </c>
      <c r="B40" s="3" t="s">
        <v>405</v>
      </c>
      <c r="C40" s="3"/>
      <c r="D40" s="26" t="s">
        <v>143</v>
      </c>
      <c r="E40" s="27">
        <v>0</v>
      </c>
      <c r="F40" s="27">
        <v>0</v>
      </c>
      <c r="G40" s="27">
        <v>0</v>
      </c>
      <c r="H40" s="27">
        <v>0</v>
      </c>
      <c r="I40" s="27">
        <v>0</v>
      </c>
      <c r="J40" s="27">
        <v>0</v>
      </c>
      <c r="K40" s="27">
        <v>0</v>
      </c>
      <c r="L40" s="27">
        <v>0</v>
      </c>
      <c r="M40" s="27">
        <v>0</v>
      </c>
      <c r="N40" s="27">
        <v>0</v>
      </c>
      <c r="O40" s="27">
        <v>0</v>
      </c>
      <c r="P40" s="27">
        <v>0</v>
      </c>
      <c r="Q40" s="142">
        <f t="shared" ref="Q40:Q103" si="13">SUM(E40:P40)</f>
        <v>0</v>
      </c>
      <c r="R40" s="142" t="e">
        <f t="shared" si="12"/>
        <v>#DIV/0!</v>
      </c>
      <c r="S40" s="157"/>
      <c r="T40" s="40">
        <f t="shared" si="9"/>
        <v>0</v>
      </c>
    </row>
    <row r="41" spans="1:20" s="84" customFormat="1" ht="24.95" hidden="1" customHeight="1">
      <c r="A41" s="3" t="s">
        <v>144</v>
      </c>
      <c r="B41" s="3" t="s">
        <v>405</v>
      </c>
      <c r="C41" s="3"/>
      <c r="D41" s="26" t="s">
        <v>145</v>
      </c>
      <c r="E41" s="27">
        <v>0</v>
      </c>
      <c r="F41" s="27">
        <v>0</v>
      </c>
      <c r="G41" s="27">
        <v>0</v>
      </c>
      <c r="H41" s="27">
        <v>0</v>
      </c>
      <c r="I41" s="27">
        <v>0</v>
      </c>
      <c r="J41" s="27">
        <v>0</v>
      </c>
      <c r="K41" s="27">
        <v>0</v>
      </c>
      <c r="L41" s="27">
        <v>0</v>
      </c>
      <c r="M41" s="27">
        <v>0</v>
      </c>
      <c r="N41" s="27">
        <v>0</v>
      </c>
      <c r="O41" s="27">
        <v>0</v>
      </c>
      <c r="P41" s="27">
        <v>0</v>
      </c>
      <c r="Q41" s="142">
        <f t="shared" si="13"/>
        <v>0</v>
      </c>
      <c r="R41" s="142" t="e">
        <f t="shared" si="12"/>
        <v>#DIV/0!</v>
      </c>
      <c r="S41" s="157"/>
      <c r="T41" s="40">
        <f t="shared" si="9"/>
        <v>0</v>
      </c>
    </row>
    <row r="42" spans="1:20" s="84" customFormat="1" ht="24.95" hidden="1" customHeight="1">
      <c r="A42" s="3" t="s">
        <v>146</v>
      </c>
      <c r="B42" s="3" t="s">
        <v>405</v>
      </c>
      <c r="C42" s="3"/>
      <c r="D42" s="26" t="s">
        <v>147</v>
      </c>
      <c r="E42" s="27">
        <v>0</v>
      </c>
      <c r="F42" s="27">
        <v>0</v>
      </c>
      <c r="G42" s="27">
        <v>0</v>
      </c>
      <c r="H42" s="27">
        <v>0</v>
      </c>
      <c r="I42" s="27">
        <v>0</v>
      </c>
      <c r="J42" s="27">
        <v>0</v>
      </c>
      <c r="K42" s="27">
        <v>0</v>
      </c>
      <c r="L42" s="27">
        <v>0</v>
      </c>
      <c r="M42" s="27">
        <v>0</v>
      </c>
      <c r="N42" s="27">
        <v>0</v>
      </c>
      <c r="O42" s="27">
        <v>0</v>
      </c>
      <c r="P42" s="27">
        <v>0</v>
      </c>
      <c r="Q42" s="142">
        <f t="shared" si="13"/>
        <v>0</v>
      </c>
      <c r="R42" s="142" t="e">
        <f t="shared" si="12"/>
        <v>#DIV/0!</v>
      </c>
      <c r="S42" s="157"/>
      <c r="T42" s="40">
        <f t="shared" si="9"/>
        <v>0</v>
      </c>
    </row>
    <row r="43" spans="1:20" s="84" customFormat="1" ht="24.95" hidden="1" customHeight="1">
      <c r="A43" s="3" t="s">
        <v>148</v>
      </c>
      <c r="B43" s="3" t="s">
        <v>405</v>
      </c>
      <c r="C43" s="3"/>
      <c r="D43" s="26" t="s">
        <v>149</v>
      </c>
      <c r="E43" s="27">
        <v>0</v>
      </c>
      <c r="F43" s="27">
        <v>0</v>
      </c>
      <c r="G43" s="27">
        <v>0</v>
      </c>
      <c r="H43" s="27">
        <v>0</v>
      </c>
      <c r="I43" s="27">
        <v>0</v>
      </c>
      <c r="J43" s="27">
        <v>0</v>
      </c>
      <c r="K43" s="27">
        <v>0</v>
      </c>
      <c r="L43" s="27">
        <v>0</v>
      </c>
      <c r="M43" s="27">
        <v>0</v>
      </c>
      <c r="N43" s="27">
        <v>0</v>
      </c>
      <c r="O43" s="27">
        <v>0</v>
      </c>
      <c r="P43" s="27">
        <v>0</v>
      </c>
      <c r="Q43" s="142">
        <f t="shared" si="13"/>
        <v>0</v>
      </c>
      <c r="R43" s="142" t="e">
        <f t="shared" si="12"/>
        <v>#DIV/0!</v>
      </c>
      <c r="S43" s="157"/>
      <c r="T43" s="40">
        <f t="shared" si="9"/>
        <v>0</v>
      </c>
    </row>
    <row r="44" spans="1:20" s="84" customFormat="1" ht="24.95" hidden="1" customHeight="1">
      <c r="A44" s="3" t="s">
        <v>150</v>
      </c>
      <c r="B44" s="3" t="s">
        <v>405</v>
      </c>
      <c r="C44" s="3"/>
      <c r="D44" s="26" t="s">
        <v>151</v>
      </c>
      <c r="E44" s="27">
        <v>0</v>
      </c>
      <c r="F44" s="27">
        <v>0</v>
      </c>
      <c r="G44" s="27">
        <v>0</v>
      </c>
      <c r="H44" s="27">
        <v>0</v>
      </c>
      <c r="I44" s="27">
        <v>0</v>
      </c>
      <c r="J44" s="27">
        <v>0</v>
      </c>
      <c r="K44" s="27">
        <v>0</v>
      </c>
      <c r="L44" s="27">
        <v>0</v>
      </c>
      <c r="M44" s="27">
        <v>0</v>
      </c>
      <c r="N44" s="27">
        <v>0</v>
      </c>
      <c r="O44" s="27">
        <v>0</v>
      </c>
      <c r="P44" s="27">
        <v>0</v>
      </c>
      <c r="Q44" s="142">
        <f t="shared" si="13"/>
        <v>0</v>
      </c>
      <c r="R44" s="142" t="e">
        <f t="shared" si="12"/>
        <v>#DIV/0!</v>
      </c>
      <c r="S44" s="157"/>
      <c r="T44" s="40">
        <f t="shared" si="9"/>
        <v>0</v>
      </c>
    </row>
    <row r="45" spans="1:20" s="84" customFormat="1" ht="24.95" hidden="1" customHeight="1">
      <c r="A45" s="3" t="s">
        <v>152</v>
      </c>
      <c r="B45" s="3" t="s">
        <v>405</v>
      </c>
      <c r="C45" s="3"/>
      <c r="D45" s="26" t="s">
        <v>153</v>
      </c>
      <c r="E45" s="27">
        <v>0</v>
      </c>
      <c r="F45" s="27">
        <v>0</v>
      </c>
      <c r="G45" s="27">
        <v>0</v>
      </c>
      <c r="H45" s="27">
        <v>0</v>
      </c>
      <c r="I45" s="27">
        <v>0</v>
      </c>
      <c r="J45" s="27">
        <v>0</v>
      </c>
      <c r="K45" s="27">
        <v>0</v>
      </c>
      <c r="L45" s="27">
        <v>0</v>
      </c>
      <c r="M45" s="27">
        <v>0</v>
      </c>
      <c r="N45" s="27">
        <v>0</v>
      </c>
      <c r="O45" s="27">
        <v>0</v>
      </c>
      <c r="P45" s="27">
        <v>0</v>
      </c>
      <c r="Q45" s="142">
        <f t="shared" si="13"/>
        <v>0</v>
      </c>
      <c r="R45" s="142" t="e">
        <f t="shared" si="12"/>
        <v>#DIV/0!</v>
      </c>
      <c r="S45" s="157"/>
      <c r="T45" s="40">
        <f t="shared" si="9"/>
        <v>0</v>
      </c>
    </row>
    <row r="46" spans="1:20" s="84" customFormat="1" ht="24.95" hidden="1" customHeight="1">
      <c r="A46" s="3" t="s">
        <v>154</v>
      </c>
      <c r="B46" s="3" t="s">
        <v>405</v>
      </c>
      <c r="C46" s="3"/>
      <c r="D46" s="26" t="s">
        <v>155</v>
      </c>
      <c r="E46" s="27">
        <v>0</v>
      </c>
      <c r="F46" s="27">
        <v>0</v>
      </c>
      <c r="G46" s="27">
        <v>0</v>
      </c>
      <c r="H46" s="27">
        <v>0</v>
      </c>
      <c r="I46" s="27">
        <v>0</v>
      </c>
      <c r="J46" s="27">
        <v>0</v>
      </c>
      <c r="K46" s="27">
        <v>0</v>
      </c>
      <c r="L46" s="27">
        <v>0</v>
      </c>
      <c r="M46" s="27">
        <v>0</v>
      </c>
      <c r="N46" s="27">
        <v>0</v>
      </c>
      <c r="O46" s="27">
        <v>0</v>
      </c>
      <c r="P46" s="27">
        <v>0</v>
      </c>
      <c r="Q46" s="142">
        <f t="shared" si="13"/>
        <v>0</v>
      </c>
      <c r="R46" s="142" t="e">
        <f t="shared" si="12"/>
        <v>#DIV/0!</v>
      </c>
      <c r="S46" s="157"/>
      <c r="T46" s="40">
        <f t="shared" si="9"/>
        <v>0</v>
      </c>
    </row>
    <row r="47" spans="1:20" s="84" customFormat="1" ht="24.95" hidden="1" customHeight="1">
      <c r="A47" s="3" t="s">
        <v>156</v>
      </c>
      <c r="B47" s="3" t="s">
        <v>405</v>
      </c>
      <c r="C47" s="3"/>
      <c r="D47" s="26" t="s">
        <v>157</v>
      </c>
      <c r="E47" s="27">
        <v>0</v>
      </c>
      <c r="F47" s="27">
        <v>0</v>
      </c>
      <c r="G47" s="27">
        <v>0</v>
      </c>
      <c r="H47" s="27">
        <v>0</v>
      </c>
      <c r="I47" s="27">
        <v>0</v>
      </c>
      <c r="J47" s="27">
        <v>0</v>
      </c>
      <c r="K47" s="27">
        <v>0</v>
      </c>
      <c r="L47" s="27">
        <v>0</v>
      </c>
      <c r="M47" s="27">
        <v>0</v>
      </c>
      <c r="N47" s="27">
        <v>0</v>
      </c>
      <c r="O47" s="27">
        <v>0</v>
      </c>
      <c r="P47" s="27">
        <v>0</v>
      </c>
      <c r="Q47" s="142">
        <f t="shared" si="13"/>
        <v>0</v>
      </c>
      <c r="R47" s="142" t="e">
        <f t="shared" si="12"/>
        <v>#DIV/0!</v>
      </c>
      <c r="S47" s="157"/>
      <c r="T47" s="40">
        <f t="shared" si="9"/>
        <v>0</v>
      </c>
    </row>
    <row r="48" spans="1:20" s="84" customFormat="1" ht="24.95" hidden="1" customHeight="1">
      <c r="A48" s="3" t="s">
        <v>158</v>
      </c>
      <c r="B48" s="3" t="s">
        <v>405</v>
      </c>
      <c r="C48" s="3"/>
      <c r="D48" s="26" t="s">
        <v>159</v>
      </c>
      <c r="E48" s="27">
        <v>0</v>
      </c>
      <c r="F48" s="27">
        <v>0</v>
      </c>
      <c r="G48" s="27">
        <v>0</v>
      </c>
      <c r="H48" s="27">
        <v>0</v>
      </c>
      <c r="I48" s="27">
        <v>0</v>
      </c>
      <c r="J48" s="27">
        <v>0</v>
      </c>
      <c r="K48" s="27">
        <v>0</v>
      </c>
      <c r="L48" s="27">
        <v>0</v>
      </c>
      <c r="M48" s="27">
        <v>0</v>
      </c>
      <c r="N48" s="27">
        <v>0</v>
      </c>
      <c r="O48" s="27">
        <v>0</v>
      </c>
      <c r="P48" s="27">
        <v>0</v>
      </c>
      <c r="Q48" s="142">
        <f t="shared" si="13"/>
        <v>0</v>
      </c>
      <c r="R48" s="142" t="e">
        <f t="shared" si="12"/>
        <v>#DIV/0!</v>
      </c>
      <c r="S48" s="157"/>
      <c r="T48" s="40">
        <f t="shared" si="9"/>
        <v>0</v>
      </c>
    </row>
    <row r="49" spans="1:20" s="84" customFormat="1" ht="24.95" hidden="1" customHeight="1">
      <c r="A49" s="3" t="s">
        <v>160</v>
      </c>
      <c r="B49" s="3" t="s">
        <v>405</v>
      </c>
      <c r="C49" s="3"/>
      <c r="D49" s="26" t="s">
        <v>161</v>
      </c>
      <c r="E49" s="27">
        <v>0</v>
      </c>
      <c r="F49" s="27">
        <v>0</v>
      </c>
      <c r="G49" s="27">
        <v>0</v>
      </c>
      <c r="H49" s="27">
        <v>0</v>
      </c>
      <c r="I49" s="27">
        <v>0</v>
      </c>
      <c r="J49" s="27">
        <v>0</v>
      </c>
      <c r="K49" s="27">
        <v>0</v>
      </c>
      <c r="L49" s="27">
        <v>0</v>
      </c>
      <c r="M49" s="27">
        <v>0</v>
      </c>
      <c r="N49" s="27">
        <v>0</v>
      </c>
      <c r="O49" s="27">
        <v>0</v>
      </c>
      <c r="P49" s="27">
        <v>0</v>
      </c>
      <c r="Q49" s="142">
        <f t="shared" si="13"/>
        <v>0</v>
      </c>
      <c r="R49" s="142" t="e">
        <f t="shared" si="12"/>
        <v>#DIV/0!</v>
      </c>
      <c r="S49" s="157"/>
      <c r="T49" s="40">
        <f t="shared" si="9"/>
        <v>0</v>
      </c>
    </row>
    <row r="50" spans="1:20" s="84" customFormat="1" ht="24.95" hidden="1" customHeight="1">
      <c r="A50" s="3" t="s">
        <v>162</v>
      </c>
      <c r="B50" s="3" t="s">
        <v>405</v>
      </c>
      <c r="C50" s="3"/>
      <c r="D50" s="26" t="s">
        <v>163</v>
      </c>
      <c r="E50" s="27">
        <v>0</v>
      </c>
      <c r="F50" s="27">
        <v>0</v>
      </c>
      <c r="G50" s="27">
        <v>0</v>
      </c>
      <c r="H50" s="27">
        <v>0</v>
      </c>
      <c r="I50" s="27">
        <v>0</v>
      </c>
      <c r="J50" s="27">
        <v>0</v>
      </c>
      <c r="K50" s="27">
        <v>0</v>
      </c>
      <c r="L50" s="27">
        <v>0</v>
      </c>
      <c r="M50" s="27">
        <v>0</v>
      </c>
      <c r="N50" s="27">
        <v>0</v>
      </c>
      <c r="O50" s="27">
        <v>0</v>
      </c>
      <c r="P50" s="27">
        <v>0</v>
      </c>
      <c r="Q50" s="142">
        <f t="shared" si="13"/>
        <v>0</v>
      </c>
      <c r="R50" s="142" t="e">
        <f t="shared" si="12"/>
        <v>#DIV/0!</v>
      </c>
      <c r="S50" s="157"/>
      <c r="T50" s="40">
        <f t="shared" si="9"/>
        <v>0</v>
      </c>
    </row>
    <row r="51" spans="1:20" s="84" customFormat="1" ht="24.95" hidden="1" customHeight="1">
      <c r="A51" s="3" t="s">
        <v>164</v>
      </c>
      <c r="B51" s="3" t="s">
        <v>405</v>
      </c>
      <c r="C51" s="3"/>
      <c r="D51" s="26" t="s">
        <v>165</v>
      </c>
      <c r="E51" s="27">
        <v>0</v>
      </c>
      <c r="F51" s="27">
        <v>0</v>
      </c>
      <c r="G51" s="27">
        <v>0</v>
      </c>
      <c r="H51" s="27">
        <v>0</v>
      </c>
      <c r="I51" s="27">
        <v>0</v>
      </c>
      <c r="J51" s="27">
        <v>0</v>
      </c>
      <c r="K51" s="27">
        <v>0</v>
      </c>
      <c r="L51" s="27">
        <v>0</v>
      </c>
      <c r="M51" s="27">
        <v>0</v>
      </c>
      <c r="N51" s="27">
        <v>0</v>
      </c>
      <c r="O51" s="27">
        <v>0</v>
      </c>
      <c r="P51" s="27">
        <v>0</v>
      </c>
      <c r="Q51" s="142">
        <f t="shared" si="13"/>
        <v>0</v>
      </c>
      <c r="R51" s="142" t="e">
        <f t="shared" si="12"/>
        <v>#DIV/0!</v>
      </c>
      <c r="S51" s="157"/>
      <c r="T51" s="40">
        <f t="shared" si="9"/>
        <v>0</v>
      </c>
    </row>
    <row r="52" spans="1:20" s="84" customFormat="1" ht="24.95" hidden="1" customHeight="1">
      <c r="A52" s="3" t="s">
        <v>166</v>
      </c>
      <c r="B52" s="3" t="s">
        <v>405</v>
      </c>
      <c r="C52" s="3"/>
      <c r="D52" s="26" t="s">
        <v>167</v>
      </c>
      <c r="E52" s="27">
        <v>0</v>
      </c>
      <c r="F52" s="27">
        <v>0</v>
      </c>
      <c r="G52" s="27">
        <v>0</v>
      </c>
      <c r="H52" s="27">
        <v>0</v>
      </c>
      <c r="I52" s="27">
        <v>0</v>
      </c>
      <c r="J52" s="27">
        <v>0</v>
      </c>
      <c r="K52" s="27">
        <v>0</v>
      </c>
      <c r="L52" s="27">
        <v>0</v>
      </c>
      <c r="M52" s="27">
        <v>0</v>
      </c>
      <c r="N52" s="27">
        <v>0</v>
      </c>
      <c r="O52" s="27">
        <v>0</v>
      </c>
      <c r="P52" s="27">
        <v>0</v>
      </c>
      <c r="Q52" s="142">
        <f t="shared" si="13"/>
        <v>0</v>
      </c>
      <c r="R52" s="142" t="e">
        <f t="shared" si="12"/>
        <v>#DIV/0!</v>
      </c>
      <c r="S52" s="157"/>
      <c r="T52" s="40">
        <f t="shared" si="9"/>
        <v>0</v>
      </c>
    </row>
    <row r="53" spans="1:20" s="84" customFormat="1" ht="24.95" hidden="1" customHeight="1">
      <c r="A53" s="3" t="s">
        <v>168</v>
      </c>
      <c r="B53" s="3" t="s">
        <v>405</v>
      </c>
      <c r="C53" s="3"/>
      <c r="D53" s="26" t="s">
        <v>169</v>
      </c>
      <c r="E53" s="27">
        <v>0</v>
      </c>
      <c r="F53" s="27">
        <v>0</v>
      </c>
      <c r="G53" s="27">
        <v>0</v>
      </c>
      <c r="H53" s="27">
        <v>0</v>
      </c>
      <c r="I53" s="27">
        <v>0</v>
      </c>
      <c r="J53" s="27">
        <v>0</v>
      </c>
      <c r="K53" s="27">
        <v>0</v>
      </c>
      <c r="L53" s="27">
        <v>0</v>
      </c>
      <c r="M53" s="27">
        <v>0</v>
      </c>
      <c r="N53" s="27">
        <v>0</v>
      </c>
      <c r="O53" s="27">
        <v>0</v>
      </c>
      <c r="P53" s="27">
        <v>0</v>
      </c>
      <c r="Q53" s="142">
        <f t="shared" si="13"/>
        <v>0</v>
      </c>
      <c r="R53" s="142" t="e">
        <f t="shared" si="12"/>
        <v>#DIV/0!</v>
      </c>
      <c r="S53" s="157"/>
      <c r="T53" s="40">
        <f t="shared" si="9"/>
        <v>0</v>
      </c>
    </row>
    <row r="54" spans="1:20" s="84" customFormat="1" ht="24.95" hidden="1" customHeight="1">
      <c r="A54" s="3" t="s">
        <v>170</v>
      </c>
      <c r="B54" s="3" t="s">
        <v>405</v>
      </c>
      <c r="C54" s="3"/>
      <c r="D54" s="26" t="s">
        <v>171</v>
      </c>
      <c r="E54" s="27">
        <v>0</v>
      </c>
      <c r="F54" s="27">
        <v>0</v>
      </c>
      <c r="G54" s="27">
        <v>0</v>
      </c>
      <c r="H54" s="27">
        <v>0</v>
      </c>
      <c r="I54" s="27">
        <v>0</v>
      </c>
      <c r="J54" s="27">
        <v>0</v>
      </c>
      <c r="K54" s="27">
        <v>0</v>
      </c>
      <c r="L54" s="27">
        <v>0</v>
      </c>
      <c r="M54" s="27">
        <v>0</v>
      </c>
      <c r="N54" s="27">
        <v>0</v>
      </c>
      <c r="O54" s="27">
        <v>0</v>
      </c>
      <c r="P54" s="27">
        <v>0</v>
      </c>
      <c r="Q54" s="142">
        <f t="shared" si="13"/>
        <v>0</v>
      </c>
      <c r="R54" s="142" t="e">
        <f t="shared" si="12"/>
        <v>#DIV/0!</v>
      </c>
      <c r="S54" s="157"/>
      <c r="T54" s="40">
        <f t="shared" si="9"/>
        <v>0</v>
      </c>
    </row>
    <row r="55" spans="1:20" s="84" customFormat="1" ht="24.95" hidden="1" customHeight="1">
      <c r="A55" s="3" t="s">
        <v>172</v>
      </c>
      <c r="B55" s="3" t="s">
        <v>405</v>
      </c>
      <c r="C55" s="3"/>
      <c r="D55" s="26" t="s">
        <v>173</v>
      </c>
      <c r="E55" s="27">
        <v>0</v>
      </c>
      <c r="F55" s="27">
        <v>0</v>
      </c>
      <c r="G55" s="27">
        <v>0</v>
      </c>
      <c r="H55" s="27">
        <v>0</v>
      </c>
      <c r="I55" s="27">
        <v>0</v>
      </c>
      <c r="J55" s="27">
        <v>0</v>
      </c>
      <c r="K55" s="27">
        <v>0</v>
      </c>
      <c r="L55" s="27">
        <v>0</v>
      </c>
      <c r="M55" s="27">
        <v>0</v>
      </c>
      <c r="N55" s="27">
        <v>0</v>
      </c>
      <c r="O55" s="27">
        <v>0</v>
      </c>
      <c r="P55" s="27">
        <v>0</v>
      </c>
      <c r="Q55" s="142">
        <f t="shared" si="13"/>
        <v>0</v>
      </c>
      <c r="R55" s="142" t="e">
        <f t="shared" si="12"/>
        <v>#DIV/0!</v>
      </c>
      <c r="S55" s="157"/>
      <c r="T55" s="40">
        <f t="shared" si="9"/>
        <v>0</v>
      </c>
    </row>
    <row r="56" spans="1:20" s="84" customFormat="1" ht="24.95" hidden="1" customHeight="1">
      <c r="A56" s="3" t="s">
        <v>174</v>
      </c>
      <c r="B56" s="3" t="s">
        <v>405</v>
      </c>
      <c r="C56" s="3"/>
      <c r="D56" s="26" t="s">
        <v>175</v>
      </c>
      <c r="E56" s="27">
        <v>0</v>
      </c>
      <c r="F56" s="27">
        <v>0</v>
      </c>
      <c r="G56" s="27">
        <v>0</v>
      </c>
      <c r="H56" s="27">
        <v>0</v>
      </c>
      <c r="I56" s="27">
        <v>0</v>
      </c>
      <c r="J56" s="27">
        <v>0</v>
      </c>
      <c r="K56" s="27">
        <v>0</v>
      </c>
      <c r="L56" s="27">
        <v>0</v>
      </c>
      <c r="M56" s="27">
        <v>0</v>
      </c>
      <c r="N56" s="27">
        <v>0</v>
      </c>
      <c r="O56" s="27">
        <v>0</v>
      </c>
      <c r="P56" s="27">
        <v>0</v>
      </c>
      <c r="Q56" s="142">
        <f t="shared" si="13"/>
        <v>0</v>
      </c>
      <c r="R56" s="142" t="e">
        <f t="shared" si="12"/>
        <v>#DIV/0!</v>
      </c>
      <c r="S56" s="157"/>
      <c r="T56" s="40">
        <f t="shared" si="9"/>
        <v>0</v>
      </c>
    </row>
    <row r="57" spans="1:20" s="84" customFormat="1" ht="24.95" hidden="1" customHeight="1">
      <c r="A57" s="3" t="s">
        <v>176</v>
      </c>
      <c r="B57" s="3" t="s">
        <v>405</v>
      </c>
      <c r="C57" s="3"/>
      <c r="D57" s="26" t="s">
        <v>177</v>
      </c>
      <c r="E57" s="27">
        <v>0</v>
      </c>
      <c r="F57" s="27">
        <v>0</v>
      </c>
      <c r="G57" s="27">
        <v>0</v>
      </c>
      <c r="H57" s="27">
        <v>0</v>
      </c>
      <c r="I57" s="27">
        <v>0</v>
      </c>
      <c r="J57" s="27">
        <v>0</v>
      </c>
      <c r="K57" s="27">
        <v>0</v>
      </c>
      <c r="L57" s="27">
        <v>0</v>
      </c>
      <c r="M57" s="27">
        <v>0</v>
      </c>
      <c r="N57" s="27">
        <v>0</v>
      </c>
      <c r="O57" s="27">
        <v>0</v>
      </c>
      <c r="P57" s="27">
        <v>0</v>
      </c>
      <c r="Q57" s="142">
        <f t="shared" si="13"/>
        <v>0</v>
      </c>
      <c r="R57" s="142" t="e">
        <f t="shared" si="12"/>
        <v>#DIV/0!</v>
      </c>
      <c r="S57" s="157"/>
      <c r="T57" s="40">
        <f t="shared" si="9"/>
        <v>0</v>
      </c>
    </row>
    <row r="58" spans="1:20" s="84" customFormat="1" ht="24.95" hidden="1" customHeight="1">
      <c r="A58" s="3" t="s">
        <v>178</v>
      </c>
      <c r="B58" s="3" t="s">
        <v>405</v>
      </c>
      <c r="C58" s="3"/>
      <c r="D58" s="26" t="s">
        <v>179</v>
      </c>
      <c r="E58" s="27">
        <v>0</v>
      </c>
      <c r="F58" s="27">
        <v>0</v>
      </c>
      <c r="G58" s="27">
        <v>0</v>
      </c>
      <c r="H58" s="27">
        <v>0</v>
      </c>
      <c r="I58" s="27">
        <v>0</v>
      </c>
      <c r="J58" s="27">
        <v>0</v>
      </c>
      <c r="K58" s="27">
        <v>0</v>
      </c>
      <c r="L58" s="27">
        <v>0</v>
      </c>
      <c r="M58" s="27">
        <v>0</v>
      </c>
      <c r="N58" s="27">
        <v>0</v>
      </c>
      <c r="O58" s="27">
        <v>0</v>
      </c>
      <c r="P58" s="27">
        <v>0</v>
      </c>
      <c r="Q58" s="142">
        <f t="shared" si="13"/>
        <v>0</v>
      </c>
      <c r="R58" s="142" t="e">
        <f t="shared" si="12"/>
        <v>#DIV/0!</v>
      </c>
      <c r="S58" s="157"/>
      <c r="T58" s="40">
        <f t="shared" si="9"/>
        <v>0</v>
      </c>
    </row>
    <row r="59" spans="1:20" s="84" customFormat="1" ht="24.95" hidden="1" customHeight="1">
      <c r="A59" s="3" t="s">
        <v>180</v>
      </c>
      <c r="B59" s="3" t="s">
        <v>405</v>
      </c>
      <c r="C59" s="3"/>
      <c r="D59" s="26" t="s">
        <v>181</v>
      </c>
      <c r="E59" s="27">
        <v>0</v>
      </c>
      <c r="F59" s="27">
        <v>0</v>
      </c>
      <c r="G59" s="27">
        <v>0</v>
      </c>
      <c r="H59" s="27">
        <v>0</v>
      </c>
      <c r="I59" s="27">
        <v>0</v>
      </c>
      <c r="J59" s="27">
        <v>0</v>
      </c>
      <c r="K59" s="27">
        <v>0</v>
      </c>
      <c r="L59" s="27">
        <v>0</v>
      </c>
      <c r="M59" s="27">
        <v>0</v>
      </c>
      <c r="N59" s="27">
        <v>0</v>
      </c>
      <c r="O59" s="27">
        <v>0</v>
      </c>
      <c r="P59" s="27">
        <v>0</v>
      </c>
      <c r="Q59" s="142">
        <f t="shared" si="13"/>
        <v>0</v>
      </c>
      <c r="R59" s="142" t="e">
        <f t="shared" si="12"/>
        <v>#DIV/0!</v>
      </c>
      <c r="S59" s="157"/>
      <c r="T59" s="40">
        <f t="shared" si="9"/>
        <v>0</v>
      </c>
    </row>
    <row r="60" spans="1:20" s="84" customFormat="1" ht="24.95" hidden="1" customHeight="1">
      <c r="A60" s="3" t="s">
        <v>182</v>
      </c>
      <c r="B60" s="3" t="s">
        <v>405</v>
      </c>
      <c r="C60" s="3"/>
      <c r="D60" s="26" t="s">
        <v>183</v>
      </c>
      <c r="E60" s="27">
        <v>0</v>
      </c>
      <c r="F60" s="27">
        <v>0</v>
      </c>
      <c r="G60" s="27">
        <v>0</v>
      </c>
      <c r="H60" s="27">
        <v>0</v>
      </c>
      <c r="I60" s="27">
        <v>0</v>
      </c>
      <c r="J60" s="27">
        <v>0</v>
      </c>
      <c r="K60" s="27">
        <v>0</v>
      </c>
      <c r="L60" s="27">
        <v>0</v>
      </c>
      <c r="M60" s="27">
        <v>0</v>
      </c>
      <c r="N60" s="27">
        <v>0</v>
      </c>
      <c r="O60" s="27">
        <v>0</v>
      </c>
      <c r="P60" s="27">
        <v>0</v>
      </c>
      <c r="Q60" s="142">
        <f t="shared" si="13"/>
        <v>0</v>
      </c>
      <c r="R60" s="142" t="e">
        <f t="shared" si="12"/>
        <v>#DIV/0!</v>
      </c>
      <c r="S60" s="157"/>
      <c r="T60" s="40">
        <f t="shared" si="9"/>
        <v>0</v>
      </c>
    </row>
    <row r="61" spans="1:20" s="84" customFormat="1" ht="24.95" hidden="1" customHeight="1">
      <c r="A61" s="3" t="s">
        <v>184</v>
      </c>
      <c r="B61" s="3" t="s">
        <v>405</v>
      </c>
      <c r="C61" s="3"/>
      <c r="D61" s="26" t="s">
        <v>185</v>
      </c>
      <c r="E61" s="27">
        <v>0</v>
      </c>
      <c r="F61" s="27">
        <v>0</v>
      </c>
      <c r="G61" s="27">
        <v>0</v>
      </c>
      <c r="H61" s="27">
        <v>0</v>
      </c>
      <c r="I61" s="27">
        <v>0</v>
      </c>
      <c r="J61" s="27">
        <v>0</v>
      </c>
      <c r="K61" s="27">
        <v>0</v>
      </c>
      <c r="L61" s="27">
        <v>0</v>
      </c>
      <c r="M61" s="27">
        <v>0</v>
      </c>
      <c r="N61" s="27">
        <v>0</v>
      </c>
      <c r="O61" s="27">
        <v>0</v>
      </c>
      <c r="P61" s="27">
        <v>0</v>
      </c>
      <c r="Q61" s="142">
        <f t="shared" si="13"/>
        <v>0</v>
      </c>
      <c r="R61" s="142" t="e">
        <f t="shared" si="12"/>
        <v>#DIV/0!</v>
      </c>
      <c r="S61" s="157"/>
      <c r="T61" s="40">
        <f t="shared" si="9"/>
        <v>0</v>
      </c>
    </row>
    <row r="62" spans="1:20" s="84" customFormat="1" ht="24.95" customHeight="1">
      <c r="A62" s="3" t="s">
        <v>186</v>
      </c>
      <c r="B62" s="3" t="s">
        <v>405</v>
      </c>
      <c r="C62" s="3"/>
      <c r="D62" s="26" t="s">
        <v>187</v>
      </c>
      <c r="E62" s="27"/>
      <c r="F62" s="27"/>
      <c r="G62" s="27"/>
      <c r="H62" s="27"/>
      <c r="I62" s="27"/>
      <c r="J62" s="27"/>
      <c r="K62" s="27"/>
      <c r="L62" s="27"/>
      <c r="M62" s="27"/>
      <c r="N62" s="27"/>
      <c r="O62" s="27"/>
      <c r="P62" s="27"/>
      <c r="Q62" s="142">
        <f t="shared" si="13"/>
        <v>0</v>
      </c>
      <c r="R62" s="142" t="e">
        <f t="shared" si="12"/>
        <v>#DIV/0!</v>
      </c>
      <c r="S62" s="157"/>
      <c r="T62" s="40">
        <f t="shared" si="9"/>
        <v>0</v>
      </c>
    </row>
    <row r="63" spans="1:20" s="84" customFormat="1" ht="24.95" hidden="1" customHeight="1">
      <c r="A63" s="3" t="s">
        <v>188</v>
      </c>
      <c r="B63" s="3" t="s">
        <v>405</v>
      </c>
      <c r="C63" s="3"/>
      <c r="D63" s="26" t="s">
        <v>189</v>
      </c>
      <c r="E63" s="27"/>
      <c r="F63" s="27"/>
      <c r="G63" s="27"/>
      <c r="H63" s="27"/>
      <c r="I63" s="27"/>
      <c r="J63" s="27"/>
      <c r="K63" s="27"/>
      <c r="L63" s="27"/>
      <c r="M63" s="27"/>
      <c r="N63" s="27"/>
      <c r="O63" s="27"/>
      <c r="P63" s="27"/>
      <c r="Q63" s="142">
        <f t="shared" si="13"/>
        <v>0</v>
      </c>
      <c r="R63" s="142" t="e">
        <f t="shared" si="12"/>
        <v>#DIV/0!</v>
      </c>
      <c r="S63" s="157"/>
      <c r="T63" s="40">
        <f t="shared" si="9"/>
        <v>0</v>
      </c>
    </row>
    <row r="64" spans="1:20" s="84" customFormat="1" ht="24.95" customHeight="1">
      <c r="A64" s="3" t="s">
        <v>190</v>
      </c>
      <c r="B64" s="3" t="s">
        <v>405</v>
      </c>
      <c r="C64" s="3"/>
      <c r="D64" s="26" t="s">
        <v>191</v>
      </c>
      <c r="E64" s="63"/>
      <c r="F64" s="63"/>
      <c r="G64" s="63"/>
      <c r="H64" s="63"/>
      <c r="I64" s="63"/>
      <c r="J64" s="63"/>
      <c r="K64" s="63"/>
      <c r="L64" s="63"/>
      <c r="M64" s="63"/>
      <c r="N64" s="63"/>
      <c r="O64" s="63"/>
      <c r="P64" s="63"/>
      <c r="Q64" s="142">
        <f t="shared" si="13"/>
        <v>0</v>
      </c>
      <c r="R64" s="142" t="e">
        <f t="shared" si="12"/>
        <v>#DIV/0!</v>
      </c>
      <c r="S64" s="157"/>
      <c r="T64" s="40">
        <f t="shared" si="9"/>
        <v>0</v>
      </c>
    </row>
    <row r="65" spans="1:20" s="84" customFormat="1" ht="24.95" hidden="1" customHeight="1">
      <c r="A65" s="3" t="s">
        <v>192</v>
      </c>
      <c r="B65" s="3" t="s">
        <v>405</v>
      </c>
      <c r="C65" s="3"/>
      <c r="D65" s="26" t="s">
        <v>193</v>
      </c>
      <c r="E65" s="27"/>
      <c r="F65" s="27"/>
      <c r="G65" s="27"/>
      <c r="H65" s="27"/>
      <c r="I65" s="27"/>
      <c r="J65" s="27"/>
      <c r="K65" s="27"/>
      <c r="L65" s="27"/>
      <c r="M65" s="27"/>
      <c r="N65" s="27"/>
      <c r="O65" s="27"/>
      <c r="P65" s="27"/>
      <c r="Q65" s="142">
        <f t="shared" si="13"/>
        <v>0</v>
      </c>
      <c r="R65" s="142" t="e">
        <f t="shared" si="12"/>
        <v>#DIV/0!</v>
      </c>
      <c r="S65" s="157"/>
      <c r="T65" s="40">
        <f t="shared" si="9"/>
        <v>0</v>
      </c>
    </row>
    <row r="66" spans="1:20" s="84" customFormat="1" ht="24.95" hidden="1" customHeight="1">
      <c r="A66" s="3" t="s">
        <v>194</v>
      </c>
      <c r="B66" s="3" t="s">
        <v>405</v>
      </c>
      <c r="C66" s="3"/>
      <c r="D66" s="26" t="s">
        <v>195</v>
      </c>
      <c r="E66" s="27"/>
      <c r="F66" s="27"/>
      <c r="G66" s="27"/>
      <c r="H66" s="27"/>
      <c r="I66" s="27"/>
      <c r="J66" s="27"/>
      <c r="K66" s="27"/>
      <c r="L66" s="27"/>
      <c r="M66" s="27"/>
      <c r="N66" s="27"/>
      <c r="O66" s="27"/>
      <c r="P66" s="27"/>
      <c r="Q66" s="142">
        <f t="shared" si="13"/>
        <v>0</v>
      </c>
      <c r="R66" s="142" t="e">
        <f t="shared" si="12"/>
        <v>#DIV/0!</v>
      </c>
      <c r="S66" s="157"/>
      <c r="T66" s="40">
        <f t="shared" si="9"/>
        <v>0</v>
      </c>
    </row>
    <row r="67" spans="1:20" s="84" customFormat="1" ht="24.95" hidden="1" customHeight="1">
      <c r="A67" s="3" t="s">
        <v>196</v>
      </c>
      <c r="B67" s="3" t="s">
        <v>405</v>
      </c>
      <c r="C67" s="3"/>
      <c r="D67" s="26" t="s">
        <v>197</v>
      </c>
      <c r="E67" s="27"/>
      <c r="F67" s="27"/>
      <c r="G67" s="27"/>
      <c r="H67" s="27"/>
      <c r="I67" s="27"/>
      <c r="J67" s="27"/>
      <c r="K67" s="27"/>
      <c r="L67" s="27"/>
      <c r="M67" s="27"/>
      <c r="N67" s="27"/>
      <c r="O67" s="27"/>
      <c r="P67" s="27"/>
      <c r="Q67" s="142">
        <f t="shared" si="13"/>
        <v>0</v>
      </c>
      <c r="R67" s="142" t="e">
        <f t="shared" si="12"/>
        <v>#DIV/0!</v>
      </c>
      <c r="S67" s="157"/>
      <c r="T67" s="40">
        <f t="shared" si="9"/>
        <v>0</v>
      </c>
    </row>
    <row r="68" spans="1:20" s="84" customFormat="1" ht="24.95" hidden="1" customHeight="1">
      <c r="A68" s="3" t="s">
        <v>198</v>
      </c>
      <c r="B68" s="3" t="s">
        <v>405</v>
      </c>
      <c r="C68" s="3"/>
      <c r="D68" s="26" t="s">
        <v>199</v>
      </c>
      <c r="E68" s="27"/>
      <c r="F68" s="27"/>
      <c r="G68" s="27"/>
      <c r="H68" s="27"/>
      <c r="I68" s="27"/>
      <c r="J68" s="27"/>
      <c r="K68" s="27"/>
      <c r="L68" s="27"/>
      <c r="M68" s="27"/>
      <c r="N68" s="27"/>
      <c r="O68" s="27"/>
      <c r="P68" s="27"/>
      <c r="Q68" s="142">
        <f t="shared" si="13"/>
        <v>0</v>
      </c>
      <c r="R68" s="142" t="e">
        <f t="shared" si="12"/>
        <v>#DIV/0!</v>
      </c>
      <c r="S68" s="157"/>
      <c r="T68" s="40">
        <f t="shared" si="9"/>
        <v>0</v>
      </c>
    </row>
    <row r="69" spans="1:20" s="84" customFormat="1" ht="24.95" hidden="1" customHeight="1">
      <c r="A69" s="3" t="s">
        <v>200</v>
      </c>
      <c r="B69" s="3" t="s">
        <v>405</v>
      </c>
      <c r="C69" s="3"/>
      <c r="D69" s="26" t="s">
        <v>201</v>
      </c>
      <c r="E69" s="27"/>
      <c r="F69" s="27"/>
      <c r="G69" s="27"/>
      <c r="H69" s="27"/>
      <c r="I69" s="27"/>
      <c r="J69" s="27"/>
      <c r="K69" s="27"/>
      <c r="L69" s="27"/>
      <c r="M69" s="27"/>
      <c r="N69" s="27"/>
      <c r="O69" s="27"/>
      <c r="P69" s="27"/>
      <c r="Q69" s="142">
        <f t="shared" si="13"/>
        <v>0</v>
      </c>
      <c r="R69" s="142" t="e">
        <f t="shared" si="12"/>
        <v>#DIV/0!</v>
      </c>
      <c r="S69" s="157"/>
      <c r="T69" s="40">
        <f t="shared" si="9"/>
        <v>0</v>
      </c>
    </row>
    <row r="70" spans="1:20" s="84" customFormat="1" ht="24.95" customHeight="1">
      <c r="A70" s="3" t="s">
        <v>202</v>
      </c>
      <c r="B70" s="3" t="s">
        <v>405</v>
      </c>
      <c r="C70" s="3"/>
      <c r="D70" s="26" t="s">
        <v>203</v>
      </c>
      <c r="E70" s="27"/>
      <c r="F70" s="27"/>
      <c r="G70" s="27"/>
      <c r="H70" s="27"/>
      <c r="I70" s="27"/>
      <c r="J70" s="27"/>
      <c r="K70" s="27"/>
      <c r="L70" s="27"/>
      <c r="M70" s="27"/>
      <c r="N70" s="27"/>
      <c r="O70" s="27"/>
      <c r="P70" s="27"/>
      <c r="Q70" s="142">
        <f t="shared" si="13"/>
        <v>0</v>
      </c>
      <c r="R70" s="142" t="e">
        <f t="shared" si="12"/>
        <v>#DIV/0!</v>
      </c>
      <c r="S70" s="157"/>
      <c r="T70" s="40">
        <f t="shared" si="9"/>
        <v>0</v>
      </c>
    </row>
    <row r="71" spans="1:20" s="84" customFormat="1" ht="24.95" hidden="1" customHeight="1">
      <c r="A71" s="3" t="s">
        <v>204</v>
      </c>
      <c r="B71" s="3" t="s">
        <v>405</v>
      </c>
      <c r="C71" s="3"/>
      <c r="D71" s="26" t="s">
        <v>205</v>
      </c>
      <c r="E71" s="27"/>
      <c r="F71" s="27"/>
      <c r="G71" s="27"/>
      <c r="H71" s="27"/>
      <c r="I71" s="27"/>
      <c r="J71" s="27"/>
      <c r="K71" s="27"/>
      <c r="L71" s="27"/>
      <c r="M71" s="27"/>
      <c r="N71" s="27"/>
      <c r="O71" s="27"/>
      <c r="P71" s="27"/>
      <c r="Q71" s="142">
        <f t="shared" si="13"/>
        <v>0</v>
      </c>
      <c r="R71" s="142" t="e">
        <f t="shared" ref="R71:R102" si="14">Q71/$Q$117</f>
        <v>#DIV/0!</v>
      </c>
      <c r="S71" s="157"/>
      <c r="T71" s="40">
        <f t="shared" si="9"/>
        <v>0</v>
      </c>
    </row>
    <row r="72" spans="1:20" s="84" customFormat="1" ht="24.95" hidden="1" customHeight="1">
      <c r="A72" s="3" t="s">
        <v>206</v>
      </c>
      <c r="B72" s="3" t="s">
        <v>405</v>
      </c>
      <c r="C72" s="3"/>
      <c r="D72" s="26" t="s">
        <v>207</v>
      </c>
      <c r="E72" s="27"/>
      <c r="F72" s="27"/>
      <c r="G72" s="27"/>
      <c r="H72" s="27"/>
      <c r="I72" s="27"/>
      <c r="J72" s="27"/>
      <c r="K72" s="27"/>
      <c r="L72" s="27"/>
      <c r="M72" s="27"/>
      <c r="N72" s="27"/>
      <c r="O72" s="27"/>
      <c r="P72" s="27"/>
      <c r="Q72" s="142">
        <f t="shared" si="13"/>
        <v>0</v>
      </c>
      <c r="R72" s="142" t="e">
        <f t="shared" si="14"/>
        <v>#DIV/0!</v>
      </c>
      <c r="S72" s="157"/>
      <c r="T72" s="40">
        <f t="shared" si="9"/>
        <v>0</v>
      </c>
    </row>
    <row r="73" spans="1:20" s="84" customFormat="1" ht="24.95" hidden="1" customHeight="1">
      <c r="A73" s="3" t="s">
        <v>208</v>
      </c>
      <c r="B73" s="3" t="s">
        <v>405</v>
      </c>
      <c r="C73" s="3"/>
      <c r="D73" s="26" t="s">
        <v>209</v>
      </c>
      <c r="E73" s="27"/>
      <c r="F73" s="27"/>
      <c r="G73" s="27"/>
      <c r="H73" s="27"/>
      <c r="I73" s="27"/>
      <c r="J73" s="27"/>
      <c r="K73" s="27"/>
      <c r="L73" s="27"/>
      <c r="M73" s="27"/>
      <c r="N73" s="27"/>
      <c r="O73" s="27"/>
      <c r="P73" s="27"/>
      <c r="Q73" s="142">
        <f t="shared" si="13"/>
        <v>0</v>
      </c>
      <c r="R73" s="142" t="e">
        <f t="shared" si="14"/>
        <v>#DIV/0!</v>
      </c>
      <c r="S73" s="157"/>
      <c r="T73" s="40">
        <f t="shared" si="9"/>
        <v>0</v>
      </c>
    </row>
    <row r="74" spans="1:20" s="84" customFormat="1" ht="24.95" customHeight="1">
      <c r="A74" s="3" t="s">
        <v>210</v>
      </c>
      <c r="B74" s="3" t="s">
        <v>405</v>
      </c>
      <c r="C74" s="3"/>
      <c r="D74" s="26" t="s">
        <v>211</v>
      </c>
      <c r="E74" s="63"/>
      <c r="F74" s="63"/>
      <c r="G74" s="63"/>
      <c r="H74" s="63"/>
      <c r="I74" s="63"/>
      <c r="J74" s="63"/>
      <c r="K74" s="63"/>
      <c r="L74" s="63"/>
      <c r="M74" s="63"/>
      <c r="N74" s="63"/>
      <c r="O74" s="63"/>
      <c r="P74" s="63"/>
      <c r="Q74" s="142">
        <f t="shared" si="13"/>
        <v>0</v>
      </c>
      <c r="R74" s="142" t="e">
        <f t="shared" si="14"/>
        <v>#DIV/0!</v>
      </c>
      <c r="S74" s="157"/>
      <c r="T74" s="40">
        <f t="shared" si="9"/>
        <v>0</v>
      </c>
    </row>
    <row r="75" spans="1:20" s="84" customFormat="1" ht="24.95" hidden="1" customHeight="1">
      <c r="A75" s="3" t="s">
        <v>212</v>
      </c>
      <c r="B75" s="3" t="s">
        <v>405</v>
      </c>
      <c r="C75" s="3"/>
      <c r="D75" s="26" t="s">
        <v>213</v>
      </c>
      <c r="E75" s="27">
        <v>0</v>
      </c>
      <c r="F75" s="27">
        <v>0</v>
      </c>
      <c r="G75" s="27">
        <v>0</v>
      </c>
      <c r="H75" s="27">
        <v>0</v>
      </c>
      <c r="I75" s="27">
        <v>0</v>
      </c>
      <c r="J75" s="27">
        <v>0</v>
      </c>
      <c r="K75" s="27">
        <v>0</v>
      </c>
      <c r="L75" s="27">
        <v>0</v>
      </c>
      <c r="M75" s="27">
        <v>0</v>
      </c>
      <c r="N75" s="27">
        <v>0</v>
      </c>
      <c r="O75" s="27">
        <v>0</v>
      </c>
      <c r="P75" s="27">
        <v>0</v>
      </c>
      <c r="Q75" s="142">
        <f t="shared" si="13"/>
        <v>0</v>
      </c>
      <c r="R75" s="142" t="e">
        <f t="shared" si="14"/>
        <v>#DIV/0!</v>
      </c>
      <c r="S75" s="157"/>
      <c r="T75" s="40">
        <f t="shared" si="9"/>
        <v>0</v>
      </c>
    </row>
    <row r="76" spans="1:20" s="84" customFormat="1" ht="24.95" hidden="1" customHeight="1">
      <c r="A76" s="3" t="s">
        <v>214</v>
      </c>
      <c r="B76" s="3" t="s">
        <v>405</v>
      </c>
      <c r="C76" s="3"/>
      <c r="D76" s="26" t="s">
        <v>215</v>
      </c>
      <c r="E76" s="27">
        <v>0</v>
      </c>
      <c r="F76" s="27">
        <v>0</v>
      </c>
      <c r="G76" s="27">
        <v>0</v>
      </c>
      <c r="H76" s="27">
        <v>0</v>
      </c>
      <c r="I76" s="27">
        <v>0</v>
      </c>
      <c r="J76" s="27">
        <v>0</v>
      </c>
      <c r="K76" s="27">
        <v>0</v>
      </c>
      <c r="L76" s="27">
        <v>0</v>
      </c>
      <c r="M76" s="27">
        <v>0</v>
      </c>
      <c r="N76" s="27">
        <v>0</v>
      </c>
      <c r="O76" s="27">
        <v>0</v>
      </c>
      <c r="P76" s="27">
        <v>0</v>
      </c>
      <c r="Q76" s="142">
        <f t="shared" si="13"/>
        <v>0</v>
      </c>
      <c r="R76" s="142" t="e">
        <f t="shared" si="14"/>
        <v>#DIV/0!</v>
      </c>
      <c r="S76" s="157"/>
      <c r="T76" s="40">
        <f t="shared" si="9"/>
        <v>0</v>
      </c>
    </row>
    <row r="77" spans="1:20" s="84" customFormat="1" ht="24.95" hidden="1" customHeight="1">
      <c r="A77" s="3" t="s">
        <v>216</v>
      </c>
      <c r="B77" s="3" t="s">
        <v>405</v>
      </c>
      <c r="C77" s="3"/>
      <c r="D77" s="26" t="s">
        <v>217</v>
      </c>
      <c r="E77" s="27">
        <v>0</v>
      </c>
      <c r="F77" s="27">
        <v>0</v>
      </c>
      <c r="G77" s="27">
        <v>0</v>
      </c>
      <c r="H77" s="27">
        <v>0</v>
      </c>
      <c r="I77" s="27">
        <v>0</v>
      </c>
      <c r="J77" s="27">
        <v>0</v>
      </c>
      <c r="K77" s="27">
        <v>0</v>
      </c>
      <c r="L77" s="27">
        <v>0</v>
      </c>
      <c r="M77" s="27">
        <v>0</v>
      </c>
      <c r="N77" s="27">
        <v>0</v>
      </c>
      <c r="O77" s="27">
        <v>0</v>
      </c>
      <c r="P77" s="27">
        <v>0</v>
      </c>
      <c r="Q77" s="142">
        <f t="shared" si="13"/>
        <v>0</v>
      </c>
      <c r="R77" s="142" t="e">
        <f t="shared" si="14"/>
        <v>#DIV/0!</v>
      </c>
      <c r="S77" s="157"/>
      <c r="T77" s="40">
        <f t="shared" si="9"/>
        <v>0</v>
      </c>
    </row>
    <row r="78" spans="1:20" s="84" customFormat="1" ht="24.95" hidden="1" customHeight="1">
      <c r="A78" s="3" t="s">
        <v>218</v>
      </c>
      <c r="B78" s="3" t="s">
        <v>405</v>
      </c>
      <c r="C78" s="3"/>
      <c r="D78" s="26" t="s">
        <v>219</v>
      </c>
      <c r="E78" s="27">
        <v>0</v>
      </c>
      <c r="F78" s="27">
        <v>0</v>
      </c>
      <c r="G78" s="27">
        <v>0</v>
      </c>
      <c r="H78" s="27">
        <v>0</v>
      </c>
      <c r="I78" s="27">
        <v>0</v>
      </c>
      <c r="J78" s="27">
        <v>0</v>
      </c>
      <c r="K78" s="27">
        <v>0</v>
      </c>
      <c r="L78" s="27">
        <v>0</v>
      </c>
      <c r="M78" s="27">
        <v>0</v>
      </c>
      <c r="N78" s="27">
        <v>0</v>
      </c>
      <c r="O78" s="27">
        <v>0</v>
      </c>
      <c r="P78" s="27">
        <v>0</v>
      </c>
      <c r="Q78" s="142">
        <f t="shared" si="13"/>
        <v>0</v>
      </c>
      <c r="R78" s="142" t="e">
        <f t="shared" si="14"/>
        <v>#DIV/0!</v>
      </c>
      <c r="S78" s="157"/>
      <c r="T78" s="40">
        <f t="shared" si="9"/>
        <v>0</v>
      </c>
    </row>
    <row r="79" spans="1:20" s="84" customFormat="1" ht="24.95" hidden="1" customHeight="1">
      <c r="A79" s="3" t="s">
        <v>220</v>
      </c>
      <c r="B79" s="3" t="s">
        <v>405</v>
      </c>
      <c r="C79" s="3"/>
      <c r="D79" s="26" t="s">
        <v>221</v>
      </c>
      <c r="E79" s="27">
        <v>0</v>
      </c>
      <c r="F79" s="27">
        <v>0</v>
      </c>
      <c r="G79" s="27">
        <v>0</v>
      </c>
      <c r="H79" s="27">
        <v>0</v>
      </c>
      <c r="I79" s="27">
        <v>0</v>
      </c>
      <c r="J79" s="27">
        <v>0</v>
      </c>
      <c r="K79" s="27">
        <v>0</v>
      </c>
      <c r="L79" s="27">
        <v>0</v>
      </c>
      <c r="M79" s="27">
        <v>0</v>
      </c>
      <c r="N79" s="27">
        <v>0</v>
      </c>
      <c r="O79" s="27">
        <v>0</v>
      </c>
      <c r="P79" s="27">
        <v>0</v>
      </c>
      <c r="Q79" s="142">
        <f t="shared" si="13"/>
        <v>0</v>
      </c>
      <c r="R79" s="142" t="e">
        <f t="shared" si="14"/>
        <v>#DIV/0!</v>
      </c>
      <c r="S79" s="157"/>
      <c r="T79" s="40">
        <f t="shared" si="9"/>
        <v>0</v>
      </c>
    </row>
    <row r="80" spans="1:20" s="84" customFormat="1" ht="24.95" hidden="1" customHeight="1">
      <c r="A80" s="3" t="s">
        <v>222</v>
      </c>
      <c r="B80" s="3" t="s">
        <v>405</v>
      </c>
      <c r="C80" s="3"/>
      <c r="D80" s="26" t="s">
        <v>223</v>
      </c>
      <c r="E80" s="27">
        <v>0</v>
      </c>
      <c r="F80" s="27">
        <v>0</v>
      </c>
      <c r="G80" s="27">
        <v>0</v>
      </c>
      <c r="H80" s="27">
        <v>0</v>
      </c>
      <c r="I80" s="27">
        <v>0</v>
      </c>
      <c r="J80" s="27">
        <v>0</v>
      </c>
      <c r="K80" s="27">
        <v>0</v>
      </c>
      <c r="L80" s="27">
        <v>0</v>
      </c>
      <c r="M80" s="27">
        <v>0</v>
      </c>
      <c r="N80" s="27">
        <v>0</v>
      </c>
      <c r="O80" s="27">
        <v>0</v>
      </c>
      <c r="P80" s="27">
        <v>0</v>
      </c>
      <c r="Q80" s="142">
        <f t="shared" si="13"/>
        <v>0</v>
      </c>
      <c r="R80" s="142" t="e">
        <f t="shared" si="14"/>
        <v>#DIV/0!</v>
      </c>
      <c r="S80" s="157"/>
      <c r="T80" s="40">
        <f t="shared" si="9"/>
        <v>0</v>
      </c>
    </row>
    <row r="81" spans="1:20" s="84" customFormat="1" ht="24.95" hidden="1" customHeight="1">
      <c r="A81" s="3" t="s">
        <v>224</v>
      </c>
      <c r="B81" s="3" t="s">
        <v>405</v>
      </c>
      <c r="C81" s="3"/>
      <c r="D81" s="26" t="s">
        <v>225</v>
      </c>
      <c r="E81" s="27">
        <v>0</v>
      </c>
      <c r="F81" s="27">
        <v>0</v>
      </c>
      <c r="G81" s="27">
        <v>0</v>
      </c>
      <c r="H81" s="27">
        <v>0</v>
      </c>
      <c r="I81" s="27">
        <v>0</v>
      </c>
      <c r="J81" s="27">
        <v>0</v>
      </c>
      <c r="K81" s="27">
        <v>0</v>
      </c>
      <c r="L81" s="27">
        <v>0</v>
      </c>
      <c r="M81" s="27">
        <v>0</v>
      </c>
      <c r="N81" s="27">
        <v>0</v>
      </c>
      <c r="O81" s="27">
        <v>0</v>
      </c>
      <c r="P81" s="27">
        <v>0</v>
      </c>
      <c r="Q81" s="142">
        <f t="shared" si="13"/>
        <v>0</v>
      </c>
      <c r="R81" s="142" t="e">
        <f t="shared" si="14"/>
        <v>#DIV/0!</v>
      </c>
      <c r="S81" s="157"/>
      <c r="T81" s="40">
        <f t="shared" si="9"/>
        <v>0</v>
      </c>
    </row>
    <row r="82" spans="1:20" s="84" customFormat="1" ht="24.95" hidden="1" customHeight="1">
      <c r="A82" s="3" t="s">
        <v>226</v>
      </c>
      <c r="B82" s="3" t="s">
        <v>405</v>
      </c>
      <c r="C82" s="3"/>
      <c r="D82" s="26" t="s">
        <v>227</v>
      </c>
      <c r="E82" s="27">
        <v>0</v>
      </c>
      <c r="F82" s="27">
        <v>0</v>
      </c>
      <c r="G82" s="27">
        <v>0</v>
      </c>
      <c r="H82" s="27">
        <v>0</v>
      </c>
      <c r="I82" s="27">
        <v>0</v>
      </c>
      <c r="J82" s="27">
        <v>0</v>
      </c>
      <c r="K82" s="27">
        <v>0</v>
      </c>
      <c r="L82" s="27">
        <v>0</v>
      </c>
      <c r="M82" s="27">
        <v>0</v>
      </c>
      <c r="N82" s="27">
        <v>0</v>
      </c>
      <c r="O82" s="27">
        <v>0</v>
      </c>
      <c r="P82" s="27">
        <v>0</v>
      </c>
      <c r="Q82" s="142">
        <f t="shared" si="13"/>
        <v>0</v>
      </c>
      <c r="R82" s="142" t="e">
        <f t="shared" si="14"/>
        <v>#DIV/0!</v>
      </c>
      <c r="S82" s="157"/>
      <c r="T82" s="40">
        <f t="shared" si="9"/>
        <v>0</v>
      </c>
    </row>
    <row r="83" spans="1:20" s="84" customFormat="1" ht="24.95" hidden="1" customHeight="1">
      <c r="A83" s="3" t="s">
        <v>228</v>
      </c>
      <c r="B83" s="3" t="s">
        <v>405</v>
      </c>
      <c r="C83" s="3"/>
      <c r="D83" s="26" t="s">
        <v>229</v>
      </c>
      <c r="E83" s="27">
        <v>0</v>
      </c>
      <c r="F83" s="27">
        <v>0</v>
      </c>
      <c r="G83" s="27">
        <v>0</v>
      </c>
      <c r="H83" s="27">
        <v>0</v>
      </c>
      <c r="I83" s="27">
        <v>0</v>
      </c>
      <c r="J83" s="27">
        <v>0</v>
      </c>
      <c r="K83" s="27">
        <v>0</v>
      </c>
      <c r="L83" s="27">
        <v>0</v>
      </c>
      <c r="M83" s="27">
        <v>0</v>
      </c>
      <c r="N83" s="27">
        <v>0</v>
      </c>
      <c r="O83" s="27">
        <v>0</v>
      </c>
      <c r="P83" s="27">
        <v>0</v>
      </c>
      <c r="Q83" s="142">
        <f t="shared" si="13"/>
        <v>0</v>
      </c>
      <c r="R83" s="142" t="e">
        <f t="shared" si="14"/>
        <v>#DIV/0!</v>
      </c>
      <c r="S83" s="157"/>
      <c r="T83" s="40">
        <f t="shared" si="9"/>
        <v>0</v>
      </c>
    </row>
    <row r="84" spans="1:20" s="84" customFormat="1" ht="24.95" hidden="1" customHeight="1">
      <c r="A84" s="3" t="s">
        <v>230</v>
      </c>
      <c r="B84" s="3" t="s">
        <v>405</v>
      </c>
      <c r="C84" s="3"/>
      <c r="D84" s="26" t="s">
        <v>231</v>
      </c>
      <c r="E84" s="27">
        <v>0</v>
      </c>
      <c r="F84" s="27">
        <v>0</v>
      </c>
      <c r="G84" s="27">
        <v>0</v>
      </c>
      <c r="H84" s="27">
        <v>0</v>
      </c>
      <c r="I84" s="27">
        <v>0</v>
      </c>
      <c r="J84" s="27">
        <v>0</v>
      </c>
      <c r="K84" s="27">
        <v>0</v>
      </c>
      <c r="L84" s="27">
        <v>0</v>
      </c>
      <c r="M84" s="27">
        <v>0</v>
      </c>
      <c r="N84" s="27">
        <v>0</v>
      </c>
      <c r="O84" s="27">
        <v>0</v>
      </c>
      <c r="P84" s="27">
        <v>0</v>
      </c>
      <c r="Q84" s="142">
        <f t="shared" si="13"/>
        <v>0</v>
      </c>
      <c r="R84" s="142" t="e">
        <f t="shared" si="14"/>
        <v>#DIV/0!</v>
      </c>
      <c r="S84" s="157"/>
      <c r="T84" s="40">
        <f t="shared" si="9"/>
        <v>0</v>
      </c>
    </row>
    <row r="85" spans="1:20" s="84" customFormat="1" ht="24.95" hidden="1" customHeight="1">
      <c r="A85" s="3" t="s">
        <v>232</v>
      </c>
      <c r="B85" s="3" t="s">
        <v>405</v>
      </c>
      <c r="C85" s="3"/>
      <c r="D85" s="26" t="s">
        <v>233</v>
      </c>
      <c r="E85" s="27">
        <v>0</v>
      </c>
      <c r="F85" s="27">
        <v>0</v>
      </c>
      <c r="G85" s="27">
        <v>0</v>
      </c>
      <c r="H85" s="27">
        <v>0</v>
      </c>
      <c r="I85" s="27">
        <v>0</v>
      </c>
      <c r="J85" s="27">
        <v>0</v>
      </c>
      <c r="K85" s="27">
        <v>0</v>
      </c>
      <c r="L85" s="27">
        <v>0</v>
      </c>
      <c r="M85" s="27">
        <v>0</v>
      </c>
      <c r="N85" s="27">
        <v>0</v>
      </c>
      <c r="O85" s="27">
        <v>0</v>
      </c>
      <c r="P85" s="27">
        <v>0</v>
      </c>
      <c r="Q85" s="142">
        <f t="shared" si="13"/>
        <v>0</v>
      </c>
      <c r="R85" s="142" t="e">
        <f t="shared" si="14"/>
        <v>#DIV/0!</v>
      </c>
      <c r="S85" s="157"/>
      <c r="T85" s="40">
        <f t="shared" si="9"/>
        <v>0</v>
      </c>
    </row>
    <row r="86" spans="1:20" s="84" customFormat="1" ht="24.95" hidden="1" customHeight="1">
      <c r="A86" s="3" t="s">
        <v>434</v>
      </c>
      <c r="B86" s="3" t="s">
        <v>405</v>
      </c>
      <c r="C86" s="3"/>
      <c r="D86" s="26" t="s">
        <v>435</v>
      </c>
      <c r="E86" s="27">
        <v>0</v>
      </c>
      <c r="F86" s="27">
        <v>0</v>
      </c>
      <c r="G86" s="27">
        <v>0</v>
      </c>
      <c r="H86" s="27">
        <v>0</v>
      </c>
      <c r="I86" s="27">
        <v>0</v>
      </c>
      <c r="J86" s="27">
        <v>0</v>
      </c>
      <c r="K86" s="27">
        <v>0</v>
      </c>
      <c r="L86" s="27">
        <v>0</v>
      </c>
      <c r="M86" s="27">
        <v>0</v>
      </c>
      <c r="N86" s="27">
        <v>0</v>
      </c>
      <c r="O86" s="27">
        <v>0</v>
      </c>
      <c r="P86" s="27">
        <v>0</v>
      </c>
      <c r="Q86" s="142">
        <f t="shared" si="13"/>
        <v>0</v>
      </c>
      <c r="R86" s="142" t="e">
        <f t="shared" si="14"/>
        <v>#DIV/0!</v>
      </c>
      <c r="S86" s="157"/>
      <c r="T86" s="40">
        <f t="shared" si="9"/>
        <v>0</v>
      </c>
    </row>
    <row r="87" spans="1:20" s="84" customFormat="1" ht="24.95" hidden="1" customHeight="1">
      <c r="A87" s="3" t="s">
        <v>234</v>
      </c>
      <c r="B87" s="3" t="s">
        <v>405</v>
      </c>
      <c r="C87" s="3"/>
      <c r="D87" s="26" t="s">
        <v>235</v>
      </c>
      <c r="E87" s="27">
        <v>0</v>
      </c>
      <c r="F87" s="27">
        <v>0</v>
      </c>
      <c r="G87" s="27">
        <v>0</v>
      </c>
      <c r="H87" s="27">
        <v>0</v>
      </c>
      <c r="I87" s="27">
        <v>0</v>
      </c>
      <c r="J87" s="27">
        <v>0</v>
      </c>
      <c r="K87" s="27">
        <v>0</v>
      </c>
      <c r="L87" s="27">
        <v>0</v>
      </c>
      <c r="M87" s="27">
        <v>0</v>
      </c>
      <c r="N87" s="27">
        <v>0</v>
      </c>
      <c r="O87" s="27">
        <v>0</v>
      </c>
      <c r="P87" s="27">
        <v>0</v>
      </c>
      <c r="Q87" s="142">
        <f t="shared" si="13"/>
        <v>0</v>
      </c>
      <c r="R87" s="142" t="e">
        <f t="shared" si="14"/>
        <v>#DIV/0!</v>
      </c>
      <c r="S87" s="157"/>
      <c r="T87" s="40">
        <f t="shared" si="9"/>
        <v>0</v>
      </c>
    </row>
    <row r="88" spans="1:20" s="84" customFormat="1" ht="24.95" hidden="1" customHeight="1">
      <c r="A88" s="3" t="s">
        <v>236</v>
      </c>
      <c r="B88" s="3" t="s">
        <v>405</v>
      </c>
      <c r="C88" s="3"/>
      <c r="D88" s="26" t="s">
        <v>237</v>
      </c>
      <c r="E88" s="27">
        <v>0</v>
      </c>
      <c r="F88" s="27">
        <v>0</v>
      </c>
      <c r="G88" s="27">
        <v>0</v>
      </c>
      <c r="H88" s="27">
        <v>0</v>
      </c>
      <c r="I88" s="27">
        <v>0</v>
      </c>
      <c r="J88" s="27">
        <v>0</v>
      </c>
      <c r="K88" s="27">
        <v>0</v>
      </c>
      <c r="L88" s="27">
        <v>0</v>
      </c>
      <c r="M88" s="27">
        <v>0</v>
      </c>
      <c r="N88" s="27">
        <v>0</v>
      </c>
      <c r="O88" s="27">
        <v>0</v>
      </c>
      <c r="P88" s="27">
        <v>0</v>
      </c>
      <c r="Q88" s="142">
        <f t="shared" si="13"/>
        <v>0</v>
      </c>
      <c r="R88" s="142" t="e">
        <f t="shared" si="14"/>
        <v>#DIV/0!</v>
      </c>
      <c r="S88" s="157"/>
      <c r="T88" s="40">
        <f t="shared" si="9"/>
        <v>0</v>
      </c>
    </row>
    <row r="89" spans="1:20" s="84" customFormat="1" ht="24.95" hidden="1" customHeight="1">
      <c r="A89" s="3" t="s">
        <v>238</v>
      </c>
      <c r="B89" s="3" t="s">
        <v>405</v>
      </c>
      <c r="C89" s="3"/>
      <c r="D89" s="26" t="s">
        <v>239</v>
      </c>
      <c r="E89" s="27">
        <v>0</v>
      </c>
      <c r="F89" s="27">
        <v>0</v>
      </c>
      <c r="G89" s="27">
        <v>0</v>
      </c>
      <c r="H89" s="27">
        <v>0</v>
      </c>
      <c r="I89" s="27">
        <v>0</v>
      </c>
      <c r="J89" s="27">
        <v>0</v>
      </c>
      <c r="K89" s="27">
        <v>0</v>
      </c>
      <c r="L89" s="27">
        <v>0</v>
      </c>
      <c r="M89" s="27">
        <v>0</v>
      </c>
      <c r="N89" s="27">
        <v>0</v>
      </c>
      <c r="O89" s="27">
        <v>0</v>
      </c>
      <c r="P89" s="27">
        <v>0</v>
      </c>
      <c r="Q89" s="142">
        <f t="shared" si="13"/>
        <v>0</v>
      </c>
      <c r="R89" s="142" t="e">
        <f t="shared" si="14"/>
        <v>#DIV/0!</v>
      </c>
      <c r="S89" s="157"/>
      <c r="T89" s="40">
        <f t="shared" si="9"/>
        <v>0</v>
      </c>
    </row>
    <row r="90" spans="1:20" s="84" customFormat="1" ht="24.95" hidden="1" customHeight="1">
      <c r="A90" s="3" t="s">
        <v>240</v>
      </c>
      <c r="B90" s="3" t="s">
        <v>405</v>
      </c>
      <c r="C90" s="3"/>
      <c r="D90" s="26" t="s">
        <v>241</v>
      </c>
      <c r="E90" s="27">
        <v>0</v>
      </c>
      <c r="F90" s="27">
        <v>0</v>
      </c>
      <c r="G90" s="27">
        <v>0</v>
      </c>
      <c r="H90" s="27">
        <v>0</v>
      </c>
      <c r="I90" s="27">
        <v>0</v>
      </c>
      <c r="J90" s="27">
        <v>0</v>
      </c>
      <c r="K90" s="27">
        <v>0</v>
      </c>
      <c r="L90" s="27">
        <v>0</v>
      </c>
      <c r="M90" s="27">
        <v>0</v>
      </c>
      <c r="N90" s="27">
        <v>0</v>
      </c>
      <c r="O90" s="27">
        <v>0</v>
      </c>
      <c r="P90" s="27">
        <v>0</v>
      </c>
      <c r="Q90" s="142">
        <f t="shared" si="13"/>
        <v>0</v>
      </c>
      <c r="R90" s="142" t="e">
        <f t="shared" si="14"/>
        <v>#DIV/0!</v>
      </c>
      <c r="S90" s="157"/>
      <c r="T90" s="40">
        <f t="shared" si="9"/>
        <v>0</v>
      </c>
    </row>
    <row r="91" spans="1:20" s="84" customFormat="1" ht="24.95" hidden="1" customHeight="1">
      <c r="A91" s="3" t="s">
        <v>242</v>
      </c>
      <c r="B91" s="3" t="s">
        <v>405</v>
      </c>
      <c r="C91" s="3"/>
      <c r="D91" s="26" t="s">
        <v>243</v>
      </c>
      <c r="E91" s="27">
        <v>0</v>
      </c>
      <c r="F91" s="27">
        <v>0</v>
      </c>
      <c r="G91" s="27">
        <v>0</v>
      </c>
      <c r="H91" s="27">
        <v>0</v>
      </c>
      <c r="I91" s="27">
        <v>0</v>
      </c>
      <c r="J91" s="27">
        <v>0</v>
      </c>
      <c r="K91" s="27">
        <v>0</v>
      </c>
      <c r="L91" s="27">
        <v>0</v>
      </c>
      <c r="M91" s="27">
        <v>0</v>
      </c>
      <c r="N91" s="27">
        <v>0</v>
      </c>
      <c r="O91" s="27">
        <v>0</v>
      </c>
      <c r="P91" s="27">
        <v>0</v>
      </c>
      <c r="Q91" s="142">
        <f t="shared" si="13"/>
        <v>0</v>
      </c>
      <c r="R91" s="142" t="e">
        <f t="shared" si="14"/>
        <v>#DIV/0!</v>
      </c>
      <c r="S91" s="157"/>
      <c r="T91" s="40">
        <f t="shared" si="9"/>
        <v>0</v>
      </c>
    </row>
    <row r="92" spans="1:20" s="84" customFormat="1" ht="24.95" hidden="1" customHeight="1">
      <c r="A92" s="3" t="s">
        <v>244</v>
      </c>
      <c r="B92" s="3" t="s">
        <v>405</v>
      </c>
      <c r="C92" s="3"/>
      <c r="D92" s="26" t="s">
        <v>245</v>
      </c>
      <c r="E92" s="27">
        <v>0</v>
      </c>
      <c r="F92" s="27">
        <v>0</v>
      </c>
      <c r="G92" s="27">
        <v>0</v>
      </c>
      <c r="H92" s="27">
        <v>0</v>
      </c>
      <c r="I92" s="27">
        <v>0</v>
      </c>
      <c r="J92" s="27">
        <v>0</v>
      </c>
      <c r="K92" s="27">
        <v>0</v>
      </c>
      <c r="L92" s="27">
        <v>0</v>
      </c>
      <c r="M92" s="27">
        <v>0</v>
      </c>
      <c r="N92" s="27">
        <v>0</v>
      </c>
      <c r="O92" s="27">
        <v>0</v>
      </c>
      <c r="P92" s="27">
        <v>0</v>
      </c>
      <c r="Q92" s="142">
        <f t="shared" si="13"/>
        <v>0</v>
      </c>
      <c r="R92" s="142" t="e">
        <f t="shared" si="14"/>
        <v>#DIV/0!</v>
      </c>
      <c r="S92" s="157"/>
      <c r="T92" s="40">
        <f t="shared" si="9"/>
        <v>0</v>
      </c>
    </row>
    <row r="93" spans="1:20" s="84" customFormat="1" ht="24.95" hidden="1" customHeight="1">
      <c r="A93" s="3" t="s">
        <v>246</v>
      </c>
      <c r="B93" s="3" t="s">
        <v>405</v>
      </c>
      <c r="C93" s="3"/>
      <c r="D93" s="26" t="s">
        <v>247</v>
      </c>
      <c r="E93" s="27">
        <v>0</v>
      </c>
      <c r="F93" s="27">
        <v>0</v>
      </c>
      <c r="G93" s="27">
        <v>0</v>
      </c>
      <c r="H93" s="27">
        <v>0</v>
      </c>
      <c r="I93" s="27">
        <v>0</v>
      </c>
      <c r="J93" s="27">
        <v>0</v>
      </c>
      <c r="K93" s="27">
        <v>0</v>
      </c>
      <c r="L93" s="27">
        <v>0</v>
      </c>
      <c r="M93" s="27">
        <v>0</v>
      </c>
      <c r="N93" s="27">
        <v>0</v>
      </c>
      <c r="O93" s="27">
        <v>0</v>
      </c>
      <c r="P93" s="27">
        <v>0</v>
      </c>
      <c r="Q93" s="142">
        <f t="shared" si="13"/>
        <v>0</v>
      </c>
      <c r="R93" s="142" t="e">
        <f t="shared" si="14"/>
        <v>#DIV/0!</v>
      </c>
      <c r="S93" s="157"/>
      <c r="T93" s="40">
        <f t="shared" si="9"/>
        <v>0</v>
      </c>
    </row>
    <row r="94" spans="1:20" s="84" customFormat="1" ht="24.95" hidden="1" customHeight="1">
      <c r="A94" s="3" t="s">
        <v>248</v>
      </c>
      <c r="B94" s="3" t="s">
        <v>405</v>
      </c>
      <c r="C94" s="3"/>
      <c r="D94" s="26" t="s">
        <v>249</v>
      </c>
      <c r="E94" s="27">
        <v>0</v>
      </c>
      <c r="F94" s="27">
        <v>0</v>
      </c>
      <c r="G94" s="27">
        <v>0</v>
      </c>
      <c r="H94" s="27">
        <v>0</v>
      </c>
      <c r="I94" s="27">
        <v>0</v>
      </c>
      <c r="J94" s="27">
        <v>0</v>
      </c>
      <c r="K94" s="27">
        <v>0</v>
      </c>
      <c r="L94" s="27">
        <v>0</v>
      </c>
      <c r="M94" s="27">
        <v>0</v>
      </c>
      <c r="N94" s="27">
        <v>0</v>
      </c>
      <c r="O94" s="27">
        <v>0</v>
      </c>
      <c r="P94" s="27">
        <v>0</v>
      </c>
      <c r="Q94" s="142">
        <f t="shared" si="13"/>
        <v>0</v>
      </c>
      <c r="R94" s="142" t="e">
        <f t="shared" si="14"/>
        <v>#DIV/0!</v>
      </c>
      <c r="S94" s="157"/>
      <c r="T94" s="40">
        <f t="shared" si="9"/>
        <v>0</v>
      </c>
    </row>
    <row r="95" spans="1:20" s="84" customFormat="1" ht="24.95" hidden="1" customHeight="1">
      <c r="A95" s="3" t="s">
        <v>250</v>
      </c>
      <c r="B95" s="3" t="s">
        <v>405</v>
      </c>
      <c r="C95" s="3"/>
      <c r="D95" s="26" t="s">
        <v>251</v>
      </c>
      <c r="E95" s="27">
        <v>0</v>
      </c>
      <c r="F95" s="27">
        <v>0</v>
      </c>
      <c r="G95" s="27">
        <v>0</v>
      </c>
      <c r="H95" s="27">
        <v>0</v>
      </c>
      <c r="I95" s="27">
        <v>0</v>
      </c>
      <c r="J95" s="27">
        <v>0</v>
      </c>
      <c r="K95" s="27">
        <v>0</v>
      </c>
      <c r="L95" s="27">
        <v>0</v>
      </c>
      <c r="M95" s="27">
        <v>0</v>
      </c>
      <c r="N95" s="27">
        <v>0</v>
      </c>
      <c r="O95" s="27">
        <v>0</v>
      </c>
      <c r="P95" s="27">
        <v>0</v>
      </c>
      <c r="Q95" s="142">
        <f t="shared" si="13"/>
        <v>0</v>
      </c>
      <c r="R95" s="142" t="e">
        <f t="shared" si="14"/>
        <v>#DIV/0!</v>
      </c>
      <c r="S95" s="157"/>
      <c r="T95" s="40">
        <f t="shared" si="9"/>
        <v>0</v>
      </c>
    </row>
    <row r="96" spans="1:20" s="84" customFormat="1" ht="24.95" hidden="1" customHeight="1">
      <c r="A96" s="3" t="s">
        <v>252</v>
      </c>
      <c r="B96" s="3" t="s">
        <v>405</v>
      </c>
      <c r="C96" s="3"/>
      <c r="D96" s="26" t="s">
        <v>253</v>
      </c>
      <c r="E96" s="27">
        <v>0</v>
      </c>
      <c r="F96" s="27">
        <v>0</v>
      </c>
      <c r="G96" s="27">
        <v>0</v>
      </c>
      <c r="H96" s="27">
        <v>0</v>
      </c>
      <c r="I96" s="27">
        <v>0</v>
      </c>
      <c r="J96" s="27">
        <v>0</v>
      </c>
      <c r="K96" s="27">
        <v>0</v>
      </c>
      <c r="L96" s="27">
        <v>0</v>
      </c>
      <c r="M96" s="27">
        <v>0</v>
      </c>
      <c r="N96" s="27">
        <v>0</v>
      </c>
      <c r="O96" s="27">
        <v>0</v>
      </c>
      <c r="P96" s="27">
        <v>0</v>
      </c>
      <c r="Q96" s="142">
        <f t="shared" si="13"/>
        <v>0</v>
      </c>
      <c r="R96" s="142" t="e">
        <f t="shared" si="14"/>
        <v>#DIV/0!</v>
      </c>
      <c r="S96" s="157"/>
      <c r="T96" s="40">
        <f t="shared" ref="T96:T108" si="15">-IF(Q96-S96=0,0,(Q96-S96)/S96)</f>
        <v>0</v>
      </c>
    </row>
    <row r="97" spans="1:20" s="84" customFormat="1" ht="24.95" hidden="1" customHeight="1">
      <c r="A97" s="3" t="s">
        <v>254</v>
      </c>
      <c r="B97" s="3" t="s">
        <v>405</v>
      </c>
      <c r="C97" s="3"/>
      <c r="D97" s="26" t="s">
        <v>255</v>
      </c>
      <c r="E97" s="27">
        <v>0</v>
      </c>
      <c r="F97" s="27">
        <v>0</v>
      </c>
      <c r="G97" s="27">
        <v>0</v>
      </c>
      <c r="H97" s="27">
        <v>0</v>
      </c>
      <c r="I97" s="27">
        <v>0</v>
      </c>
      <c r="J97" s="27">
        <v>0</v>
      </c>
      <c r="K97" s="27">
        <v>0</v>
      </c>
      <c r="L97" s="27">
        <v>0</v>
      </c>
      <c r="M97" s="27">
        <v>0</v>
      </c>
      <c r="N97" s="27">
        <v>0</v>
      </c>
      <c r="O97" s="27">
        <v>0</v>
      </c>
      <c r="P97" s="27">
        <v>0</v>
      </c>
      <c r="Q97" s="142">
        <f t="shared" si="13"/>
        <v>0</v>
      </c>
      <c r="R97" s="142" t="e">
        <f t="shared" si="14"/>
        <v>#DIV/0!</v>
      </c>
      <c r="S97" s="157"/>
      <c r="T97" s="40">
        <f t="shared" si="15"/>
        <v>0</v>
      </c>
    </row>
    <row r="98" spans="1:20" s="84" customFormat="1" ht="24.95" hidden="1" customHeight="1">
      <c r="A98" s="3" t="s">
        <v>256</v>
      </c>
      <c r="B98" s="3" t="s">
        <v>405</v>
      </c>
      <c r="C98" s="3"/>
      <c r="D98" s="26" t="s">
        <v>257</v>
      </c>
      <c r="E98" s="27">
        <v>0</v>
      </c>
      <c r="F98" s="27">
        <v>0</v>
      </c>
      <c r="G98" s="27">
        <v>0</v>
      </c>
      <c r="H98" s="27">
        <v>0</v>
      </c>
      <c r="I98" s="27">
        <v>0</v>
      </c>
      <c r="J98" s="27">
        <v>0</v>
      </c>
      <c r="K98" s="27">
        <v>0</v>
      </c>
      <c r="L98" s="27">
        <v>0</v>
      </c>
      <c r="M98" s="27">
        <v>0</v>
      </c>
      <c r="N98" s="27">
        <v>0</v>
      </c>
      <c r="O98" s="27">
        <v>0</v>
      </c>
      <c r="P98" s="27">
        <v>0</v>
      </c>
      <c r="Q98" s="142">
        <f t="shared" si="13"/>
        <v>0</v>
      </c>
      <c r="R98" s="142" t="e">
        <f t="shared" si="14"/>
        <v>#DIV/0!</v>
      </c>
      <c r="S98" s="157"/>
      <c r="T98" s="40">
        <f t="shared" si="15"/>
        <v>0</v>
      </c>
    </row>
    <row r="99" spans="1:20" s="84" customFormat="1" ht="24.95" hidden="1" customHeight="1">
      <c r="A99" s="3" t="s">
        <v>258</v>
      </c>
      <c r="B99" s="3" t="s">
        <v>405</v>
      </c>
      <c r="C99" s="3"/>
      <c r="D99" s="26" t="s">
        <v>259</v>
      </c>
      <c r="E99" s="27">
        <v>0</v>
      </c>
      <c r="F99" s="27">
        <v>0</v>
      </c>
      <c r="G99" s="27">
        <v>0</v>
      </c>
      <c r="H99" s="27">
        <v>0</v>
      </c>
      <c r="I99" s="27">
        <v>0</v>
      </c>
      <c r="J99" s="27">
        <v>0</v>
      </c>
      <c r="K99" s="27">
        <v>0</v>
      </c>
      <c r="L99" s="27">
        <v>0</v>
      </c>
      <c r="M99" s="27">
        <v>0</v>
      </c>
      <c r="N99" s="27">
        <v>0</v>
      </c>
      <c r="O99" s="27">
        <v>0</v>
      </c>
      <c r="P99" s="27">
        <v>0</v>
      </c>
      <c r="Q99" s="142">
        <f t="shared" si="13"/>
        <v>0</v>
      </c>
      <c r="R99" s="142" t="e">
        <f t="shared" si="14"/>
        <v>#DIV/0!</v>
      </c>
      <c r="S99" s="157"/>
      <c r="T99" s="40">
        <f t="shared" si="15"/>
        <v>0</v>
      </c>
    </row>
    <row r="100" spans="1:20" s="84" customFormat="1" ht="24.95" hidden="1" customHeight="1">
      <c r="A100" s="3" t="s">
        <v>260</v>
      </c>
      <c r="B100" s="3" t="s">
        <v>405</v>
      </c>
      <c r="C100" s="3"/>
      <c r="D100" s="26" t="s">
        <v>261</v>
      </c>
      <c r="E100" s="27">
        <v>0</v>
      </c>
      <c r="F100" s="27">
        <v>0</v>
      </c>
      <c r="G100" s="27">
        <v>0</v>
      </c>
      <c r="H100" s="27">
        <v>0</v>
      </c>
      <c r="I100" s="27">
        <v>0</v>
      </c>
      <c r="J100" s="27">
        <v>0</v>
      </c>
      <c r="K100" s="27">
        <v>0</v>
      </c>
      <c r="L100" s="27">
        <v>0</v>
      </c>
      <c r="M100" s="27">
        <v>0</v>
      </c>
      <c r="N100" s="27">
        <v>0</v>
      </c>
      <c r="O100" s="27">
        <v>0</v>
      </c>
      <c r="P100" s="27">
        <v>0</v>
      </c>
      <c r="Q100" s="142">
        <f t="shared" si="13"/>
        <v>0</v>
      </c>
      <c r="R100" s="142" t="e">
        <f t="shared" si="14"/>
        <v>#DIV/0!</v>
      </c>
      <c r="S100" s="157"/>
      <c r="T100" s="40">
        <f t="shared" si="15"/>
        <v>0</v>
      </c>
    </row>
    <row r="101" spans="1:20" s="84" customFormat="1" ht="24.95" hidden="1" customHeight="1">
      <c r="A101" s="3" t="s">
        <v>262</v>
      </c>
      <c r="B101" s="3" t="s">
        <v>405</v>
      </c>
      <c r="C101" s="3"/>
      <c r="D101" s="26" t="s">
        <v>263</v>
      </c>
      <c r="E101" s="27">
        <v>0</v>
      </c>
      <c r="F101" s="27">
        <v>0</v>
      </c>
      <c r="G101" s="27">
        <v>0</v>
      </c>
      <c r="H101" s="27">
        <v>0</v>
      </c>
      <c r="I101" s="27">
        <v>0</v>
      </c>
      <c r="J101" s="27">
        <v>0</v>
      </c>
      <c r="K101" s="27">
        <v>0</v>
      </c>
      <c r="L101" s="27">
        <v>0</v>
      </c>
      <c r="M101" s="27">
        <v>0</v>
      </c>
      <c r="N101" s="27">
        <v>0</v>
      </c>
      <c r="O101" s="27">
        <v>0</v>
      </c>
      <c r="P101" s="27">
        <v>0</v>
      </c>
      <c r="Q101" s="142">
        <f t="shared" si="13"/>
        <v>0</v>
      </c>
      <c r="R101" s="142" t="e">
        <f t="shared" si="14"/>
        <v>#DIV/0!</v>
      </c>
      <c r="S101" s="157"/>
      <c r="T101" s="40">
        <f t="shared" si="15"/>
        <v>0</v>
      </c>
    </row>
    <row r="102" spans="1:20" s="84" customFormat="1" ht="24.95" hidden="1" customHeight="1">
      <c r="A102" s="3" t="s">
        <v>264</v>
      </c>
      <c r="B102" s="3" t="s">
        <v>405</v>
      </c>
      <c r="C102" s="3"/>
      <c r="D102" s="26" t="s">
        <v>265</v>
      </c>
      <c r="E102" s="27">
        <v>0</v>
      </c>
      <c r="F102" s="27">
        <v>0</v>
      </c>
      <c r="G102" s="27">
        <v>0</v>
      </c>
      <c r="H102" s="27">
        <v>0</v>
      </c>
      <c r="I102" s="27">
        <v>0</v>
      </c>
      <c r="J102" s="27">
        <v>0</v>
      </c>
      <c r="K102" s="27">
        <v>0</v>
      </c>
      <c r="L102" s="27">
        <v>0</v>
      </c>
      <c r="M102" s="27">
        <v>0</v>
      </c>
      <c r="N102" s="27">
        <v>0</v>
      </c>
      <c r="O102" s="27">
        <v>0</v>
      </c>
      <c r="P102" s="27">
        <v>0</v>
      </c>
      <c r="Q102" s="142">
        <f t="shared" si="13"/>
        <v>0</v>
      </c>
      <c r="R102" s="142" t="e">
        <f t="shared" si="14"/>
        <v>#DIV/0!</v>
      </c>
      <c r="S102" s="157"/>
      <c r="T102" s="40">
        <f t="shared" si="15"/>
        <v>0</v>
      </c>
    </row>
    <row r="103" spans="1:20" s="84" customFormat="1" ht="24.95" hidden="1" customHeight="1">
      <c r="A103" s="3" t="s">
        <v>266</v>
      </c>
      <c r="B103" s="3" t="s">
        <v>405</v>
      </c>
      <c r="C103" s="3"/>
      <c r="D103" s="26" t="s">
        <v>267</v>
      </c>
      <c r="E103" s="27">
        <v>0</v>
      </c>
      <c r="F103" s="27">
        <v>0</v>
      </c>
      <c r="G103" s="27">
        <v>0</v>
      </c>
      <c r="H103" s="27">
        <v>0</v>
      </c>
      <c r="I103" s="27">
        <v>0</v>
      </c>
      <c r="J103" s="27">
        <v>0</v>
      </c>
      <c r="K103" s="27">
        <v>0</v>
      </c>
      <c r="L103" s="27">
        <v>0</v>
      </c>
      <c r="M103" s="27">
        <v>0</v>
      </c>
      <c r="N103" s="27">
        <v>0</v>
      </c>
      <c r="O103" s="27">
        <v>0</v>
      </c>
      <c r="P103" s="27">
        <v>0</v>
      </c>
      <c r="Q103" s="142">
        <f t="shared" si="13"/>
        <v>0</v>
      </c>
      <c r="R103" s="142" t="e">
        <f t="shared" ref="R103:R108" si="16">Q103/$Q$117</f>
        <v>#DIV/0!</v>
      </c>
      <c r="S103" s="157"/>
      <c r="T103" s="40">
        <f t="shared" si="15"/>
        <v>0</v>
      </c>
    </row>
    <row r="104" spans="1:20" s="84" customFormat="1" ht="24.95" hidden="1" customHeight="1">
      <c r="A104" s="3" t="s">
        <v>268</v>
      </c>
      <c r="B104" s="3" t="s">
        <v>405</v>
      </c>
      <c r="C104" s="3"/>
      <c r="D104" s="26" t="s">
        <v>269</v>
      </c>
      <c r="E104" s="27">
        <v>0</v>
      </c>
      <c r="F104" s="27">
        <v>0</v>
      </c>
      <c r="G104" s="27">
        <v>0</v>
      </c>
      <c r="H104" s="27">
        <v>0</v>
      </c>
      <c r="I104" s="27">
        <v>0</v>
      </c>
      <c r="J104" s="27">
        <v>0</v>
      </c>
      <c r="K104" s="27">
        <v>0</v>
      </c>
      <c r="L104" s="27">
        <v>0</v>
      </c>
      <c r="M104" s="27">
        <v>0</v>
      </c>
      <c r="N104" s="27">
        <v>0</v>
      </c>
      <c r="O104" s="27">
        <v>0</v>
      </c>
      <c r="P104" s="27">
        <v>0</v>
      </c>
      <c r="Q104" s="142">
        <f t="shared" ref="Q104:Q107" si="17">SUM(E104:P104)</f>
        <v>0</v>
      </c>
      <c r="R104" s="142" t="e">
        <f t="shared" si="16"/>
        <v>#DIV/0!</v>
      </c>
      <c r="S104" s="157"/>
      <c r="T104" s="40">
        <f t="shared" si="15"/>
        <v>0</v>
      </c>
    </row>
    <row r="105" spans="1:20" s="84" customFormat="1" ht="24.95" hidden="1" customHeight="1">
      <c r="A105" s="3" t="s">
        <v>270</v>
      </c>
      <c r="B105" s="3" t="s">
        <v>405</v>
      </c>
      <c r="C105" s="3"/>
      <c r="D105" s="26" t="s">
        <v>271</v>
      </c>
      <c r="E105" s="27">
        <v>0</v>
      </c>
      <c r="F105" s="27">
        <v>0</v>
      </c>
      <c r="G105" s="27">
        <v>0</v>
      </c>
      <c r="H105" s="27">
        <v>0</v>
      </c>
      <c r="I105" s="27">
        <v>0</v>
      </c>
      <c r="J105" s="27">
        <v>0</v>
      </c>
      <c r="K105" s="27">
        <v>0</v>
      </c>
      <c r="L105" s="27">
        <v>0</v>
      </c>
      <c r="M105" s="27">
        <v>0</v>
      </c>
      <c r="N105" s="27">
        <v>0</v>
      </c>
      <c r="O105" s="27">
        <v>0</v>
      </c>
      <c r="P105" s="27">
        <v>0</v>
      </c>
      <c r="Q105" s="142">
        <f t="shared" si="17"/>
        <v>0</v>
      </c>
      <c r="R105" s="142" t="e">
        <f t="shared" si="16"/>
        <v>#DIV/0!</v>
      </c>
      <c r="S105" s="157"/>
      <c r="T105" s="40">
        <f t="shared" si="15"/>
        <v>0</v>
      </c>
    </row>
    <row r="106" spans="1:20" s="84" customFormat="1" ht="24.95" hidden="1" customHeight="1">
      <c r="A106" s="3" t="s">
        <v>272</v>
      </c>
      <c r="B106" s="3" t="s">
        <v>405</v>
      </c>
      <c r="C106" s="3"/>
      <c r="D106" s="26" t="s">
        <v>273</v>
      </c>
      <c r="E106" s="27">
        <v>0</v>
      </c>
      <c r="F106" s="27">
        <v>0</v>
      </c>
      <c r="G106" s="27">
        <v>0</v>
      </c>
      <c r="H106" s="27">
        <v>0</v>
      </c>
      <c r="I106" s="27">
        <v>0</v>
      </c>
      <c r="J106" s="27">
        <v>0</v>
      </c>
      <c r="K106" s="27">
        <v>0</v>
      </c>
      <c r="L106" s="27">
        <v>0</v>
      </c>
      <c r="M106" s="27">
        <v>0</v>
      </c>
      <c r="N106" s="27">
        <v>0</v>
      </c>
      <c r="O106" s="27">
        <v>0</v>
      </c>
      <c r="P106" s="27">
        <v>0</v>
      </c>
      <c r="Q106" s="142">
        <f t="shared" si="17"/>
        <v>0</v>
      </c>
      <c r="R106" s="142" t="e">
        <f t="shared" si="16"/>
        <v>#DIV/0!</v>
      </c>
      <c r="S106" s="157"/>
      <c r="T106" s="40">
        <f t="shared" si="15"/>
        <v>0</v>
      </c>
    </row>
    <row r="107" spans="1:20" s="84" customFormat="1" ht="24.95" customHeight="1">
      <c r="A107" s="3" t="s">
        <v>468</v>
      </c>
      <c r="B107" s="3" t="s">
        <v>405</v>
      </c>
      <c r="C107" s="3"/>
      <c r="D107" s="26" t="s">
        <v>469</v>
      </c>
      <c r="E107" s="27"/>
      <c r="F107" s="27"/>
      <c r="G107" s="27"/>
      <c r="H107" s="27"/>
      <c r="I107" s="27"/>
      <c r="J107" s="27"/>
      <c r="K107" s="27"/>
      <c r="L107" s="27"/>
      <c r="M107" s="27"/>
      <c r="N107" s="27"/>
      <c r="O107" s="27"/>
      <c r="P107" s="27"/>
      <c r="Q107" s="142">
        <f t="shared" si="17"/>
        <v>0</v>
      </c>
      <c r="R107" s="142" t="e">
        <f t="shared" si="16"/>
        <v>#DIV/0!</v>
      </c>
      <c r="S107" s="157"/>
      <c r="T107" s="40">
        <f t="shared" si="15"/>
        <v>0</v>
      </c>
    </row>
    <row r="108" spans="1:20" s="84" customFormat="1" ht="24.95" customHeight="1">
      <c r="A108" s="3"/>
      <c r="B108" s="3"/>
      <c r="C108" s="3"/>
      <c r="D108" s="19" t="s">
        <v>274</v>
      </c>
      <c r="E108" s="160">
        <f>SUM(E39:E107)</f>
        <v>0</v>
      </c>
      <c r="F108" s="160">
        <f t="shared" ref="F108:Q108" si="18">SUM(F39:F107)</f>
        <v>0</v>
      </c>
      <c r="G108" s="160">
        <f t="shared" si="18"/>
        <v>0</v>
      </c>
      <c r="H108" s="160">
        <f t="shared" si="18"/>
        <v>0</v>
      </c>
      <c r="I108" s="160">
        <f t="shared" si="18"/>
        <v>0</v>
      </c>
      <c r="J108" s="160">
        <f t="shared" si="18"/>
        <v>0</v>
      </c>
      <c r="K108" s="160">
        <f t="shared" si="18"/>
        <v>0</v>
      </c>
      <c r="L108" s="160">
        <f t="shared" si="18"/>
        <v>0</v>
      </c>
      <c r="M108" s="160">
        <f t="shared" si="18"/>
        <v>0</v>
      </c>
      <c r="N108" s="160">
        <f t="shared" si="18"/>
        <v>0</v>
      </c>
      <c r="O108" s="160">
        <f t="shared" si="18"/>
        <v>0</v>
      </c>
      <c r="P108" s="160">
        <f t="shared" si="18"/>
        <v>0</v>
      </c>
      <c r="Q108" s="160">
        <f t="shared" si="18"/>
        <v>0</v>
      </c>
      <c r="R108" s="142" t="e">
        <f t="shared" si="16"/>
        <v>#DIV/0!</v>
      </c>
      <c r="S108" s="157"/>
      <c r="T108" s="40">
        <f t="shared" si="15"/>
        <v>0</v>
      </c>
    </row>
    <row r="109" spans="1:20" s="84" customFormat="1" ht="24.95" customHeight="1">
      <c r="A109" s="3"/>
      <c r="B109" s="3"/>
      <c r="C109" s="3"/>
      <c r="D109" s="19" t="s">
        <v>275</v>
      </c>
      <c r="E109" s="160">
        <f t="shared" ref="E109:Q109" si="19">E28-E34-E36-E108</f>
        <v>0</v>
      </c>
      <c r="F109" s="160">
        <f t="shared" si="19"/>
        <v>0</v>
      </c>
      <c r="G109" s="160">
        <f t="shared" si="19"/>
        <v>0</v>
      </c>
      <c r="H109" s="160">
        <f t="shared" si="19"/>
        <v>0</v>
      </c>
      <c r="I109" s="160">
        <f t="shared" si="19"/>
        <v>0</v>
      </c>
      <c r="J109" s="160">
        <f t="shared" si="19"/>
        <v>0</v>
      </c>
      <c r="K109" s="160">
        <f t="shared" si="19"/>
        <v>0</v>
      </c>
      <c r="L109" s="160">
        <f t="shared" si="19"/>
        <v>0</v>
      </c>
      <c r="M109" s="160">
        <f t="shared" si="19"/>
        <v>0</v>
      </c>
      <c r="N109" s="160">
        <f t="shared" si="19"/>
        <v>0</v>
      </c>
      <c r="O109" s="160">
        <f t="shared" si="19"/>
        <v>0</v>
      </c>
      <c r="P109" s="160">
        <f t="shared" si="19"/>
        <v>0</v>
      </c>
      <c r="Q109" s="160">
        <f t="shared" si="19"/>
        <v>0</v>
      </c>
      <c r="R109" s="160"/>
      <c r="S109" s="157"/>
      <c r="T109" s="40">
        <f t="shared" ref="T109:T125" si="20">IF(Q109-S109=0,0,(Q109-S109)/S109)</f>
        <v>0</v>
      </c>
    </row>
    <row r="110" spans="1:20" s="84" customFormat="1" ht="24.95" customHeight="1">
      <c r="A110" s="3"/>
      <c r="B110" s="3"/>
      <c r="C110" s="3"/>
      <c r="D110" s="19" t="s">
        <v>276</v>
      </c>
      <c r="E110" s="137">
        <f t="shared" ref="E110:Q110" si="21">IF(E109=0,0,E109/E28)</f>
        <v>0</v>
      </c>
      <c r="F110" s="137">
        <f t="shared" si="21"/>
        <v>0</v>
      </c>
      <c r="G110" s="137">
        <f t="shared" si="21"/>
        <v>0</v>
      </c>
      <c r="H110" s="137">
        <f t="shared" si="21"/>
        <v>0</v>
      </c>
      <c r="I110" s="137">
        <f t="shared" si="21"/>
        <v>0</v>
      </c>
      <c r="J110" s="137">
        <f t="shared" si="21"/>
        <v>0</v>
      </c>
      <c r="K110" s="137">
        <f t="shared" si="21"/>
        <v>0</v>
      </c>
      <c r="L110" s="137">
        <f t="shared" si="21"/>
        <v>0</v>
      </c>
      <c r="M110" s="137">
        <f t="shared" si="21"/>
        <v>0</v>
      </c>
      <c r="N110" s="137">
        <f t="shared" si="21"/>
        <v>0</v>
      </c>
      <c r="O110" s="137">
        <f t="shared" si="21"/>
        <v>0</v>
      </c>
      <c r="P110" s="137">
        <f t="shared" si="21"/>
        <v>0</v>
      </c>
      <c r="Q110" s="137">
        <f t="shared" si="21"/>
        <v>0</v>
      </c>
      <c r="R110" s="137"/>
      <c r="S110" s="40"/>
      <c r="T110" s="40">
        <f t="shared" si="20"/>
        <v>0</v>
      </c>
    </row>
    <row r="111" spans="1:20" s="84" customFormat="1" ht="24.95" customHeight="1">
      <c r="A111" s="3"/>
      <c r="B111" s="3"/>
      <c r="C111" s="3"/>
      <c r="D111" s="19" t="s">
        <v>436</v>
      </c>
      <c r="E111" s="3"/>
      <c r="F111" s="3"/>
      <c r="G111" s="3"/>
      <c r="H111" s="3"/>
      <c r="I111" s="3"/>
      <c r="J111" s="3"/>
      <c r="K111" s="3"/>
      <c r="L111" s="3"/>
      <c r="S111" s="157"/>
      <c r="T111" s="40">
        <f t="shared" si="20"/>
        <v>0</v>
      </c>
    </row>
    <row r="112" spans="1:20" s="84" customFormat="1" ht="24.95" customHeight="1">
      <c r="A112" s="50" t="s">
        <v>470</v>
      </c>
      <c r="B112" s="3" t="s">
        <v>405</v>
      </c>
      <c r="C112" s="3"/>
      <c r="D112" s="26" t="s">
        <v>453</v>
      </c>
      <c r="E112" s="81"/>
      <c r="F112" s="81"/>
      <c r="G112" s="81"/>
      <c r="H112" s="81"/>
      <c r="I112" s="81"/>
      <c r="J112" s="81"/>
      <c r="K112" s="81"/>
      <c r="L112" s="81"/>
      <c r="M112" s="81"/>
      <c r="N112" s="81"/>
      <c r="O112" s="81"/>
      <c r="P112" s="81"/>
      <c r="Q112" s="171">
        <f>SUM(E112:P112)</f>
        <v>0</v>
      </c>
      <c r="R112" s="171"/>
      <c r="S112" s="157"/>
      <c r="T112" s="40">
        <f t="shared" si="20"/>
        <v>0</v>
      </c>
    </row>
    <row r="113" spans="1:20" s="84" customFormat="1" ht="24.95" customHeight="1">
      <c r="A113" s="3" t="s">
        <v>471</v>
      </c>
      <c r="B113" s="3" t="s">
        <v>405</v>
      </c>
      <c r="C113" s="3"/>
      <c r="D113" s="26" t="s">
        <v>455</v>
      </c>
      <c r="E113" s="81"/>
      <c r="F113" s="81"/>
      <c r="G113" s="81"/>
      <c r="H113" s="81"/>
      <c r="I113" s="81"/>
      <c r="J113" s="81"/>
      <c r="K113" s="81"/>
      <c r="L113" s="81"/>
      <c r="M113" s="81"/>
      <c r="N113" s="81"/>
      <c r="O113" s="81"/>
      <c r="P113" s="81"/>
      <c r="Q113" s="171">
        <f t="shared" ref="Q113:Q116" si="22">SUM(E113:P113)</f>
        <v>0</v>
      </c>
      <c r="R113" s="171"/>
      <c r="S113" s="157"/>
      <c r="T113" s="40">
        <f t="shared" si="20"/>
        <v>0</v>
      </c>
    </row>
    <row r="114" spans="1:20" s="84" customFormat="1" ht="24.95" customHeight="1">
      <c r="A114" s="3" t="s">
        <v>472</v>
      </c>
      <c r="B114" s="3" t="s">
        <v>405</v>
      </c>
      <c r="C114" s="3"/>
      <c r="D114" s="26" t="s">
        <v>459</v>
      </c>
      <c r="E114" s="81"/>
      <c r="F114" s="81"/>
      <c r="G114" s="81"/>
      <c r="H114" s="81"/>
      <c r="I114" s="81"/>
      <c r="J114" s="81"/>
      <c r="K114" s="81"/>
      <c r="L114" s="81"/>
      <c r="M114" s="81"/>
      <c r="N114" s="81"/>
      <c r="O114" s="81"/>
      <c r="P114" s="81"/>
      <c r="Q114" s="171">
        <f t="shared" si="22"/>
        <v>0</v>
      </c>
      <c r="R114" s="171"/>
      <c r="S114" s="157"/>
      <c r="T114" s="40">
        <f>IF(S114&lt;&gt;0,(Q114-S114)/S114,1)</f>
        <v>1</v>
      </c>
    </row>
    <row r="115" spans="1:20" s="84" customFormat="1" ht="24.95" customHeight="1">
      <c r="A115" s="3" t="s">
        <v>473</v>
      </c>
      <c r="B115" s="3" t="s">
        <v>405</v>
      </c>
      <c r="C115" s="3"/>
      <c r="D115" s="26" t="s">
        <v>457</v>
      </c>
      <c r="E115" s="81"/>
      <c r="F115" s="81"/>
      <c r="G115" s="81"/>
      <c r="H115" s="81"/>
      <c r="I115" s="81"/>
      <c r="J115" s="81"/>
      <c r="K115" s="81"/>
      <c r="L115" s="81"/>
      <c r="M115" s="81"/>
      <c r="N115" s="81"/>
      <c r="O115" s="81"/>
      <c r="P115" s="81"/>
      <c r="Q115" s="171">
        <f t="shared" si="22"/>
        <v>0</v>
      </c>
      <c r="R115" s="171"/>
      <c r="S115" s="157"/>
      <c r="T115" s="40">
        <f>IF(S115&lt;&gt;0,(Q115-S115)/S115,1)</f>
        <v>1</v>
      </c>
    </row>
    <row r="116" spans="1:20" s="84" customFormat="1" ht="24.95" customHeight="1">
      <c r="A116" s="3" t="s">
        <v>474</v>
      </c>
      <c r="B116" s="3" t="s">
        <v>405</v>
      </c>
      <c r="C116" s="3"/>
      <c r="D116" s="26" t="s">
        <v>461</v>
      </c>
      <c r="E116" s="81"/>
      <c r="F116" s="81"/>
      <c r="G116" s="81"/>
      <c r="H116" s="81"/>
      <c r="I116" s="81"/>
      <c r="J116" s="81"/>
      <c r="K116" s="81"/>
      <c r="L116" s="81"/>
      <c r="M116" s="81"/>
      <c r="N116" s="81"/>
      <c r="O116" s="81"/>
      <c r="P116" s="81"/>
      <c r="Q116" s="171">
        <f t="shared" si="22"/>
        <v>0</v>
      </c>
      <c r="R116" s="171"/>
      <c r="S116" s="157"/>
      <c r="T116" s="40">
        <f t="shared" si="20"/>
        <v>0</v>
      </c>
    </row>
    <row r="117" spans="1:20" s="84" customFormat="1" ht="24.95" customHeight="1">
      <c r="A117" s="3"/>
      <c r="B117" s="3"/>
      <c r="C117" s="3"/>
      <c r="D117" s="19" t="s">
        <v>439</v>
      </c>
      <c r="E117" s="169">
        <f>SUM(E112:E116)</f>
        <v>0</v>
      </c>
      <c r="F117" s="169">
        <f t="shared" ref="F117:Q117" si="23">SUM(F112:F116)</f>
        <v>0</v>
      </c>
      <c r="G117" s="169">
        <f t="shared" si="23"/>
        <v>0</v>
      </c>
      <c r="H117" s="169">
        <f t="shared" si="23"/>
        <v>0</v>
      </c>
      <c r="I117" s="169">
        <f t="shared" si="23"/>
        <v>0</v>
      </c>
      <c r="J117" s="169">
        <f t="shared" si="23"/>
        <v>0</v>
      </c>
      <c r="K117" s="169">
        <f t="shared" si="23"/>
        <v>0</v>
      </c>
      <c r="L117" s="169">
        <f t="shared" si="23"/>
        <v>0</v>
      </c>
      <c r="M117" s="169">
        <f t="shared" si="23"/>
        <v>0</v>
      </c>
      <c r="N117" s="169">
        <f t="shared" si="23"/>
        <v>0</v>
      </c>
      <c r="O117" s="169">
        <f t="shared" si="23"/>
        <v>0</v>
      </c>
      <c r="P117" s="169">
        <f t="shared" si="23"/>
        <v>0</v>
      </c>
      <c r="Q117" s="169">
        <f t="shared" si="23"/>
        <v>0</v>
      </c>
      <c r="R117" s="169"/>
      <c r="S117" s="157"/>
      <c r="T117" s="40">
        <f t="shared" si="20"/>
        <v>0</v>
      </c>
    </row>
    <row r="118" spans="1:20" s="84" customFormat="1" ht="24.95" customHeight="1">
      <c r="A118" s="3"/>
      <c r="B118" s="3"/>
      <c r="C118" s="3"/>
      <c r="D118" s="3"/>
      <c r="E118" s="3"/>
      <c r="F118" s="3"/>
      <c r="G118" s="3"/>
      <c r="H118" s="3"/>
      <c r="I118" s="3"/>
      <c r="J118" s="3"/>
      <c r="K118" s="3"/>
      <c r="L118" s="3"/>
      <c r="S118" s="157"/>
      <c r="T118" s="40"/>
    </row>
    <row r="119" spans="1:20" s="84" customFormat="1" ht="24.95" customHeight="1">
      <c r="A119" s="3"/>
      <c r="B119" s="3"/>
      <c r="C119" s="3"/>
      <c r="D119" s="19" t="s">
        <v>440</v>
      </c>
      <c r="E119" s="3"/>
      <c r="F119" s="3"/>
      <c r="G119" s="3"/>
      <c r="H119" s="3"/>
      <c r="I119" s="3"/>
      <c r="J119" s="3"/>
      <c r="K119" s="3"/>
      <c r="L119" s="3"/>
      <c r="S119" s="157"/>
      <c r="T119" s="40"/>
    </row>
    <row r="120" spans="1:20" s="84" customFormat="1" ht="24.95" customHeight="1">
      <c r="A120" s="3"/>
      <c r="B120" s="3"/>
      <c r="C120" s="3"/>
      <c r="D120" s="26" t="s">
        <v>453</v>
      </c>
      <c r="E120" s="61">
        <f t="shared" ref="E120:Q120" si="24">IF(E112=0,0,ROUND(E12/E112,2))</f>
        <v>0</v>
      </c>
      <c r="F120" s="61">
        <f t="shared" si="24"/>
        <v>0</v>
      </c>
      <c r="G120" s="61">
        <f t="shared" si="24"/>
        <v>0</v>
      </c>
      <c r="H120" s="61">
        <f t="shared" si="24"/>
        <v>0</v>
      </c>
      <c r="I120" s="61">
        <f t="shared" si="24"/>
        <v>0</v>
      </c>
      <c r="J120" s="61">
        <f t="shared" si="24"/>
        <v>0</v>
      </c>
      <c r="K120" s="61">
        <f t="shared" si="24"/>
        <v>0</v>
      </c>
      <c r="L120" s="61">
        <f t="shared" si="24"/>
        <v>0</v>
      </c>
      <c r="M120" s="61">
        <f t="shared" si="24"/>
        <v>0</v>
      </c>
      <c r="N120" s="61">
        <f t="shared" si="24"/>
        <v>0</v>
      </c>
      <c r="O120" s="61">
        <f t="shared" si="24"/>
        <v>0</v>
      </c>
      <c r="P120" s="61">
        <f t="shared" si="24"/>
        <v>0</v>
      </c>
      <c r="Q120" s="61">
        <f t="shared" si="24"/>
        <v>0</v>
      </c>
      <c r="R120" s="172"/>
      <c r="S120" s="157"/>
      <c r="T120" s="40">
        <f t="shared" si="20"/>
        <v>0</v>
      </c>
    </row>
    <row r="121" spans="1:20" s="84" customFormat="1" ht="24.95" customHeight="1">
      <c r="A121" s="3"/>
      <c r="B121" s="3"/>
      <c r="C121" s="3"/>
      <c r="D121" s="26" t="s">
        <v>455</v>
      </c>
      <c r="E121" s="61">
        <f t="shared" ref="E121:Q121" si="25">IF(E113=0,0,ROUND(E13/E113,2))</f>
        <v>0</v>
      </c>
      <c r="F121" s="61">
        <f t="shared" si="25"/>
        <v>0</v>
      </c>
      <c r="G121" s="61">
        <f t="shared" si="25"/>
        <v>0</v>
      </c>
      <c r="H121" s="61">
        <f t="shared" si="25"/>
        <v>0</v>
      </c>
      <c r="I121" s="61">
        <f t="shared" si="25"/>
        <v>0</v>
      </c>
      <c r="J121" s="61">
        <f t="shared" si="25"/>
        <v>0</v>
      </c>
      <c r="K121" s="61">
        <f t="shared" si="25"/>
        <v>0</v>
      </c>
      <c r="L121" s="61">
        <f t="shared" si="25"/>
        <v>0</v>
      </c>
      <c r="M121" s="61">
        <f t="shared" si="25"/>
        <v>0</v>
      </c>
      <c r="N121" s="61">
        <f t="shared" si="25"/>
        <v>0</v>
      </c>
      <c r="O121" s="61">
        <f t="shared" si="25"/>
        <v>0</v>
      </c>
      <c r="P121" s="61">
        <f t="shared" si="25"/>
        <v>0</v>
      </c>
      <c r="Q121" s="61">
        <f t="shared" si="25"/>
        <v>0</v>
      </c>
      <c r="R121" s="172"/>
      <c r="S121" s="157"/>
      <c r="T121" s="40">
        <f t="shared" si="20"/>
        <v>0</v>
      </c>
    </row>
    <row r="122" spans="1:20" s="84" customFormat="1" ht="24.95" customHeight="1">
      <c r="A122" s="3"/>
      <c r="B122" s="3"/>
      <c r="C122" s="3"/>
      <c r="D122" s="26" t="s">
        <v>457</v>
      </c>
      <c r="E122" s="61">
        <f t="shared" ref="E122:Q122" si="26">IF(E115=0,0,ROUND(E14/E115,2))</f>
        <v>0</v>
      </c>
      <c r="F122" s="61">
        <f t="shared" si="26"/>
        <v>0</v>
      </c>
      <c r="G122" s="61">
        <f t="shared" si="26"/>
        <v>0</v>
      </c>
      <c r="H122" s="61">
        <f t="shared" si="26"/>
        <v>0</v>
      </c>
      <c r="I122" s="61">
        <f t="shared" si="26"/>
        <v>0</v>
      </c>
      <c r="J122" s="61">
        <f t="shared" si="26"/>
        <v>0</v>
      </c>
      <c r="K122" s="61">
        <f t="shared" si="26"/>
        <v>0</v>
      </c>
      <c r="L122" s="61">
        <f t="shared" si="26"/>
        <v>0</v>
      </c>
      <c r="M122" s="61">
        <f t="shared" si="26"/>
        <v>0</v>
      </c>
      <c r="N122" s="61">
        <f t="shared" si="26"/>
        <v>0</v>
      </c>
      <c r="O122" s="61">
        <f t="shared" si="26"/>
        <v>0</v>
      </c>
      <c r="P122" s="61">
        <f t="shared" si="26"/>
        <v>0</v>
      </c>
      <c r="Q122" s="61">
        <f t="shared" si="26"/>
        <v>0</v>
      </c>
      <c r="R122" s="172"/>
      <c r="S122" s="157"/>
      <c r="T122" s="40">
        <f t="shared" si="20"/>
        <v>0</v>
      </c>
    </row>
    <row r="123" spans="1:20" s="84" customFormat="1" ht="24.95" customHeight="1">
      <c r="A123" s="3"/>
      <c r="B123" s="3"/>
      <c r="C123" s="3"/>
      <c r="D123" s="26" t="s">
        <v>459</v>
      </c>
      <c r="E123" s="61">
        <f t="shared" ref="E123:Q123" si="27">IF(E114=0,0,ROUND(E15/E114,2))</f>
        <v>0</v>
      </c>
      <c r="F123" s="61">
        <f t="shared" si="27"/>
        <v>0</v>
      </c>
      <c r="G123" s="61">
        <f t="shared" si="27"/>
        <v>0</v>
      </c>
      <c r="H123" s="61">
        <f t="shared" si="27"/>
        <v>0</v>
      </c>
      <c r="I123" s="61">
        <f t="shared" si="27"/>
        <v>0</v>
      </c>
      <c r="J123" s="61">
        <f t="shared" si="27"/>
        <v>0</v>
      </c>
      <c r="K123" s="61">
        <f t="shared" si="27"/>
        <v>0</v>
      </c>
      <c r="L123" s="61">
        <f t="shared" si="27"/>
        <v>0</v>
      </c>
      <c r="M123" s="61">
        <f t="shared" si="27"/>
        <v>0</v>
      </c>
      <c r="N123" s="61">
        <f t="shared" si="27"/>
        <v>0</v>
      </c>
      <c r="O123" s="61">
        <f t="shared" si="27"/>
        <v>0</v>
      </c>
      <c r="P123" s="61">
        <f t="shared" si="27"/>
        <v>0</v>
      </c>
      <c r="Q123" s="61">
        <f t="shared" si="27"/>
        <v>0</v>
      </c>
      <c r="R123" s="172"/>
      <c r="S123" s="157"/>
      <c r="T123" s="40">
        <f t="shared" si="20"/>
        <v>0</v>
      </c>
    </row>
    <row r="124" spans="1:20" s="84" customFormat="1" ht="24.95" customHeight="1">
      <c r="A124" s="3"/>
      <c r="B124" s="3"/>
      <c r="C124" s="3"/>
      <c r="D124" s="26" t="s">
        <v>461</v>
      </c>
      <c r="E124" s="61">
        <f t="shared" ref="E124:Q124" si="28">IF(E116=0,0,ROUND(E16/E116,2))</f>
        <v>0</v>
      </c>
      <c r="F124" s="61">
        <f t="shared" si="28"/>
        <v>0</v>
      </c>
      <c r="G124" s="61">
        <f t="shared" si="28"/>
        <v>0</v>
      </c>
      <c r="H124" s="61">
        <f t="shared" si="28"/>
        <v>0</v>
      </c>
      <c r="I124" s="61">
        <f t="shared" si="28"/>
        <v>0</v>
      </c>
      <c r="J124" s="61">
        <f t="shared" si="28"/>
        <v>0</v>
      </c>
      <c r="K124" s="61">
        <f t="shared" si="28"/>
        <v>0</v>
      </c>
      <c r="L124" s="61">
        <f t="shared" si="28"/>
        <v>0</v>
      </c>
      <c r="M124" s="61">
        <f t="shared" si="28"/>
        <v>0</v>
      </c>
      <c r="N124" s="61">
        <f t="shared" si="28"/>
        <v>0</v>
      </c>
      <c r="O124" s="61">
        <f t="shared" si="28"/>
        <v>0</v>
      </c>
      <c r="P124" s="61">
        <f t="shared" si="28"/>
        <v>0</v>
      </c>
      <c r="Q124" s="61">
        <f t="shared" si="28"/>
        <v>0</v>
      </c>
      <c r="R124" s="172"/>
      <c r="S124" s="157"/>
      <c r="T124" s="40">
        <f t="shared" si="20"/>
        <v>0</v>
      </c>
    </row>
    <row r="125" spans="1:20" s="84" customFormat="1" ht="24.95" customHeight="1">
      <c r="A125" s="3"/>
      <c r="B125" s="3"/>
      <c r="C125" s="3"/>
      <c r="D125" s="19" t="s">
        <v>442</v>
      </c>
      <c r="E125" s="170">
        <f t="shared" ref="E125:Q125" si="29">IF(E117=0,0,ROUND(E17/E117,2))</f>
        <v>0</v>
      </c>
      <c r="F125" s="170">
        <f t="shared" si="29"/>
        <v>0</v>
      </c>
      <c r="G125" s="170">
        <f t="shared" si="29"/>
        <v>0</v>
      </c>
      <c r="H125" s="170">
        <f t="shared" si="29"/>
        <v>0</v>
      </c>
      <c r="I125" s="170">
        <f t="shared" si="29"/>
        <v>0</v>
      </c>
      <c r="J125" s="170">
        <f t="shared" si="29"/>
        <v>0</v>
      </c>
      <c r="K125" s="170">
        <f t="shared" si="29"/>
        <v>0</v>
      </c>
      <c r="L125" s="170">
        <f t="shared" si="29"/>
        <v>0</v>
      </c>
      <c r="M125" s="170">
        <f t="shared" si="29"/>
        <v>0</v>
      </c>
      <c r="N125" s="170">
        <f t="shared" si="29"/>
        <v>0</v>
      </c>
      <c r="O125" s="170">
        <f t="shared" si="29"/>
        <v>0</v>
      </c>
      <c r="P125" s="170">
        <f t="shared" si="29"/>
        <v>0</v>
      </c>
      <c r="Q125" s="170">
        <f t="shared" si="29"/>
        <v>0</v>
      </c>
      <c r="R125" s="173"/>
      <c r="S125" s="157"/>
      <c r="T125" s="40">
        <f t="shared" si="20"/>
        <v>0</v>
      </c>
    </row>
    <row r="126" spans="1:20" s="84" customFormat="1" ht="24.95" customHeight="1">
      <c r="A126" s="3"/>
      <c r="B126" s="3"/>
      <c r="C126" s="3"/>
      <c r="D126" s="3"/>
      <c r="E126" s="3"/>
      <c r="F126" s="3"/>
      <c r="G126" s="3"/>
      <c r="H126" s="3"/>
      <c r="I126" s="3"/>
      <c r="J126" s="3"/>
      <c r="K126" s="3"/>
      <c r="L126" s="3"/>
      <c r="S126" s="157"/>
      <c r="T126" s="40"/>
    </row>
    <row r="127" spans="1:20" s="84" customFormat="1" ht="24.95" customHeight="1">
      <c r="A127" s="3"/>
      <c r="B127" s="3"/>
      <c r="C127" s="3"/>
      <c r="D127" s="19" t="s">
        <v>443</v>
      </c>
      <c r="E127" s="160">
        <f t="shared" ref="E127:Q127" si="30">IF(E117=0,0,ROUND((E34+E36+E108)/E117,2))</f>
        <v>0</v>
      </c>
      <c r="F127" s="160">
        <f t="shared" si="30"/>
        <v>0</v>
      </c>
      <c r="G127" s="160">
        <f t="shared" si="30"/>
        <v>0</v>
      </c>
      <c r="H127" s="160">
        <f t="shared" si="30"/>
        <v>0</v>
      </c>
      <c r="I127" s="160">
        <f t="shared" si="30"/>
        <v>0</v>
      </c>
      <c r="J127" s="160">
        <f t="shared" si="30"/>
        <v>0</v>
      </c>
      <c r="K127" s="160">
        <f t="shared" si="30"/>
        <v>0</v>
      </c>
      <c r="L127" s="160">
        <f t="shared" si="30"/>
        <v>0</v>
      </c>
      <c r="M127" s="160">
        <f t="shared" si="30"/>
        <v>0</v>
      </c>
      <c r="N127" s="160">
        <f t="shared" si="30"/>
        <v>0</v>
      </c>
      <c r="O127" s="160">
        <f t="shared" si="30"/>
        <v>0</v>
      </c>
      <c r="P127" s="160">
        <f t="shared" si="30"/>
        <v>0</v>
      </c>
      <c r="Q127" s="160">
        <f t="shared" si="30"/>
        <v>0</v>
      </c>
      <c r="R127" s="160"/>
      <c r="S127" s="157"/>
      <c r="T127" s="40">
        <f>-IF(Q127-S127=0,0,(Q127-S127)/S127)</f>
        <v>0</v>
      </c>
    </row>
    <row r="128" spans="1:20" s="84" customFormat="1" ht="24.95" customHeight="1">
      <c r="A128" s="3"/>
      <c r="B128" s="3"/>
      <c r="C128" s="3"/>
      <c r="D128" s="3"/>
      <c r="E128" s="3"/>
      <c r="F128" s="3"/>
      <c r="G128" s="3"/>
      <c r="H128" s="3"/>
      <c r="I128" s="3"/>
      <c r="J128" s="3"/>
      <c r="K128" s="3"/>
      <c r="L128" s="3"/>
      <c r="S128" s="157"/>
      <c r="T128" s="40"/>
    </row>
    <row r="129" spans="1:20" s="84" customFormat="1" ht="24.95" customHeight="1">
      <c r="A129" s="3"/>
      <c r="B129" s="3"/>
      <c r="C129" s="3"/>
      <c r="D129" s="19" t="s">
        <v>293</v>
      </c>
      <c r="E129" s="3"/>
      <c r="F129" s="3"/>
      <c r="G129" s="3"/>
      <c r="H129" s="3"/>
      <c r="I129" s="3"/>
      <c r="J129" s="3"/>
      <c r="K129" s="3"/>
      <c r="L129" s="3"/>
      <c r="S129" s="157"/>
      <c r="T129" s="40"/>
    </row>
    <row r="130" spans="1:20" s="84" customFormat="1" ht="24.95" customHeight="1">
      <c r="A130" s="3"/>
      <c r="B130" s="3"/>
      <c r="C130" s="3"/>
      <c r="D130" s="19" t="s">
        <v>444</v>
      </c>
      <c r="E130" s="3"/>
      <c r="F130" s="3"/>
      <c r="G130" s="3"/>
      <c r="H130" s="3"/>
      <c r="I130" s="3"/>
      <c r="J130" s="3"/>
      <c r="K130" s="3"/>
      <c r="L130" s="3"/>
      <c r="S130" s="157"/>
      <c r="T130" s="40"/>
    </row>
    <row r="131" spans="1:20" s="84" customFormat="1" ht="24.95" customHeight="1">
      <c r="A131" s="3" t="s">
        <v>295</v>
      </c>
      <c r="B131" s="3" t="s">
        <v>405</v>
      </c>
      <c r="C131" s="3"/>
      <c r="D131" s="3" t="s">
        <v>297</v>
      </c>
      <c r="E131" s="142">
        <f>Summary!E$288+Summary!E$623</f>
        <v>0</v>
      </c>
      <c r="F131" s="142">
        <f>Summary!F$288+Summary!F$623</f>
        <v>0</v>
      </c>
      <c r="G131" s="142">
        <f>Summary!G$288+Summary!G$623</f>
        <v>0</v>
      </c>
      <c r="H131" s="142">
        <f>Summary!H$288+Summary!H$623</f>
        <v>0</v>
      </c>
      <c r="I131" s="142">
        <f>Summary!I$288+Summary!I$623</f>
        <v>0</v>
      </c>
      <c r="J131" s="142">
        <f>Summary!J$288+Summary!J$623</f>
        <v>0</v>
      </c>
      <c r="K131" s="142">
        <f>Summary!K$288+Summary!K$623</f>
        <v>0</v>
      </c>
      <c r="L131" s="142">
        <f>Summary!L$288+Summary!L$623</f>
        <v>0</v>
      </c>
      <c r="M131" s="142">
        <f>Summary!M$288+Summary!M$623</f>
        <v>0</v>
      </c>
      <c r="N131" s="142">
        <f>Summary!N$288+Summary!N$623</f>
        <v>0</v>
      </c>
      <c r="O131" s="142">
        <f>Summary!O$288+Summary!O$623</f>
        <v>0</v>
      </c>
      <c r="P131" s="142">
        <f>Summary!P$288+Summary!P$623</f>
        <v>0</v>
      </c>
      <c r="Q131" s="142">
        <f>SUM(E131:P131)</f>
        <v>0</v>
      </c>
      <c r="R131" s="142" t="e">
        <f>Q131/$Q$117</f>
        <v>#DIV/0!</v>
      </c>
      <c r="S131" s="157"/>
      <c r="T131" s="40">
        <f>-IF(Q131-S131=0,0,(Q131-S131)/S131)</f>
        <v>0</v>
      </c>
    </row>
    <row r="132" spans="1:20" s="84" customFormat="1" ht="24.95" customHeight="1">
      <c r="A132" s="50" t="s">
        <v>298</v>
      </c>
      <c r="B132" s="3" t="s">
        <v>405</v>
      </c>
      <c r="C132" s="3"/>
      <c r="D132" s="3" t="s">
        <v>447</v>
      </c>
      <c r="E132" s="61"/>
      <c r="F132" s="61"/>
      <c r="G132" s="61"/>
      <c r="H132" s="61"/>
      <c r="I132" s="61"/>
      <c r="J132" s="61"/>
      <c r="K132" s="61"/>
      <c r="L132" s="61"/>
      <c r="M132" s="61"/>
      <c r="N132" s="61"/>
      <c r="O132" s="61"/>
      <c r="P132" s="61"/>
      <c r="Q132" s="142">
        <f t="shared" ref="Q132:Q133" si="31">SUM(E132:P132)</f>
        <v>0</v>
      </c>
      <c r="R132" s="142" t="e">
        <f>Q132/$Q$117</f>
        <v>#DIV/0!</v>
      </c>
      <c r="S132" s="157"/>
      <c r="T132" s="40"/>
    </row>
    <row r="133" spans="1:20" s="84" customFormat="1" ht="24.95" customHeight="1">
      <c r="A133" s="50" t="s">
        <v>298</v>
      </c>
      <c r="B133" s="3" t="s">
        <v>405</v>
      </c>
      <c r="C133" s="3"/>
      <c r="D133" s="3" t="s">
        <v>449</v>
      </c>
      <c r="E133" s="61">
        <f>Summary!E$624</f>
        <v>0</v>
      </c>
      <c r="F133" s="61">
        <f>Summary!F$624</f>
        <v>0</v>
      </c>
      <c r="G133" s="61">
        <f>Summary!G$624</f>
        <v>0</v>
      </c>
      <c r="H133" s="61">
        <f>Summary!H$624</f>
        <v>0</v>
      </c>
      <c r="I133" s="61">
        <f>Summary!I$624</f>
        <v>0</v>
      </c>
      <c r="J133" s="61">
        <f>Summary!J$624</f>
        <v>0</v>
      </c>
      <c r="K133" s="61">
        <f>Summary!K$624</f>
        <v>0</v>
      </c>
      <c r="L133" s="61">
        <f>Summary!L$624</f>
        <v>0</v>
      </c>
      <c r="M133" s="61">
        <f>Summary!M$624</f>
        <v>0</v>
      </c>
      <c r="N133" s="61">
        <f>Summary!N$624</f>
        <v>0</v>
      </c>
      <c r="O133" s="61">
        <f>Summary!O$624</f>
        <v>0</v>
      </c>
      <c r="P133" s="61">
        <f>Summary!P$624</f>
        <v>0</v>
      </c>
      <c r="Q133" s="142">
        <f t="shared" si="31"/>
        <v>0</v>
      </c>
      <c r="R133" s="142" t="e">
        <f>Q133/$Q$117</f>
        <v>#DIV/0!</v>
      </c>
      <c r="S133" s="157"/>
      <c r="T133" s="40">
        <f t="shared" ref="T133:T163" si="32">-IF(Q133-S133=0,0,(Q133-S133)/S133)</f>
        <v>0</v>
      </c>
    </row>
    <row r="134" spans="1:20" s="84" customFormat="1" ht="24.95" customHeight="1">
      <c r="A134" s="3"/>
      <c r="B134" s="3"/>
      <c r="C134" s="3"/>
      <c r="D134" s="19" t="s">
        <v>450</v>
      </c>
      <c r="E134" s="160">
        <f>SUM(E131:E133)</f>
        <v>0</v>
      </c>
      <c r="F134" s="160">
        <f t="shared" ref="F134:P134" si="33">SUM(F131:F133)</f>
        <v>0</v>
      </c>
      <c r="G134" s="160">
        <f t="shared" si="33"/>
        <v>0</v>
      </c>
      <c r="H134" s="160">
        <f t="shared" si="33"/>
        <v>0</v>
      </c>
      <c r="I134" s="160">
        <f t="shared" si="33"/>
        <v>0</v>
      </c>
      <c r="J134" s="160">
        <f t="shared" si="33"/>
        <v>0</v>
      </c>
      <c r="K134" s="160">
        <f t="shared" si="33"/>
        <v>0</v>
      </c>
      <c r="L134" s="160">
        <f t="shared" si="33"/>
        <v>0</v>
      </c>
      <c r="M134" s="160">
        <f t="shared" si="33"/>
        <v>0</v>
      </c>
      <c r="N134" s="160">
        <f t="shared" si="33"/>
        <v>0</v>
      </c>
      <c r="O134" s="160">
        <f t="shared" si="33"/>
        <v>0</v>
      </c>
      <c r="P134" s="160">
        <f t="shared" si="33"/>
        <v>0</v>
      </c>
      <c r="Q134" s="160">
        <f t="shared" ref="Q134" si="34">SUM(Q131:Q133)</f>
        <v>0</v>
      </c>
      <c r="R134" s="142" t="e">
        <f>Q134/$Q$117</f>
        <v>#DIV/0!</v>
      </c>
      <c r="S134" s="157"/>
      <c r="T134" s="40"/>
    </row>
    <row r="135" spans="1:20" s="84" customFormat="1" ht="24.95" customHeight="1">
      <c r="A135" s="3"/>
      <c r="B135" s="3"/>
      <c r="C135" s="3"/>
      <c r="D135" s="3"/>
      <c r="E135" s="3"/>
      <c r="F135" s="3"/>
      <c r="G135" s="3"/>
      <c r="H135" s="3"/>
      <c r="I135" s="3"/>
      <c r="J135" s="3"/>
      <c r="K135" s="3"/>
      <c r="L135" s="3"/>
      <c r="M135" s="161"/>
      <c r="S135" s="157"/>
      <c r="T135" s="40"/>
    </row>
    <row r="136" spans="1:20" s="84" customFormat="1" ht="24.95" customHeight="1">
      <c r="A136" s="3" t="s">
        <v>306</v>
      </c>
      <c r="B136" s="3" t="s">
        <v>405</v>
      </c>
      <c r="C136" s="3"/>
      <c r="D136" s="26" t="s">
        <v>307</v>
      </c>
      <c r="E136" s="61">
        <f>Summary!E$290+Summary!E$625</f>
        <v>0</v>
      </c>
      <c r="F136" s="61">
        <f>Summary!F$290+Summary!F$625</f>
        <v>0</v>
      </c>
      <c r="G136" s="61">
        <f>Summary!G$290+Summary!G$625</f>
        <v>0</v>
      </c>
      <c r="H136" s="61">
        <f>Summary!H$290+Summary!H$625</f>
        <v>0</v>
      </c>
      <c r="I136" s="61">
        <f>Summary!I$290+Summary!I$625</f>
        <v>0</v>
      </c>
      <c r="J136" s="61">
        <f>Summary!J$290+Summary!J$625</f>
        <v>0</v>
      </c>
      <c r="K136" s="61">
        <f>Summary!K$290+Summary!K$625</f>
        <v>0</v>
      </c>
      <c r="L136" s="61">
        <f>Summary!L$290+Summary!L$625</f>
        <v>0</v>
      </c>
      <c r="M136" s="61">
        <f>Summary!M$290+Summary!M$625</f>
        <v>0</v>
      </c>
      <c r="N136" s="61">
        <f>Summary!N$290+Summary!N$625</f>
        <v>0</v>
      </c>
      <c r="O136" s="61">
        <f>Summary!O$290+Summary!O$625</f>
        <v>0</v>
      </c>
      <c r="P136" s="61">
        <f>Summary!P$290+Summary!P$625</f>
        <v>0</v>
      </c>
      <c r="Q136" s="142">
        <f>SUM(E136:P136)</f>
        <v>0</v>
      </c>
      <c r="R136" s="142" t="e">
        <f t="shared" ref="R136:R141" si="35">Q136/$Q$117</f>
        <v>#DIV/0!</v>
      </c>
      <c r="S136" s="157"/>
      <c r="T136" s="40">
        <f t="shared" si="32"/>
        <v>0</v>
      </c>
    </row>
    <row r="137" spans="1:20" s="84" customFormat="1" ht="24.95" customHeight="1">
      <c r="A137" s="3" t="s">
        <v>308</v>
      </c>
      <c r="B137" s="3" t="s">
        <v>405</v>
      </c>
      <c r="C137" s="3"/>
      <c r="D137" s="26" t="s">
        <v>309</v>
      </c>
      <c r="E137" s="61">
        <f>Summary!E$291+Summary!E$626</f>
        <v>0</v>
      </c>
      <c r="F137" s="61">
        <f>Summary!F$291+Summary!F$626</f>
        <v>0</v>
      </c>
      <c r="G137" s="61">
        <f>Summary!G$291+Summary!G$626</f>
        <v>0</v>
      </c>
      <c r="H137" s="61">
        <f>Summary!H$291+Summary!H$626</f>
        <v>0</v>
      </c>
      <c r="I137" s="61">
        <f>Summary!I$291+Summary!I$626</f>
        <v>0</v>
      </c>
      <c r="J137" s="61">
        <f>Summary!J$291+Summary!J$626</f>
        <v>0</v>
      </c>
      <c r="K137" s="61">
        <f>Summary!K$291+Summary!K$626</f>
        <v>0</v>
      </c>
      <c r="L137" s="61">
        <f>Summary!L$291+Summary!L$626</f>
        <v>0</v>
      </c>
      <c r="M137" s="61">
        <f>Summary!M$291+Summary!M$626</f>
        <v>0</v>
      </c>
      <c r="N137" s="61">
        <f>Summary!N$291+Summary!N$626</f>
        <v>0</v>
      </c>
      <c r="O137" s="61">
        <f>Summary!O$291+Summary!O$626</f>
        <v>0</v>
      </c>
      <c r="P137" s="61">
        <f>Summary!P$291+Summary!P$626</f>
        <v>0</v>
      </c>
      <c r="Q137" s="142">
        <f t="shared" ref="Q137:Q140" si="36">SUM(E137:P137)</f>
        <v>0</v>
      </c>
      <c r="R137" s="142" t="e">
        <f t="shared" si="35"/>
        <v>#DIV/0!</v>
      </c>
      <c r="S137" s="157"/>
      <c r="T137" s="40">
        <f t="shared" si="32"/>
        <v>0</v>
      </c>
    </row>
    <row r="138" spans="1:20" s="84" customFormat="1" ht="24.95" customHeight="1">
      <c r="A138" s="3" t="s">
        <v>310</v>
      </c>
      <c r="B138" s="3" t="s">
        <v>405</v>
      </c>
      <c r="C138" s="3"/>
      <c r="D138" s="26" t="s">
        <v>311</v>
      </c>
      <c r="E138" s="61">
        <f>Summary!E$292+Summary!E$627</f>
        <v>0</v>
      </c>
      <c r="F138" s="61">
        <f>Summary!F$292+Summary!F$627</f>
        <v>0</v>
      </c>
      <c r="G138" s="61">
        <f>Summary!G$292+Summary!G$627</f>
        <v>0</v>
      </c>
      <c r="H138" s="61">
        <f>Summary!H$292+Summary!H$627</f>
        <v>0</v>
      </c>
      <c r="I138" s="61">
        <f>Summary!I$292+Summary!I$627</f>
        <v>0</v>
      </c>
      <c r="J138" s="61">
        <f>Summary!J$292+Summary!J$627</f>
        <v>0</v>
      </c>
      <c r="K138" s="61">
        <f>Summary!K$292+Summary!K$627</f>
        <v>0</v>
      </c>
      <c r="L138" s="61">
        <f>Summary!L$292+Summary!L$627</f>
        <v>0</v>
      </c>
      <c r="M138" s="61">
        <f>Summary!M$292+Summary!M$627</f>
        <v>0</v>
      </c>
      <c r="N138" s="61">
        <f>Summary!N$292+Summary!N$627</f>
        <v>0</v>
      </c>
      <c r="O138" s="61">
        <f>Summary!O$292+Summary!O$627</f>
        <v>0</v>
      </c>
      <c r="P138" s="61">
        <f>Summary!P$292+Summary!P$627</f>
        <v>0</v>
      </c>
      <c r="Q138" s="142">
        <f t="shared" si="36"/>
        <v>0</v>
      </c>
      <c r="R138" s="142" t="e">
        <f t="shared" si="35"/>
        <v>#DIV/0!</v>
      </c>
      <c r="S138" s="157"/>
      <c r="T138" s="40">
        <f t="shared" si="32"/>
        <v>0</v>
      </c>
    </row>
    <row r="139" spans="1:20" s="84" customFormat="1" ht="24.95" customHeight="1">
      <c r="A139" s="3" t="s">
        <v>312</v>
      </c>
      <c r="B139" s="3" t="s">
        <v>405</v>
      </c>
      <c r="C139" s="3"/>
      <c r="D139" s="26" t="s">
        <v>313</v>
      </c>
      <c r="E139" s="61">
        <f>Summary!E$293+Summary!E$628</f>
        <v>0</v>
      </c>
      <c r="F139" s="61">
        <f>Summary!F$293+Summary!F$628</f>
        <v>0</v>
      </c>
      <c r="G139" s="61">
        <f>Summary!G$293+Summary!G$628</f>
        <v>0</v>
      </c>
      <c r="H139" s="61">
        <f>Summary!H$293+Summary!H$628</f>
        <v>0</v>
      </c>
      <c r="I139" s="61">
        <f>Summary!I$293+Summary!I$628</f>
        <v>0</v>
      </c>
      <c r="J139" s="61">
        <f>Summary!J$293+Summary!J$628</f>
        <v>0</v>
      </c>
      <c r="K139" s="61">
        <f>Summary!K$293+Summary!K$628</f>
        <v>0</v>
      </c>
      <c r="L139" s="61">
        <f>Summary!L$293+Summary!L$628</f>
        <v>0</v>
      </c>
      <c r="M139" s="61">
        <f>Summary!M$293+Summary!M$628</f>
        <v>0</v>
      </c>
      <c r="N139" s="61">
        <f>Summary!N$293+Summary!N$628</f>
        <v>0</v>
      </c>
      <c r="O139" s="61">
        <f>Summary!O$293+Summary!O$628</f>
        <v>0</v>
      </c>
      <c r="P139" s="61">
        <f>Summary!P$293+Summary!P$628</f>
        <v>0</v>
      </c>
      <c r="Q139" s="142">
        <f t="shared" si="36"/>
        <v>0</v>
      </c>
      <c r="R139" s="142" t="e">
        <f t="shared" si="35"/>
        <v>#DIV/0!</v>
      </c>
      <c r="S139" s="157"/>
      <c r="T139" s="40">
        <f t="shared" si="32"/>
        <v>0</v>
      </c>
    </row>
    <row r="140" spans="1:20" s="84" customFormat="1" ht="24.95" customHeight="1">
      <c r="A140" s="3" t="s">
        <v>314</v>
      </c>
      <c r="B140" s="3" t="s">
        <v>405</v>
      </c>
      <c r="C140" s="3"/>
      <c r="D140" s="26" t="s">
        <v>315</v>
      </c>
      <c r="E140" s="61">
        <f>Summary!E$294+Summary!E$629</f>
        <v>0</v>
      </c>
      <c r="F140" s="61">
        <f>Summary!F$294+Summary!F$629</f>
        <v>0</v>
      </c>
      <c r="G140" s="61">
        <f>Summary!G$294+Summary!G$629</f>
        <v>0</v>
      </c>
      <c r="H140" s="61">
        <f>Summary!H$294+Summary!H$629</f>
        <v>0</v>
      </c>
      <c r="I140" s="61">
        <f>Summary!I$294+Summary!I$629</f>
        <v>0</v>
      </c>
      <c r="J140" s="61">
        <f>Summary!J$294+Summary!J$629</f>
        <v>0</v>
      </c>
      <c r="K140" s="61">
        <f>Summary!K$294+Summary!K$629</f>
        <v>0</v>
      </c>
      <c r="L140" s="61">
        <f>Summary!L$294+Summary!L$629</f>
        <v>0</v>
      </c>
      <c r="M140" s="61">
        <f>Summary!M$294+Summary!M$629</f>
        <v>0</v>
      </c>
      <c r="N140" s="61">
        <f>Summary!N$294+Summary!N$629</f>
        <v>0</v>
      </c>
      <c r="O140" s="61">
        <f>Summary!O$294+Summary!O$629</f>
        <v>0</v>
      </c>
      <c r="P140" s="61">
        <f>Summary!P$294+Summary!P$629</f>
        <v>0</v>
      </c>
      <c r="Q140" s="142">
        <f t="shared" si="36"/>
        <v>0</v>
      </c>
      <c r="R140" s="142" t="e">
        <f t="shared" si="35"/>
        <v>#DIV/0!</v>
      </c>
      <c r="S140" s="157"/>
      <c r="T140" s="40"/>
    </row>
    <row r="141" spans="1:20" s="84" customFormat="1" ht="24.95" customHeight="1">
      <c r="A141" s="3"/>
      <c r="B141" s="3"/>
      <c r="C141" s="3"/>
      <c r="D141" s="19" t="s">
        <v>316</v>
      </c>
      <c r="E141" s="160">
        <f>SUM(E136:E140)</f>
        <v>0</v>
      </c>
      <c r="F141" s="160">
        <f t="shared" ref="F141:Q141" si="37">SUM(F136:F140)</f>
        <v>0</v>
      </c>
      <c r="G141" s="160">
        <f t="shared" si="37"/>
        <v>0</v>
      </c>
      <c r="H141" s="160">
        <f t="shared" si="37"/>
        <v>0</v>
      </c>
      <c r="I141" s="160">
        <f t="shared" si="37"/>
        <v>0</v>
      </c>
      <c r="J141" s="160">
        <f t="shared" si="37"/>
        <v>0</v>
      </c>
      <c r="K141" s="160">
        <f t="shared" si="37"/>
        <v>0</v>
      </c>
      <c r="L141" s="160">
        <f t="shared" si="37"/>
        <v>0</v>
      </c>
      <c r="M141" s="160">
        <f t="shared" si="37"/>
        <v>0</v>
      </c>
      <c r="N141" s="160">
        <f t="shared" si="37"/>
        <v>0</v>
      </c>
      <c r="O141" s="160">
        <f t="shared" si="37"/>
        <v>0</v>
      </c>
      <c r="P141" s="160">
        <f t="shared" si="37"/>
        <v>0</v>
      </c>
      <c r="Q141" s="160">
        <f t="shared" si="37"/>
        <v>0</v>
      </c>
      <c r="R141" s="142" t="e">
        <f t="shared" si="35"/>
        <v>#DIV/0!</v>
      </c>
      <c r="S141" s="157"/>
      <c r="T141" s="40"/>
    </row>
    <row r="142" spans="1:20" s="84" customFormat="1" ht="24.95" customHeight="1">
      <c r="A142" s="3"/>
      <c r="B142" s="3"/>
      <c r="C142" s="3"/>
      <c r="D142" s="3"/>
      <c r="E142" s="3"/>
      <c r="F142" s="3"/>
      <c r="G142" s="3"/>
      <c r="H142" s="3"/>
      <c r="I142" s="3"/>
      <c r="J142" s="3"/>
      <c r="K142" s="3"/>
      <c r="L142" s="3"/>
      <c r="M142" s="161"/>
      <c r="S142" s="157"/>
      <c r="T142" s="40"/>
    </row>
    <row r="143" spans="1:20" s="84" customFormat="1" ht="24.95" customHeight="1">
      <c r="A143" s="3" t="s">
        <v>317</v>
      </c>
      <c r="B143" s="3" t="s">
        <v>405</v>
      </c>
      <c r="C143" s="3"/>
      <c r="D143" s="26" t="s">
        <v>318</v>
      </c>
      <c r="E143" s="61">
        <f>Summary!E$631+Summary!E$296</f>
        <v>0</v>
      </c>
      <c r="F143" s="61">
        <f>Summary!F$631+Summary!F$296</f>
        <v>0</v>
      </c>
      <c r="G143" s="61">
        <f>Summary!G$631+Summary!G$296</f>
        <v>0</v>
      </c>
      <c r="H143" s="61">
        <f>Summary!H$631+Summary!H$296</f>
        <v>0</v>
      </c>
      <c r="I143" s="61">
        <f>Summary!I$631+Summary!I$296</f>
        <v>0</v>
      </c>
      <c r="J143" s="61">
        <f>Summary!J$631+Summary!J$296</f>
        <v>0</v>
      </c>
      <c r="K143" s="61">
        <f>Summary!K$631+Summary!K$296</f>
        <v>0</v>
      </c>
      <c r="L143" s="61">
        <f>Summary!L$631+Summary!L$296</f>
        <v>0</v>
      </c>
      <c r="M143" s="61">
        <f>Summary!M$631+Summary!M$296</f>
        <v>0</v>
      </c>
      <c r="N143" s="61">
        <f>Summary!N$631+Summary!N$296</f>
        <v>0</v>
      </c>
      <c r="O143" s="61">
        <f>Summary!O$631+Summary!O$296</f>
        <v>0</v>
      </c>
      <c r="P143" s="61">
        <f>Summary!P$631+Summary!P$296</f>
        <v>0</v>
      </c>
      <c r="Q143" s="142">
        <f>SUM(E143:P143)</f>
        <v>0</v>
      </c>
      <c r="R143" s="142" t="e">
        <f t="shared" ref="R143:R151" si="38">Q143/$Q$117</f>
        <v>#DIV/0!</v>
      </c>
      <c r="S143" s="157"/>
      <c r="T143" s="40">
        <f t="shared" si="32"/>
        <v>0</v>
      </c>
    </row>
    <row r="144" spans="1:20" s="84" customFormat="1" ht="24.95" customHeight="1">
      <c r="A144" s="3" t="s">
        <v>319</v>
      </c>
      <c r="B144" s="3" t="s">
        <v>405</v>
      </c>
      <c r="C144" s="3"/>
      <c r="D144" s="26" t="s">
        <v>320</v>
      </c>
      <c r="E144" s="61">
        <f>Summary!E$632+Summary!E$297</f>
        <v>0</v>
      </c>
      <c r="F144" s="61">
        <f>Summary!F$632+Summary!F$297</f>
        <v>0</v>
      </c>
      <c r="G144" s="61">
        <f>Summary!G$632+Summary!G$297</f>
        <v>0</v>
      </c>
      <c r="H144" s="61">
        <f>Summary!H$632+Summary!H$297</f>
        <v>0</v>
      </c>
      <c r="I144" s="61">
        <f>Summary!I$632+Summary!I$297</f>
        <v>0</v>
      </c>
      <c r="J144" s="61">
        <f>Summary!J$632+Summary!J$297</f>
        <v>0</v>
      </c>
      <c r="K144" s="61">
        <f>Summary!K$632+Summary!K$297</f>
        <v>0</v>
      </c>
      <c r="L144" s="61">
        <f>Summary!L$632+Summary!L$297</f>
        <v>0</v>
      </c>
      <c r="M144" s="61">
        <f>Summary!M$632+Summary!M$297</f>
        <v>0</v>
      </c>
      <c r="N144" s="61">
        <f>Summary!N$632+Summary!N$297</f>
        <v>0</v>
      </c>
      <c r="O144" s="61">
        <f>Summary!O$632+Summary!O$297</f>
        <v>0</v>
      </c>
      <c r="P144" s="61">
        <f>Summary!P$632+Summary!P$297</f>
        <v>0</v>
      </c>
      <c r="Q144" s="142">
        <f t="shared" ref="Q144:Q150" si="39">SUM(E144:P144)</f>
        <v>0</v>
      </c>
      <c r="R144" s="142" t="e">
        <f t="shared" si="38"/>
        <v>#DIV/0!</v>
      </c>
      <c r="S144" s="157"/>
      <c r="T144" s="40">
        <f t="shared" si="32"/>
        <v>0</v>
      </c>
    </row>
    <row r="145" spans="1:20" s="84" customFormat="1" ht="24.95" customHeight="1">
      <c r="A145" s="3" t="s">
        <v>321</v>
      </c>
      <c r="B145" s="3" t="s">
        <v>405</v>
      </c>
      <c r="C145" s="3"/>
      <c r="D145" s="26" t="s">
        <v>322</v>
      </c>
      <c r="E145" s="61">
        <f>Summary!E$633+Summary!E$298</f>
        <v>0</v>
      </c>
      <c r="F145" s="61">
        <f>Summary!F$633+Summary!F$298</f>
        <v>0</v>
      </c>
      <c r="G145" s="61">
        <f>Summary!G$633+Summary!G$298</f>
        <v>0</v>
      </c>
      <c r="H145" s="61">
        <f>Summary!H$633+Summary!H$298</f>
        <v>0</v>
      </c>
      <c r="I145" s="61">
        <f>Summary!I$633+Summary!I$298</f>
        <v>0</v>
      </c>
      <c r="J145" s="61">
        <f>Summary!J$633+Summary!J$298</f>
        <v>0</v>
      </c>
      <c r="K145" s="61">
        <f>Summary!K$633+Summary!K$298</f>
        <v>0</v>
      </c>
      <c r="L145" s="61">
        <f>Summary!L$633+Summary!L$298</f>
        <v>0</v>
      </c>
      <c r="M145" s="61">
        <f>Summary!M$633+Summary!M$298</f>
        <v>0</v>
      </c>
      <c r="N145" s="61">
        <f>Summary!N$633+Summary!N$298</f>
        <v>0</v>
      </c>
      <c r="O145" s="61">
        <f>Summary!O$633+Summary!O$298</f>
        <v>0</v>
      </c>
      <c r="P145" s="61">
        <f>Summary!P$633+Summary!P$298</f>
        <v>0</v>
      </c>
      <c r="Q145" s="142">
        <f t="shared" si="39"/>
        <v>0</v>
      </c>
      <c r="R145" s="142" t="e">
        <f t="shared" si="38"/>
        <v>#DIV/0!</v>
      </c>
      <c r="S145" s="157"/>
      <c r="T145" s="40">
        <f t="shared" si="32"/>
        <v>0</v>
      </c>
    </row>
    <row r="146" spans="1:20" s="84" customFormat="1" ht="24.95" customHeight="1">
      <c r="A146" s="3" t="s">
        <v>323</v>
      </c>
      <c r="B146" s="3" t="s">
        <v>405</v>
      </c>
      <c r="C146" s="3"/>
      <c r="D146" s="26" t="s">
        <v>324</v>
      </c>
      <c r="E146" s="61">
        <f>Summary!E$634+Summary!E$299</f>
        <v>0</v>
      </c>
      <c r="F146" s="61">
        <f>Summary!F$634+Summary!F$299</f>
        <v>0</v>
      </c>
      <c r="G146" s="61">
        <f>Summary!G$634+Summary!G$299</f>
        <v>0</v>
      </c>
      <c r="H146" s="61">
        <f>Summary!H$634+Summary!H$299</f>
        <v>0</v>
      </c>
      <c r="I146" s="61">
        <f>Summary!I$634+Summary!I$299</f>
        <v>0</v>
      </c>
      <c r="J146" s="61">
        <f>Summary!J$634+Summary!J$299</f>
        <v>0</v>
      </c>
      <c r="K146" s="61">
        <f>Summary!K$634+Summary!K$299</f>
        <v>0</v>
      </c>
      <c r="L146" s="61">
        <f>Summary!L$634+Summary!L$299</f>
        <v>0</v>
      </c>
      <c r="M146" s="61">
        <f>Summary!M$634+Summary!M$299</f>
        <v>0</v>
      </c>
      <c r="N146" s="61">
        <f>Summary!N$634+Summary!N$299</f>
        <v>0</v>
      </c>
      <c r="O146" s="61">
        <f>Summary!O$634+Summary!O$299</f>
        <v>0</v>
      </c>
      <c r="P146" s="61">
        <f>Summary!P$634+Summary!P$299</f>
        <v>0</v>
      </c>
      <c r="Q146" s="142">
        <f t="shared" si="39"/>
        <v>0</v>
      </c>
      <c r="R146" s="142" t="e">
        <f t="shared" si="38"/>
        <v>#DIV/0!</v>
      </c>
      <c r="S146" s="157"/>
      <c r="T146" s="40">
        <f t="shared" si="32"/>
        <v>0</v>
      </c>
    </row>
    <row r="147" spans="1:20" s="84" customFormat="1" ht="24.95" customHeight="1">
      <c r="A147" s="3" t="s">
        <v>325</v>
      </c>
      <c r="B147" s="3" t="s">
        <v>405</v>
      </c>
      <c r="C147" s="3"/>
      <c r="D147" s="26" t="s">
        <v>326</v>
      </c>
      <c r="E147" s="61">
        <f>Summary!E$635+Summary!E$300</f>
        <v>0</v>
      </c>
      <c r="F147" s="61">
        <f>Summary!F$635+Summary!F$300</f>
        <v>0</v>
      </c>
      <c r="G147" s="61">
        <f>Summary!G$635+Summary!G$300</f>
        <v>0</v>
      </c>
      <c r="H147" s="61">
        <f>Summary!H$635+Summary!H$300</f>
        <v>0</v>
      </c>
      <c r="I147" s="61">
        <f>Summary!I$635+Summary!I$300</f>
        <v>0</v>
      </c>
      <c r="J147" s="61">
        <f>Summary!J$635+Summary!J$300</f>
        <v>0</v>
      </c>
      <c r="K147" s="61">
        <f>Summary!K$635+Summary!K$300</f>
        <v>0</v>
      </c>
      <c r="L147" s="61">
        <f>Summary!L$635+Summary!L$300</f>
        <v>0</v>
      </c>
      <c r="M147" s="61">
        <f>Summary!M$635+Summary!M$300</f>
        <v>0</v>
      </c>
      <c r="N147" s="61">
        <f>Summary!N$635+Summary!N$300</f>
        <v>0</v>
      </c>
      <c r="O147" s="61">
        <f>Summary!O$635+Summary!O$300</f>
        <v>0</v>
      </c>
      <c r="P147" s="61">
        <f>Summary!P$635+Summary!P$300</f>
        <v>0</v>
      </c>
      <c r="Q147" s="142">
        <f t="shared" si="39"/>
        <v>0</v>
      </c>
      <c r="R147" s="142" t="e">
        <f t="shared" si="38"/>
        <v>#DIV/0!</v>
      </c>
      <c r="S147" s="157"/>
      <c r="T147" s="40">
        <f t="shared" si="32"/>
        <v>0</v>
      </c>
    </row>
    <row r="148" spans="1:20" s="84" customFormat="1" ht="24.95" customHeight="1">
      <c r="A148" s="3" t="s">
        <v>327</v>
      </c>
      <c r="B148" s="3" t="s">
        <v>405</v>
      </c>
      <c r="C148" s="3"/>
      <c r="D148" s="26" t="s">
        <v>328</v>
      </c>
      <c r="E148" s="61">
        <f>Summary!E$636+Summary!E$301</f>
        <v>0</v>
      </c>
      <c r="F148" s="61">
        <f>Summary!F$636+Summary!F$301</f>
        <v>0</v>
      </c>
      <c r="G148" s="61">
        <f>Summary!G$636+Summary!G$301</f>
        <v>0</v>
      </c>
      <c r="H148" s="61">
        <f>Summary!H$636+Summary!H$301</f>
        <v>0</v>
      </c>
      <c r="I148" s="61">
        <f>Summary!I$636+Summary!I$301</f>
        <v>0</v>
      </c>
      <c r="J148" s="61">
        <f>Summary!J$636+Summary!J$301</f>
        <v>0</v>
      </c>
      <c r="K148" s="61">
        <f>Summary!K$636+Summary!K$301</f>
        <v>0</v>
      </c>
      <c r="L148" s="61">
        <f>Summary!L$636+Summary!L$301</f>
        <v>0</v>
      </c>
      <c r="M148" s="61">
        <f>Summary!M$636+Summary!M$301</f>
        <v>0</v>
      </c>
      <c r="N148" s="61">
        <f>Summary!N$636+Summary!N$301</f>
        <v>0</v>
      </c>
      <c r="O148" s="61">
        <f>Summary!O$636+Summary!O$301</f>
        <v>0</v>
      </c>
      <c r="P148" s="61">
        <f>Summary!P$636+Summary!P$301</f>
        <v>0</v>
      </c>
      <c r="Q148" s="142">
        <f t="shared" si="39"/>
        <v>0</v>
      </c>
      <c r="R148" s="142" t="e">
        <f t="shared" si="38"/>
        <v>#DIV/0!</v>
      </c>
      <c r="S148" s="157"/>
      <c r="T148" s="40">
        <f t="shared" si="32"/>
        <v>0</v>
      </c>
    </row>
    <row r="149" spans="1:20" s="84" customFormat="1" ht="24.95" customHeight="1">
      <c r="A149" s="3" t="s">
        <v>329</v>
      </c>
      <c r="B149" s="3" t="s">
        <v>415</v>
      </c>
      <c r="C149" s="3"/>
      <c r="D149" s="26" t="s">
        <v>330</v>
      </c>
      <c r="E149" s="61">
        <v>0</v>
      </c>
      <c r="F149" s="63">
        <v>0</v>
      </c>
      <c r="G149" s="63">
        <v>0</v>
      </c>
      <c r="H149" s="63">
        <v>0</v>
      </c>
      <c r="I149" s="63">
        <v>0</v>
      </c>
      <c r="J149" s="63">
        <v>0</v>
      </c>
      <c r="K149" s="63">
        <v>0</v>
      </c>
      <c r="L149" s="63">
        <v>0</v>
      </c>
      <c r="M149" s="61">
        <v>0</v>
      </c>
      <c r="N149" s="142">
        <v>0</v>
      </c>
      <c r="O149" s="142">
        <v>0</v>
      </c>
      <c r="P149" s="142">
        <v>0</v>
      </c>
      <c r="Q149" s="142">
        <f t="shared" si="39"/>
        <v>0</v>
      </c>
      <c r="R149" s="142" t="e">
        <f t="shared" si="38"/>
        <v>#DIV/0!</v>
      </c>
      <c r="S149" s="157"/>
      <c r="T149" s="40">
        <f t="shared" si="32"/>
        <v>0</v>
      </c>
    </row>
    <row r="150" spans="1:20" s="84" customFormat="1" ht="24.95" customHeight="1">
      <c r="A150" s="3" t="s">
        <v>331</v>
      </c>
      <c r="B150" s="3" t="s">
        <v>415</v>
      </c>
      <c r="C150" s="3"/>
      <c r="D150" s="26" t="s">
        <v>332</v>
      </c>
      <c r="E150" s="61">
        <v>0</v>
      </c>
      <c r="F150" s="63">
        <v>0</v>
      </c>
      <c r="G150" s="63">
        <v>0</v>
      </c>
      <c r="H150" s="63">
        <v>0</v>
      </c>
      <c r="I150" s="63">
        <v>0</v>
      </c>
      <c r="J150" s="63">
        <v>0</v>
      </c>
      <c r="K150" s="63">
        <v>0</v>
      </c>
      <c r="L150" s="63">
        <v>0</v>
      </c>
      <c r="M150" s="61">
        <v>0</v>
      </c>
      <c r="N150" s="142">
        <v>0</v>
      </c>
      <c r="O150" s="142">
        <v>0</v>
      </c>
      <c r="P150" s="142">
        <v>0</v>
      </c>
      <c r="Q150" s="142">
        <f t="shared" si="39"/>
        <v>0</v>
      </c>
      <c r="R150" s="142" t="e">
        <f t="shared" si="38"/>
        <v>#DIV/0!</v>
      </c>
      <c r="S150" s="157"/>
      <c r="T150" s="40">
        <f t="shared" si="32"/>
        <v>0</v>
      </c>
    </row>
    <row r="151" spans="1:20" s="84" customFormat="1" ht="24.95" customHeight="1">
      <c r="A151" s="3"/>
      <c r="B151" s="3"/>
      <c r="C151" s="3"/>
      <c r="D151" s="19" t="s">
        <v>333</v>
      </c>
      <c r="E151" s="160">
        <f>SUM(E143:E150)</f>
        <v>0</v>
      </c>
      <c r="F151" s="160">
        <f t="shared" ref="F151:Q151" si="40">SUM(F143:F150)</f>
        <v>0</v>
      </c>
      <c r="G151" s="160">
        <f t="shared" si="40"/>
        <v>0</v>
      </c>
      <c r="H151" s="160">
        <f t="shared" si="40"/>
        <v>0</v>
      </c>
      <c r="I151" s="160">
        <f t="shared" si="40"/>
        <v>0</v>
      </c>
      <c r="J151" s="160">
        <f t="shared" si="40"/>
        <v>0</v>
      </c>
      <c r="K151" s="160">
        <f t="shared" si="40"/>
        <v>0</v>
      </c>
      <c r="L151" s="160">
        <f t="shared" si="40"/>
        <v>0</v>
      </c>
      <c r="M151" s="160">
        <f t="shared" si="40"/>
        <v>0</v>
      </c>
      <c r="N151" s="160">
        <f t="shared" si="40"/>
        <v>0</v>
      </c>
      <c r="O151" s="160">
        <f t="shared" si="40"/>
        <v>0</v>
      </c>
      <c r="P151" s="160">
        <f t="shared" si="40"/>
        <v>0</v>
      </c>
      <c r="Q151" s="160">
        <f t="shared" si="40"/>
        <v>0</v>
      </c>
      <c r="R151" s="142" t="e">
        <f t="shared" si="38"/>
        <v>#DIV/0!</v>
      </c>
      <c r="S151" s="157"/>
      <c r="T151" s="40">
        <f t="shared" si="32"/>
        <v>0</v>
      </c>
    </row>
    <row r="152" spans="1:20" s="84" customFormat="1" ht="24.95" customHeight="1">
      <c r="A152" s="3"/>
      <c r="B152" s="3"/>
      <c r="C152" s="3"/>
      <c r="D152" s="3"/>
      <c r="E152" s="3"/>
      <c r="F152" s="3"/>
      <c r="G152" s="3"/>
      <c r="H152" s="3"/>
      <c r="I152" s="3"/>
      <c r="J152" s="3"/>
      <c r="K152" s="3"/>
      <c r="L152" s="3"/>
      <c r="M152" s="161"/>
      <c r="S152" s="157"/>
      <c r="T152" s="40"/>
    </row>
    <row r="153" spans="1:20" s="84" customFormat="1" ht="24.95" hidden="1" customHeight="1">
      <c r="A153" s="3" t="s">
        <v>334</v>
      </c>
      <c r="B153" s="3" t="s">
        <v>415</v>
      </c>
      <c r="C153" s="3"/>
      <c r="D153" s="26" t="s">
        <v>335</v>
      </c>
      <c r="E153" s="61">
        <v>0</v>
      </c>
      <c r="F153" s="63">
        <v>0</v>
      </c>
      <c r="G153" s="63">
        <v>0</v>
      </c>
      <c r="H153" s="63">
        <v>0</v>
      </c>
      <c r="I153" s="63">
        <v>0</v>
      </c>
      <c r="J153" s="63">
        <v>0</v>
      </c>
      <c r="K153" s="63">
        <v>0</v>
      </c>
      <c r="L153" s="63">
        <v>0</v>
      </c>
      <c r="M153" s="61">
        <v>0</v>
      </c>
      <c r="N153" s="142">
        <v>0</v>
      </c>
      <c r="O153" s="142">
        <v>0</v>
      </c>
      <c r="P153" s="142">
        <v>0</v>
      </c>
      <c r="Q153" s="142">
        <f>SUM(E153:P153)</f>
        <v>0</v>
      </c>
      <c r="R153" s="142"/>
      <c r="S153" s="157"/>
      <c r="T153" s="40">
        <f t="shared" si="32"/>
        <v>0</v>
      </c>
    </row>
    <row r="154" spans="1:20" s="84" customFormat="1" ht="24.95" hidden="1" customHeight="1">
      <c r="A154" s="3" t="s">
        <v>336</v>
      </c>
      <c r="B154" s="3" t="s">
        <v>415</v>
      </c>
      <c r="C154" s="3"/>
      <c r="D154" s="3" t="s">
        <v>337</v>
      </c>
      <c r="E154" s="61">
        <v>0</v>
      </c>
      <c r="F154" s="63">
        <v>0</v>
      </c>
      <c r="G154" s="63">
        <v>0</v>
      </c>
      <c r="H154" s="63">
        <v>0</v>
      </c>
      <c r="I154" s="63">
        <v>0</v>
      </c>
      <c r="J154" s="63">
        <v>0</v>
      </c>
      <c r="K154" s="63">
        <v>0</v>
      </c>
      <c r="L154" s="63">
        <v>0</v>
      </c>
      <c r="M154" s="61">
        <v>0</v>
      </c>
      <c r="N154" s="142">
        <v>0</v>
      </c>
      <c r="O154" s="142">
        <v>0</v>
      </c>
      <c r="P154" s="142">
        <v>0</v>
      </c>
      <c r="Q154" s="142">
        <f t="shared" ref="Q154:Q159" si="41">SUM(E154:P154)</f>
        <v>0</v>
      </c>
      <c r="R154" s="142"/>
      <c r="S154" s="157"/>
      <c r="T154" s="40">
        <f t="shared" si="32"/>
        <v>0</v>
      </c>
    </row>
    <row r="155" spans="1:20" s="84" customFormat="1" ht="24.95" hidden="1" customHeight="1">
      <c r="A155" s="3" t="s">
        <v>338</v>
      </c>
      <c r="B155" s="3" t="s">
        <v>415</v>
      </c>
      <c r="C155" s="3"/>
      <c r="D155" s="26" t="s">
        <v>339</v>
      </c>
      <c r="E155" s="61">
        <v>0</v>
      </c>
      <c r="F155" s="63">
        <v>0</v>
      </c>
      <c r="G155" s="63">
        <v>0</v>
      </c>
      <c r="H155" s="63">
        <v>0</v>
      </c>
      <c r="I155" s="63">
        <v>0</v>
      </c>
      <c r="J155" s="63">
        <v>0</v>
      </c>
      <c r="K155" s="63">
        <v>0</v>
      </c>
      <c r="L155" s="63">
        <v>0</v>
      </c>
      <c r="M155" s="61">
        <v>0</v>
      </c>
      <c r="N155" s="142">
        <v>0</v>
      </c>
      <c r="O155" s="142">
        <v>0</v>
      </c>
      <c r="P155" s="142">
        <v>0</v>
      </c>
      <c r="Q155" s="142">
        <f t="shared" si="41"/>
        <v>0</v>
      </c>
      <c r="R155" s="142"/>
      <c r="S155" s="157"/>
      <c r="T155" s="40">
        <f t="shared" si="32"/>
        <v>0</v>
      </c>
    </row>
    <row r="156" spans="1:20" s="84" customFormat="1" ht="24.95" hidden="1" customHeight="1">
      <c r="A156" s="3" t="s">
        <v>340</v>
      </c>
      <c r="B156" s="3" t="s">
        <v>415</v>
      </c>
      <c r="C156" s="3"/>
      <c r="D156" s="26" t="s">
        <v>341</v>
      </c>
      <c r="E156" s="61">
        <v>0</v>
      </c>
      <c r="F156" s="63">
        <v>0</v>
      </c>
      <c r="G156" s="63">
        <v>0</v>
      </c>
      <c r="H156" s="63">
        <v>0</v>
      </c>
      <c r="I156" s="63">
        <v>0</v>
      </c>
      <c r="J156" s="63">
        <v>0</v>
      </c>
      <c r="K156" s="63">
        <v>0</v>
      </c>
      <c r="L156" s="63">
        <v>0</v>
      </c>
      <c r="M156" s="61">
        <v>0</v>
      </c>
      <c r="N156" s="142">
        <v>0</v>
      </c>
      <c r="O156" s="142">
        <v>0</v>
      </c>
      <c r="P156" s="142">
        <v>0</v>
      </c>
      <c r="Q156" s="142">
        <f t="shared" si="41"/>
        <v>0</v>
      </c>
      <c r="R156" s="142"/>
      <c r="S156" s="157"/>
      <c r="T156" s="40">
        <f t="shared" si="32"/>
        <v>0</v>
      </c>
    </row>
    <row r="157" spans="1:20" s="84" customFormat="1" ht="24.95" customHeight="1">
      <c r="A157" s="3" t="s">
        <v>342</v>
      </c>
      <c r="B157" s="3" t="s">
        <v>405</v>
      </c>
      <c r="C157" s="3"/>
      <c r="D157" s="26" t="s">
        <v>343</v>
      </c>
      <c r="E157" s="61">
        <f>Summary!E$303+Summary!E$638</f>
        <v>0</v>
      </c>
      <c r="F157" s="61">
        <f>Summary!F$303+Summary!F$638</f>
        <v>0</v>
      </c>
      <c r="G157" s="61">
        <f>Summary!G$303+Summary!G$638</f>
        <v>0</v>
      </c>
      <c r="H157" s="61">
        <f>Summary!H$303+Summary!H$638</f>
        <v>0</v>
      </c>
      <c r="I157" s="61">
        <f>Summary!I$303+Summary!I$638</f>
        <v>0</v>
      </c>
      <c r="J157" s="61">
        <f>Summary!J$303+Summary!J$638</f>
        <v>0</v>
      </c>
      <c r="K157" s="61">
        <f>Summary!K$303+Summary!K$638</f>
        <v>0</v>
      </c>
      <c r="L157" s="61">
        <f>Summary!L$303+Summary!L$638</f>
        <v>0</v>
      </c>
      <c r="M157" s="61">
        <f>Summary!M$303+Summary!M$638</f>
        <v>0</v>
      </c>
      <c r="N157" s="61">
        <f>Summary!N$303+Summary!N$638</f>
        <v>0</v>
      </c>
      <c r="O157" s="61">
        <f>Summary!O$303+Summary!O$638</f>
        <v>0</v>
      </c>
      <c r="P157" s="61">
        <f>Summary!P$303+Summary!P$638</f>
        <v>0</v>
      </c>
      <c r="Q157" s="142">
        <f t="shared" si="41"/>
        <v>0</v>
      </c>
      <c r="R157" s="142" t="e">
        <f>Q157/$Q$117</f>
        <v>#DIV/0!</v>
      </c>
      <c r="S157" s="157"/>
      <c r="T157" s="40">
        <f t="shared" si="32"/>
        <v>0</v>
      </c>
    </row>
    <row r="158" spans="1:20" s="84" customFormat="1" ht="24.95" customHeight="1">
      <c r="A158" s="3" t="s">
        <v>344</v>
      </c>
      <c r="B158" s="3" t="s">
        <v>405</v>
      </c>
      <c r="C158" s="3"/>
      <c r="D158" s="26" t="s">
        <v>345</v>
      </c>
      <c r="E158" s="61">
        <f>Summary!E$304+Summary!E$639</f>
        <v>0</v>
      </c>
      <c r="F158" s="61">
        <f>Summary!F$304+Summary!F$639</f>
        <v>0</v>
      </c>
      <c r="G158" s="61">
        <f>Summary!G$304+Summary!G$639</f>
        <v>0</v>
      </c>
      <c r="H158" s="61">
        <f>Summary!H$304+Summary!H$639</f>
        <v>0</v>
      </c>
      <c r="I158" s="61">
        <f>Summary!I$304+Summary!I$639</f>
        <v>0</v>
      </c>
      <c r="J158" s="61">
        <f>Summary!J$304+Summary!J$639</f>
        <v>0</v>
      </c>
      <c r="K158" s="61">
        <f>Summary!K$304+Summary!K$639</f>
        <v>0</v>
      </c>
      <c r="L158" s="61">
        <f>Summary!L$304+Summary!L$639</f>
        <v>0</v>
      </c>
      <c r="M158" s="61">
        <f>Summary!M$304+Summary!M$639</f>
        <v>0</v>
      </c>
      <c r="N158" s="61">
        <f>Summary!N$304+Summary!N$639</f>
        <v>0</v>
      </c>
      <c r="O158" s="61">
        <f>Summary!O$304+Summary!O$639</f>
        <v>0</v>
      </c>
      <c r="P158" s="61">
        <f>Summary!P$304+Summary!P$639</f>
        <v>0</v>
      </c>
      <c r="Q158" s="142">
        <f t="shared" si="41"/>
        <v>0</v>
      </c>
      <c r="R158" s="142" t="e">
        <f>Q158/$Q$117</f>
        <v>#DIV/0!</v>
      </c>
      <c r="S158" s="157"/>
      <c r="T158" s="40">
        <f t="shared" si="32"/>
        <v>0</v>
      </c>
    </row>
    <row r="159" spans="1:20" s="84" customFormat="1" ht="24.95" customHeight="1">
      <c r="A159" s="3" t="s">
        <v>346</v>
      </c>
      <c r="B159" s="3" t="s">
        <v>405</v>
      </c>
      <c r="C159" s="3"/>
      <c r="D159" s="26" t="s">
        <v>347</v>
      </c>
      <c r="E159" s="61">
        <f>Summary!E$305+Summary!E$640</f>
        <v>0</v>
      </c>
      <c r="F159" s="61">
        <f>Summary!F$305+Summary!F$640</f>
        <v>0</v>
      </c>
      <c r="G159" s="61">
        <f>Summary!G$305+Summary!G$640</f>
        <v>0</v>
      </c>
      <c r="H159" s="61">
        <f>Summary!H$305+Summary!H$640</f>
        <v>0</v>
      </c>
      <c r="I159" s="61">
        <f>Summary!I$305+Summary!I$640</f>
        <v>0</v>
      </c>
      <c r="J159" s="61">
        <f>Summary!J$305+Summary!J$640</f>
        <v>0</v>
      </c>
      <c r="K159" s="61">
        <f>Summary!K$305+Summary!K$640</f>
        <v>0</v>
      </c>
      <c r="L159" s="61">
        <f>Summary!L$305+Summary!L$640</f>
        <v>0</v>
      </c>
      <c r="M159" s="61">
        <f>Summary!M$305+Summary!M$640</f>
        <v>0</v>
      </c>
      <c r="N159" s="61">
        <f>Summary!N$305+Summary!N$640</f>
        <v>0</v>
      </c>
      <c r="O159" s="61">
        <f>Summary!O$305+Summary!O$640</f>
        <v>0</v>
      </c>
      <c r="P159" s="61">
        <f>Summary!P$305+Summary!P$640</f>
        <v>0</v>
      </c>
      <c r="Q159" s="142">
        <f t="shared" si="41"/>
        <v>0</v>
      </c>
      <c r="R159" s="142" t="e">
        <f>Q159/$Q$117</f>
        <v>#DIV/0!</v>
      </c>
      <c r="S159" s="157"/>
      <c r="T159" s="40">
        <f t="shared" si="32"/>
        <v>0</v>
      </c>
    </row>
    <row r="160" spans="1:20" s="84" customFormat="1" ht="24.95" customHeight="1">
      <c r="A160" s="3"/>
      <c r="B160" s="3"/>
      <c r="C160" s="3"/>
      <c r="D160" s="19" t="s">
        <v>348</v>
      </c>
      <c r="E160" s="160">
        <f>SUM(E153:E159)</f>
        <v>0</v>
      </c>
      <c r="F160" s="160">
        <f t="shared" ref="F160:Q160" si="42">SUM(F153:F159)</f>
        <v>0</v>
      </c>
      <c r="G160" s="160">
        <f t="shared" si="42"/>
        <v>0</v>
      </c>
      <c r="H160" s="160">
        <f t="shared" si="42"/>
        <v>0</v>
      </c>
      <c r="I160" s="160">
        <f t="shared" si="42"/>
        <v>0</v>
      </c>
      <c r="J160" s="160">
        <f t="shared" si="42"/>
        <v>0</v>
      </c>
      <c r="K160" s="160">
        <f t="shared" si="42"/>
        <v>0</v>
      </c>
      <c r="L160" s="160">
        <f t="shared" si="42"/>
        <v>0</v>
      </c>
      <c r="M160" s="160">
        <f t="shared" si="42"/>
        <v>0</v>
      </c>
      <c r="N160" s="160">
        <f t="shared" si="42"/>
        <v>0</v>
      </c>
      <c r="O160" s="160">
        <f t="shared" si="42"/>
        <v>0</v>
      </c>
      <c r="P160" s="160">
        <f t="shared" si="42"/>
        <v>0</v>
      </c>
      <c r="Q160" s="160">
        <f t="shared" si="42"/>
        <v>0</v>
      </c>
      <c r="R160" s="142" t="e">
        <f>Q160/$Q$117</f>
        <v>#DIV/0!</v>
      </c>
      <c r="S160" s="157"/>
      <c r="T160" s="40">
        <f t="shared" si="32"/>
        <v>0</v>
      </c>
    </row>
    <row r="161" spans="1:20" s="84" customFormat="1" ht="24.95" customHeight="1">
      <c r="A161" s="3"/>
      <c r="B161" s="3"/>
      <c r="C161" s="3"/>
      <c r="D161" s="19" t="s">
        <v>349</v>
      </c>
      <c r="E161" s="160">
        <f>E134+E141+E151+E160</f>
        <v>0</v>
      </c>
      <c r="F161" s="160">
        <f t="shared" ref="F161:Q161" si="43">F134+F141+F151+F160</f>
        <v>0</v>
      </c>
      <c r="G161" s="160">
        <f t="shared" si="43"/>
        <v>0</v>
      </c>
      <c r="H161" s="160">
        <f t="shared" si="43"/>
        <v>0</v>
      </c>
      <c r="I161" s="160">
        <f t="shared" si="43"/>
        <v>0</v>
      </c>
      <c r="J161" s="160">
        <f t="shared" si="43"/>
        <v>0</v>
      </c>
      <c r="K161" s="160">
        <f t="shared" si="43"/>
        <v>0</v>
      </c>
      <c r="L161" s="160">
        <f t="shared" si="43"/>
        <v>0</v>
      </c>
      <c r="M161" s="160">
        <f t="shared" si="43"/>
        <v>0</v>
      </c>
      <c r="N161" s="160">
        <f t="shared" si="43"/>
        <v>0</v>
      </c>
      <c r="O161" s="160">
        <f t="shared" si="43"/>
        <v>0</v>
      </c>
      <c r="P161" s="160">
        <f t="shared" si="43"/>
        <v>0</v>
      </c>
      <c r="Q161" s="160">
        <f t="shared" si="43"/>
        <v>0</v>
      </c>
      <c r="R161" s="142" t="e">
        <f>Q161/$Q$117</f>
        <v>#DIV/0!</v>
      </c>
      <c r="S161" s="157"/>
      <c r="T161" s="40"/>
    </row>
    <row r="162" spans="1:20" s="42" customFormat="1" ht="24.95" customHeight="1">
      <c r="L162" s="161"/>
      <c r="S162" s="157"/>
      <c r="T162" s="40"/>
    </row>
    <row r="163" spans="1:20" s="84" customFormat="1" ht="24.95" customHeight="1">
      <c r="A163" s="3" t="s">
        <v>105</v>
      </c>
      <c r="B163" s="3" t="s">
        <v>405</v>
      </c>
      <c r="C163" s="3"/>
      <c r="D163" s="19" t="s">
        <v>352</v>
      </c>
      <c r="E163" s="68">
        <f>Summary!E$613+Summary!E$278</f>
        <v>0</v>
      </c>
      <c r="F163" s="68">
        <f>Summary!F$613+Summary!F$278</f>
        <v>0</v>
      </c>
      <c r="G163" s="68">
        <f>Summary!G$613+Summary!G$278</f>
        <v>0</v>
      </c>
      <c r="H163" s="68">
        <f>Summary!H$613+Summary!H$278</f>
        <v>0</v>
      </c>
      <c r="I163" s="68">
        <f>Summary!I$613+Summary!I$278</f>
        <v>0</v>
      </c>
      <c r="J163" s="68">
        <f>Summary!J$613+Summary!J$278</f>
        <v>0</v>
      </c>
      <c r="K163" s="68">
        <f>Summary!K$613+Summary!K$278</f>
        <v>0</v>
      </c>
      <c r="L163" s="68">
        <f>Summary!L$613+Summary!L$278</f>
        <v>0</v>
      </c>
      <c r="M163" s="68">
        <f>Summary!M$613+Summary!M$278</f>
        <v>0</v>
      </c>
      <c r="N163" s="68">
        <f>Summary!N$613+Summary!N$278</f>
        <v>0</v>
      </c>
      <c r="O163" s="68">
        <f>Summary!O$613+Summary!O$278</f>
        <v>0</v>
      </c>
      <c r="P163" s="68">
        <f>Summary!P$613+Summary!P$278</f>
        <v>0</v>
      </c>
      <c r="Q163" s="166">
        <f>SUM(E163:P163)/12</f>
        <v>0</v>
      </c>
      <c r="R163" s="167"/>
      <c r="S163" s="157"/>
      <c r="T163" s="40">
        <f t="shared" si="32"/>
        <v>0</v>
      </c>
    </row>
    <row r="171" spans="1:20" ht="26.25" customHeight="1">
      <c r="D171" s="6" t="s">
        <v>647</v>
      </c>
    </row>
    <row r="172" spans="1:20" ht="26.25" customHeight="1">
      <c r="D172" s="6" t="s">
        <v>648</v>
      </c>
      <c r="E172" s="7">
        <v>0</v>
      </c>
      <c r="F172" s="7">
        <v>0</v>
      </c>
      <c r="G172" s="7">
        <v>0</v>
      </c>
      <c r="H172" s="7">
        <v>0</v>
      </c>
      <c r="I172" s="7">
        <v>0</v>
      </c>
      <c r="J172" s="148">
        <v>0</v>
      </c>
      <c r="K172" s="148">
        <v>0</v>
      </c>
      <c r="L172" s="5">
        <v>0</v>
      </c>
      <c r="M172" s="148">
        <v>0</v>
      </c>
      <c r="N172" s="148">
        <v>0</v>
      </c>
      <c r="O172" s="148">
        <v>0</v>
      </c>
      <c r="P172" s="148">
        <v>0</v>
      </c>
      <c r="Q172" s="148">
        <v>0</v>
      </c>
    </row>
    <row r="173" spans="1:20" ht="26.25" customHeight="1">
      <c r="D173" s="6" t="s">
        <v>649</v>
      </c>
      <c r="E173" s="7">
        <f>+E171+E172</f>
        <v>0</v>
      </c>
      <c r="F173" s="7">
        <f t="shared" ref="F173:Q173" si="44">+F171+F172</f>
        <v>0</v>
      </c>
      <c r="G173" s="7">
        <f t="shared" si="44"/>
        <v>0</v>
      </c>
      <c r="H173" s="7">
        <f t="shared" si="44"/>
        <v>0</v>
      </c>
      <c r="I173" s="7">
        <f t="shared" si="44"/>
        <v>0</v>
      </c>
      <c r="J173" s="7">
        <f t="shared" si="44"/>
        <v>0</v>
      </c>
      <c r="K173" s="7">
        <f t="shared" si="44"/>
        <v>0</v>
      </c>
      <c r="L173" s="7">
        <f t="shared" si="44"/>
        <v>0</v>
      </c>
      <c r="M173" s="7">
        <f t="shared" si="44"/>
        <v>0</v>
      </c>
      <c r="N173" s="7">
        <f t="shared" si="44"/>
        <v>0</v>
      </c>
      <c r="O173" s="7">
        <f t="shared" si="44"/>
        <v>0</v>
      </c>
      <c r="P173" s="7">
        <f t="shared" si="44"/>
        <v>0</v>
      </c>
      <c r="Q173" s="7">
        <f t="shared" si="44"/>
        <v>0</v>
      </c>
    </row>
  </sheetData>
  <phoneticPr fontId="57" type="noConversion"/>
  <dataValidations count="4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458670.58_x000d__x000a_" sqref="E12:P12">
      <formula1>0</formula1>
      <formula2>300</formula2>
    </dataValidation>
    <dataValidation type="textLength" errorStyle="information" allowBlank="1" showInputMessage="1" showErrorMessage="1" error="XLBVal:6=44987.9_x000d__x000a_" sqref="E22:P22">
      <formula1>0</formula1>
      <formula2>300</formula2>
    </dataValidation>
    <dataValidation type="textLength" errorStyle="information" allowBlank="1" showInputMessage="1" showErrorMessage="1" error="XLBVal:6=1067901.23_x000d__x000a_" sqref="E36:P36">
      <formula1>0</formula1>
      <formula2>300</formula2>
    </dataValidation>
    <dataValidation type="textLength" errorStyle="information" allowBlank="1" showInputMessage="1" showErrorMessage="1" error="XLBVal:6=209604.31_x000d__x000a_" sqref="E27:P27">
      <formula1>0</formula1>
      <formula2>300</formula2>
    </dataValidation>
    <dataValidation type="textLength" errorStyle="information" allowBlank="1" showInputMessage="1" showErrorMessage="1" error="XLBVal:6=623590.56_x000d__x000a_" sqref="E15:P15">
      <formula1>0</formula1>
      <formula2>300</formula2>
    </dataValidation>
    <dataValidation type="textLength" errorStyle="information" allowBlank="1" showInputMessage="1" showErrorMessage="1" error="XLBVal:6=468630.27_x000d__x000a_" sqref="E13:P13">
      <formula1>0</formula1>
      <formula2>300</formula2>
    </dataValidation>
    <dataValidation type="textLength" errorStyle="information" allowBlank="1" showInputMessage="1" showErrorMessage="1" error="XLBVal:6=4423_x000d__x000a_" sqref="E112:P112">
      <formula1>0</formula1>
      <formula2>300</formula2>
    </dataValidation>
    <dataValidation type="textLength" errorStyle="information" allowBlank="1" showInputMessage="1" showErrorMessage="1" error="XLBVal:2=0_x000d__x000a_" sqref="E14:P14 E16:P16 E23:P23 M26:P26 E33:P33 E35:L35 E108:R108 E117:R117 E131:R131 R163 E39:E63 F37:F63 Q39:Q74 Q112:Q114 Q132:Q133 Q153:Q159 R26:R27 R31:R32 R39:R96 R112:R116 R132:R134 R136:R141 R143:R151 R153:R161 E149:P150 G39:P63 E65:P73 E136:P140 Q97:R107 Q20:R24 Q12:R16 E97:P106 E153:P156 E75:Q96 E115:Q116">
      <formula1>0</formula1>
      <formula2>300</formula2>
    </dataValidation>
    <dataValidation type="textLength" errorStyle="information" allowBlank="1" showInputMessage="1" showErrorMessage="1" error="XLBVal:5=2443234.73_x000d__x000a_" sqref="E29:E30">
      <formula1>0</formula1>
      <formula2>300</formula2>
    </dataValidation>
    <dataValidation type="textLength" errorStyle="information" allowBlank="1" showInputMessage="1" showErrorMessage="1" error="XLBVal:5=1285238.57_x000d__x000a_" sqref="F17:R17 E25:R25 R33 E34:R34 E17:E19 R35:R36">
      <formula1>0</formula1>
      <formula2>300</formula2>
    </dataValidation>
    <dataValidation type="textLength" errorStyle="information" allowBlank="1" showInputMessage="1" showErrorMessage="1" error="XLBVal:6=2660698_x000d__x000a_" sqref="Q143:Q150">
      <formula1>0</formula1>
      <formula2>300</formula2>
    </dataValidation>
    <dataValidation type="textLength" errorStyle="information" allowBlank="1" showInputMessage="1" showErrorMessage="1" error="XLBVal:6=24659.36_x000d__x000a_" sqref="E24:P24">
      <formula1>0</formula1>
      <formula2>300</formula2>
    </dataValidation>
    <dataValidation type="textLength" errorStyle="information" allowBlank="1" showInputMessage="1" showErrorMessage="1" error="XLBVal:6=21065.12_x000d__x000a_" sqref="E32:P32">
      <formula1>0</formula1>
      <formula2>300</formula2>
    </dataValidation>
    <dataValidation type="textLength" errorStyle="information" allowBlank="1" showInputMessage="1" showErrorMessage="1" error="XLBVal:6=38233.14_x000d__x000a_" sqref="E26">
      <formula1>0</formula1>
      <formula2>300</formula2>
    </dataValidation>
    <dataValidation type="textLength" errorStyle="information" allowBlank="1" showInputMessage="1" showErrorMessage="1" error="XLBVal:6=6688509.16_x000d__x000a_" sqref="E37:E38">
      <formula1>0</formula1>
      <formula2>300</formula2>
    </dataValidation>
    <dataValidation type="textLength" errorStyle="information" allowBlank="1" showInputMessage="1" showErrorMessage="1" error="XLBVal:6=27356.03_x000d__x000a_" sqref="F26">
      <formula1>0</formula1>
      <formula2>300</formula2>
    </dataValidation>
    <dataValidation type="textLength" errorStyle="information" allowBlank="1" showInputMessage="1" showErrorMessage="1" error="XLBVal:6=4300_x000d__x000a_" sqref="G26:L26">
      <formula1>0</formula1>
      <formula2>300</formula2>
    </dataValidation>
    <dataValidation type="textLength" errorStyle="information" allowBlank="1" showInputMessage="1" showErrorMessage="1" error="XLBVal:6=603500_x000d__x000a_" sqref="Q26">
      <formula1>0</formula1>
      <formula2>300</formula2>
    </dataValidation>
    <dataValidation type="textLength" errorStyle="information" allowBlank="1" showInputMessage="1" showErrorMessage="1" error="XLBVal:6=127722.23_x000d__x000a_" sqref="E132:P132">
      <formula1>0</formula1>
      <formula2>300</formula2>
    </dataValidation>
    <dataValidation type="textLength" errorStyle="information" allowBlank="1" showInputMessage="1" showErrorMessage="1" error="XLBVal:6=2215012_x000d__x000a_" sqref="Q27">
      <formula1>0</formula1>
      <formula2>300</formula2>
    </dataValidation>
    <dataValidation type="textLength" errorStyle="information" allowBlank="1" showInputMessage="1" showErrorMessage="1" error="XLBVal:6=202115.08_x000d__x000a_" sqref="E28:R28">
      <formula1>0</formula1>
      <formula2>300</formula2>
    </dataValidation>
    <dataValidation type="textLength" errorStyle="information" allowBlank="1" showInputMessage="1" showErrorMessage="1" error="XLBVal:6=694785.13_x000d__x000a_" sqref="E31:P31">
      <formula1>0</formula1>
      <formula2>300</formula2>
    </dataValidation>
    <dataValidation type="textLength" errorStyle="information" allowBlank="1" showInputMessage="1" showErrorMessage="1" error="XLBVal:6=82302.23_x000d__x000a_" sqref="E143:P148">
      <formula1>0</formula1>
      <formula2>300</formula2>
    </dataValidation>
    <dataValidation type="textLength" errorStyle="information" allowBlank="1" showInputMessage="1" showErrorMessage="1" error="XLBVal:6=30983026_x000d__x000a_" sqref="Q36">
      <formula1>0</formula1>
      <formula2>300</formula2>
    </dataValidation>
    <dataValidation type="textLength" errorStyle="information" allowBlank="1" showInputMessage="1" showErrorMessage="1" error="XLBVal:6=686.44_x000d__x000a_" sqref="E64:P64">
      <formula1>0</formula1>
      <formula2>300</formula2>
    </dataValidation>
    <dataValidation type="textLength" errorStyle="information" allowBlank="1" showInputMessage="1" showErrorMessage="1" error="XLBVal:6=20831.4_x000d__x000a_" sqref="E74:P74">
      <formula1>0</formula1>
      <formula2>300</formula2>
    </dataValidation>
    <dataValidation type="textLength" errorStyle="information" allowBlank="1" showInputMessage="1" showErrorMessage="1" error="XLBVal:6=108592.14_x000d__x000a_" sqref="E107:P107">
      <formula1>0</formula1>
      <formula2>300</formula2>
    </dataValidation>
    <dataValidation type="textLength" errorStyle="information" allowBlank="1" showInputMessage="1" showErrorMessage="1" error="XLBVal:6=0_x000d__x000a_" sqref="E109:R109">
      <formula1>0</formula1>
      <formula2>300</formula2>
    </dataValidation>
    <dataValidation type="textLength" errorStyle="information" allowBlank="1" showInputMessage="1" showErrorMessage="1" error="XLBVal:6=21902.24_x000d__x000a_" sqref="E157:P159">
      <formula1>0</formula1>
      <formula2>300</formula2>
    </dataValidation>
    <dataValidation type="textLength" errorStyle="information" allowBlank="1" showInputMessage="1" showErrorMessage="1" error="XLBVal:6=3239.86_x000d__x000a_" sqref="E110:R110">
      <formula1>0</formula1>
      <formula2>300</formula2>
    </dataValidation>
    <dataValidation type="textLength" errorStyle="information" allowBlank="1" showInputMessage="1" showErrorMessage="1" error="XLBVal:6=7235.47_x000d__x000a_" sqref="E20:P21">
      <formula1>0</formula1>
      <formula2>300</formula2>
    </dataValidation>
    <dataValidation type="textLength" errorStyle="information" allowBlank="1" showInputMessage="1" showErrorMessage="1" error="XLBVal:6=3973_x000d__x000a_" sqref="E113:P113">
      <formula1>0</formula1>
      <formula2>300</formula2>
    </dataValidation>
    <dataValidation type="textLength" errorStyle="information" allowBlank="1" showInputMessage="1" showErrorMessage="1" error="XLBVal:6=699_x000d__x000a_" sqref="E114:P114">
      <formula1>0</formula1>
      <formula2>300</formula2>
    </dataValidation>
    <dataValidation type="textLength" errorStyle="information" allowBlank="1" showInputMessage="1" showErrorMessage="1" sqref="E118:L118 H126:L126 H127:R127 E162:I162 E120:E130 H128:L130 F120:R125 F126:G130">
      <formula1>0</formula1>
      <formula2>300</formula2>
    </dataValidation>
    <dataValidation type="textLength" errorStyle="information" allowBlank="1" showInputMessage="1" showErrorMessage="1" error="XLBVal:6=324047.45_x000d__x000a_" sqref="E133:P133">
      <formula1>0</formula1>
      <formula2>300</formula2>
    </dataValidation>
    <dataValidation type="textLength" errorStyle="information" allowBlank="1" showInputMessage="1" showErrorMessage="1" error="XLBVal:6=3678_x000d__x000a_" sqref="E152:L152">
      <formula1>0</formula1>
      <formula2>300</formula2>
    </dataValidation>
    <dataValidation type="textLength" errorStyle="information" allowBlank="1" showInputMessage="1" showErrorMessage="1" error="XLBVal:6=132_x000d__x000a_" sqref="E163:P163">
      <formula1>0</formula1>
      <formula2>300</formula2>
    </dataValidation>
    <dataValidation type="textLength" errorStyle="information" allowBlank="1" showInputMessage="1" showErrorMessage="1" error="XLBVal:6=3780_x000d__x000a_" sqref="Q163">
      <formula1>0</formula1>
      <formula2>300</formula2>
    </dataValidation>
    <dataValidation type="textLength" errorStyle="information" allowBlank="1" showInputMessage="1" showErrorMessage="1" error="XLBVal:5=0_x000d__x000a_" sqref="F18:F19 F29:F30">
      <formula1>0</formula1>
      <formula2>300</formula2>
    </dataValidation>
    <dataValidation type="textLength" errorStyle="information" allowBlank="1" showInputMessage="1" showErrorMessage="1" error="XLBVal:6=25196619_x000d__x000a_" sqref="Q31:Q33">
      <formula1>0</formula1>
      <formula2>300</formula2>
    </dataValidation>
    <dataValidation type="textLength" errorStyle="information" allowBlank="1" showInputMessage="1" showErrorMessage="1" error="XLBVal:6=995082_x000d__x000a_" sqref="Q136:Q140">
      <formula1>0</formula1>
      <formula2>300</formula2>
    </dataValidation>
    <dataValidation type="textLength" errorStyle="information" allowBlank="1" showInputMessage="1" showErrorMessage="1" error="XLBVal:5=3384188.86_x000d__x000a_" sqref="G29:L30">
      <formula1>0</formula1>
      <formula2>300</formula2>
    </dataValidation>
    <dataValidation type="textLength" errorStyle="information" allowBlank="1" showInputMessage="1" showErrorMessage="1" error="XLBVal:6=6595485.04_x000d__x000a_" sqref="G37:L38">
      <formula1>0</formula1>
      <formula2>300</formula2>
    </dataValidation>
    <dataValidation type="textLength" errorStyle="information" allowBlank="1" showInputMessage="1" showErrorMessage="1" error="XLBVal:5=1616616_x000d__x000a_" sqref="G18:L19">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rgb="FFFFFF00"/>
  </sheetPr>
  <dimension ref="A1:T135"/>
  <sheetViews>
    <sheetView zoomScale="42" zoomScaleNormal="42" zoomScaleSheetLayoutView="40" workbookViewId="0">
      <pane xSplit="4" topLeftCell="E1" activePane="topRight" state="frozen"/>
      <selection pane="topRight" activeCell="J58" sqref="J58"/>
    </sheetView>
  </sheetViews>
  <sheetFormatPr defaultColWidth="8.875" defaultRowHeight="26.25" customHeight="1" outlineLevelRow="1" outlineLevelCol="1"/>
  <cols>
    <col min="1" max="3" width="15.5" style="5" hidden="1" customWidth="1" outlineLevel="1"/>
    <col min="4" max="4" width="80.5" style="6" customWidth="1" collapsed="1"/>
    <col min="5" max="9" width="28.5" style="7" customWidth="1"/>
    <col min="10" max="11" width="28.5" style="148" customWidth="1"/>
    <col min="12" max="12" width="28.5" style="5" customWidth="1"/>
    <col min="13" max="18" width="28.5" style="148" customWidth="1"/>
    <col min="19" max="19" width="22.5" style="149" customWidth="1"/>
    <col min="20" max="20" width="22.5" style="148" customWidth="1"/>
    <col min="21" max="16384" width="8.875" style="148"/>
  </cols>
  <sheetData>
    <row r="1" spans="1:20" s="1" customFormat="1" ht="15" customHeight="1" outlineLevel="1">
      <c r="E1" s="9"/>
      <c r="F1" s="9"/>
      <c r="G1" s="9"/>
      <c r="H1" s="9"/>
      <c r="I1" s="9"/>
      <c r="J1" s="9"/>
      <c r="K1" s="9"/>
      <c r="L1" s="9"/>
      <c r="M1" s="9"/>
      <c r="N1" s="9"/>
      <c r="O1" s="9"/>
      <c r="P1" s="9"/>
      <c r="Q1" s="9"/>
      <c r="R1" s="9"/>
      <c r="S1" s="32"/>
    </row>
    <row r="2" spans="1:20" s="1" customFormat="1" ht="15" customHeight="1" outlineLevel="1">
      <c r="E2" s="9"/>
      <c r="F2" s="9"/>
      <c r="G2" s="9"/>
      <c r="H2" s="9"/>
      <c r="I2" s="9"/>
      <c r="J2" s="9"/>
      <c r="K2" s="9"/>
      <c r="L2" s="9"/>
      <c r="M2" s="9"/>
      <c r="N2" s="9"/>
      <c r="O2" s="9"/>
      <c r="P2" s="9"/>
      <c r="Q2" s="9"/>
      <c r="R2" s="9"/>
      <c r="S2" s="32"/>
    </row>
    <row r="3" spans="1:20" s="1" customFormat="1" ht="15" customHeight="1" outlineLevel="1">
      <c r="E3" s="9"/>
      <c r="F3" s="9"/>
      <c r="G3" s="9"/>
      <c r="H3" s="9"/>
      <c r="I3" s="9"/>
      <c r="J3" s="9"/>
      <c r="K3" s="9"/>
      <c r="L3" s="9"/>
      <c r="M3" s="9"/>
      <c r="N3" s="9"/>
      <c r="O3" s="9"/>
      <c r="P3" s="9"/>
      <c r="Q3" s="9"/>
      <c r="R3" s="9"/>
      <c r="S3" s="32"/>
    </row>
    <row r="4" spans="1:20" s="147" customFormat="1" ht="24.95" customHeight="1">
      <c r="D4" s="10" t="str">
        <f>Summary!$D$4</f>
        <v>Hotel Budget Report</v>
      </c>
      <c r="E4" s="150"/>
      <c r="F4" s="150"/>
      <c r="G4" s="151"/>
      <c r="H4" s="152"/>
      <c r="I4" s="152"/>
      <c r="L4" s="2"/>
      <c r="S4" s="156"/>
    </row>
    <row r="5" spans="1:20" s="147" customFormat="1" ht="24.95" customHeight="1">
      <c r="D5" s="10" t="str">
        <f>Summary!$D$5</f>
        <v>酒店预算报表</v>
      </c>
      <c r="E5" s="150"/>
      <c r="F5" s="150"/>
      <c r="G5" s="151"/>
      <c r="H5" s="152"/>
      <c r="I5" s="152"/>
      <c r="L5" s="2"/>
      <c r="S5" s="156"/>
    </row>
    <row r="6" spans="1:20" s="147" customFormat="1" ht="24.95" customHeight="1">
      <c r="D6" s="10" t="s">
        <v>663</v>
      </c>
      <c r="E6" s="152"/>
      <c r="F6" s="152"/>
      <c r="G6" s="152"/>
      <c r="H6" s="152"/>
      <c r="I6" s="152"/>
      <c r="L6" s="2"/>
      <c r="S6" s="156"/>
    </row>
    <row r="7" spans="1:20" s="147" customFormat="1" ht="24.95" customHeight="1">
      <c r="D7" s="15" t="str">
        <f>Summary!D7</f>
        <v>2025</v>
      </c>
      <c r="E7" s="152"/>
      <c r="F7" s="152"/>
      <c r="G7" s="152"/>
      <c r="H7" s="152"/>
      <c r="I7" s="152"/>
      <c r="L7" s="2"/>
      <c r="S7" s="156"/>
    </row>
    <row r="8" spans="1:20" ht="24.95" customHeight="1">
      <c r="A8" s="148"/>
      <c r="B8" s="148"/>
      <c r="C8" s="148"/>
      <c r="D8" s="153"/>
      <c r="E8" s="154"/>
      <c r="F8" s="154"/>
      <c r="G8" s="154"/>
      <c r="H8" s="154"/>
      <c r="I8" s="154"/>
    </row>
    <row r="9" spans="1:20" s="84" customFormat="1" ht="24.95" customHeight="1">
      <c r="A9" s="3"/>
      <c r="B9" s="3"/>
      <c r="C9" s="3"/>
      <c r="D9" s="17"/>
      <c r="E9" s="18">
        <v>1</v>
      </c>
      <c r="F9" s="18">
        <v>2</v>
      </c>
      <c r="G9" s="18">
        <v>3</v>
      </c>
      <c r="H9" s="18">
        <v>4</v>
      </c>
      <c r="I9" s="18">
        <v>5</v>
      </c>
      <c r="J9" s="18">
        <v>6</v>
      </c>
      <c r="K9" s="18">
        <v>7</v>
      </c>
      <c r="L9" s="18">
        <v>8</v>
      </c>
      <c r="M9" s="18">
        <v>9</v>
      </c>
      <c r="N9" s="18">
        <v>10</v>
      </c>
      <c r="O9" s="18">
        <v>11</v>
      </c>
      <c r="P9" s="18">
        <v>12</v>
      </c>
      <c r="Q9" s="18">
        <v>2020</v>
      </c>
      <c r="R9" s="18"/>
      <c r="S9" s="116"/>
      <c r="T9" s="11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c r="S10" s="36" t="s">
        <v>24</v>
      </c>
      <c r="T10" s="37" t="s">
        <v>25</v>
      </c>
    </row>
    <row r="11" spans="1:20" s="84" customFormat="1" ht="24.95" customHeight="1">
      <c r="A11" s="3"/>
      <c r="B11" s="3"/>
      <c r="C11" s="3"/>
      <c r="D11" s="21" t="s">
        <v>664</v>
      </c>
      <c r="E11" s="76"/>
      <c r="F11" s="76"/>
      <c r="G11" s="76"/>
      <c r="H11" s="77"/>
      <c r="I11" s="77"/>
      <c r="J11" s="3"/>
      <c r="K11" s="155"/>
      <c r="L11" s="155"/>
      <c r="M11" s="155"/>
      <c r="S11" s="157"/>
    </row>
    <row r="12" spans="1:20" s="84" customFormat="1" ht="24.95" customHeight="1">
      <c r="A12" s="50" t="s">
        <v>417</v>
      </c>
      <c r="B12" s="3" t="s">
        <v>665</v>
      </c>
      <c r="C12" s="3"/>
      <c r="D12" s="26" t="s">
        <v>666</v>
      </c>
      <c r="E12" s="27"/>
      <c r="F12" s="27"/>
      <c r="G12" s="27"/>
      <c r="H12" s="27"/>
      <c r="I12" s="27"/>
      <c r="J12" s="27"/>
      <c r="K12" s="27"/>
      <c r="L12" s="27"/>
      <c r="M12" s="27"/>
      <c r="N12" s="27"/>
      <c r="O12" s="27"/>
      <c r="P12" s="27"/>
      <c r="Q12" s="155">
        <f>SUM(E12:P12)</f>
        <v>0</v>
      </c>
      <c r="R12" s="155"/>
      <c r="S12" s="157"/>
      <c r="T12" s="40">
        <f>IF(Q12-S12=0,0,(Q12-S12)/S12)</f>
        <v>0</v>
      </c>
    </row>
    <row r="13" spans="1:20" s="84" customFormat="1" ht="24.95" customHeight="1">
      <c r="A13" s="50" t="s">
        <v>667</v>
      </c>
      <c r="B13" s="3" t="s">
        <v>665</v>
      </c>
      <c r="C13" s="3"/>
      <c r="D13" s="26" t="s">
        <v>668</v>
      </c>
      <c r="E13" s="27">
        <v>0</v>
      </c>
      <c r="F13" s="27">
        <v>0</v>
      </c>
      <c r="G13" s="27">
        <v>0</v>
      </c>
      <c r="H13" s="27">
        <v>0</v>
      </c>
      <c r="I13" s="27">
        <v>0</v>
      </c>
      <c r="J13" s="27">
        <v>0</v>
      </c>
      <c r="K13" s="27">
        <v>0</v>
      </c>
      <c r="L13" s="27">
        <v>0</v>
      </c>
      <c r="M13" s="27">
        <v>0</v>
      </c>
      <c r="N13" s="27">
        <v>0</v>
      </c>
      <c r="O13" s="27">
        <v>0</v>
      </c>
      <c r="P13" s="27">
        <v>0</v>
      </c>
      <c r="Q13" s="142">
        <f>SUM(E13:P13)</f>
        <v>0</v>
      </c>
      <c r="R13" s="142"/>
      <c r="S13" s="157"/>
      <c r="T13" s="40">
        <f t="shared" ref="T13:T57" si="0">IF(Q13-S13=0,0,(Q13-S13)/S13)</f>
        <v>0</v>
      </c>
    </row>
    <row r="14" spans="1:20" s="84" customFormat="1" ht="24.95" customHeight="1">
      <c r="A14" s="50" t="s">
        <v>669</v>
      </c>
      <c r="B14" s="3" t="s">
        <v>665</v>
      </c>
      <c r="C14" s="3"/>
      <c r="D14" s="26" t="s">
        <v>670</v>
      </c>
      <c r="E14" s="27">
        <v>0</v>
      </c>
      <c r="F14" s="27">
        <v>0</v>
      </c>
      <c r="G14" s="27">
        <v>0</v>
      </c>
      <c r="H14" s="27">
        <v>0</v>
      </c>
      <c r="I14" s="27">
        <v>0</v>
      </c>
      <c r="J14" s="27">
        <v>0</v>
      </c>
      <c r="K14" s="27">
        <v>0</v>
      </c>
      <c r="L14" s="27">
        <v>0</v>
      </c>
      <c r="M14" s="27">
        <v>0</v>
      </c>
      <c r="N14" s="27">
        <v>0</v>
      </c>
      <c r="O14" s="27">
        <v>0</v>
      </c>
      <c r="P14" s="27">
        <v>0</v>
      </c>
      <c r="Q14" s="142">
        <f>SUM(E14:P14)</f>
        <v>0</v>
      </c>
      <c r="R14" s="142"/>
      <c r="S14" s="157"/>
      <c r="T14" s="40">
        <f t="shared" si="0"/>
        <v>0</v>
      </c>
    </row>
    <row r="15" spans="1:20" s="84" customFormat="1" ht="24.95" customHeight="1">
      <c r="A15" s="50" t="s">
        <v>126</v>
      </c>
      <c r="B15" s="3" t="s">
        <v>665</v>
      </c>
      <c r="C15" s="3"/>
      <c r="D15" s="26" t="s">
        <v>127</v>
      </c>
      <c r="E15" s="27">
        <v>0</v>
      </c>
      <c r="F15" s="27">
        <v>0</v>
      </c>
      <c r="G15" s="27">
        <v>0</v>
      </c>
      <c r="H15" s="27">
        <v>0</v>
      </c>
      <c r="I15" s="27">
        <v>0</v>
      </c>
      <c r="J15" s="27">
        <v>0</v>
      </c>
      <c r="K15" s="27">
        <v>0</v>
      </c>
      <c r="L15" s="27">
        <v>0</v>
      </c>
      <c r="M15" s="27">
        <v>0</v>
      </c>
      <c r="N15" s="27">
        <v>0</v>
      </c>
      <c r="O15" s="27">
        <v>0</v>
      </c>
      <c r="P15" s="27">
        <v>0</v>
      </c>
      <c r="Q15" s="142">
        <f>SUM(E15:P15)</f>
        <v>0</v>
      </c>
      <c r="R15" s="142"/>
      <c r="S15" s="157"/>
      <c r="T15" s="40">
        <f t="shared" si="0"/>
        <v>0</v>
      </c>
    </row>
    <row r="16" spans="1:20" s="84" customFormat="1" ht="24.95" customHeight="1">
      <c r="A16" s="3"/>
      <c r="B16" s="3"/>
      <c r="C16" s="3"/>
      <c r="D16" s="21" t="s">
        <v>671</v>
      </c>
      <c r="E16" s="45">
        <f t="shared" ref="E16:Q16" si="1">SUM(E12:E15)</f>
        <v>0</v>
      </c>
      <c r="F16" s="45">
        <f t="shared" si="1"/>
        <v>0</v>
      </c>
      <c r="G16" s="45">
        <f t="shared" si="1"/>
        <v>0</v>
      </c>
      <c r="H16" s="45">
        <f t="shared" si="1"/>
        <v>0</v>
      </c>
      <c r="I16" s="45">
        <f t="shared" si="1"/>
        <v>0</v>
      </c>
      <c r="J16" s="45">
        <f t="shared" si="1"/>
        <v>0</v>
      </c>
      <c r="K16" s="45">
        <f t="shared" si="1"/>
        <v>0</v>
      </c>
      <c r="L16" s="45">
        <f t="shared" si="1"/>
        <v>0</v>
      </c>
      <c r="M16" s="45">
        <f t="shared" si="1"/>
        <v>0</v>
      </c>
      <c r="N16" s="45">
        <f t="shared" si="1"/>
        <v>0</v>
      </c>
      <c r="O16" s="45">
        <f t="shared" si="1"/>
        <v>0</v>
      </c>
      <c r="P16" s="45">
        <f t="shared" si="1"/>
        <v>0</v>
      </c>
      <c r="Q16" s="45">
        <f t="shared" si="1"/>
        <v>0</v>
      </c>
      <c r="R16" s="45"/>
      <c r="S16" s="157"/>
      <c r="T16" s="40">
        <f t="shared" si="0"/>
        <v>0</v>
      </c>
    </row>
    <row r="17" spans="1:20" s="84" customFormat="1" ht="24.95" customHeight="1">
      <c r="A17" s="3"/>
      <c r="B17" s="3"/>
      <c r="C17" s="3"/>
      <c r="D17" s="26"/>
      <c r="E17" s="113"/>
      <c r="F17" s="24"/>
      <c r="G17" s="113"/>
      <c r="H17" s="113"/>
      <c r="I17" s="113"/>
      <c r="J17" s="113"/>
      <c r="K17" s="113"/>
      <c r="L17" s="113"/>
      <c r="S17" s="157"/>
      <c r="T17" s="40"/>
    </row>
    <row r="18" spans="1:20" s="84" customFormat="1" ht="24.95" customHeight="1">
      <c r="A18" s="50"/>
      <c r="B18" s="3"/>
      <c r="C18" s="3"/>
      <c r="D18" s="21" t="s">
        <v>423</v>
      </c>
      <c r="E18" s="63"/>
      <c r="F18" s="63"/>
      <c r="G18" s="63"/>
      <c r="H18" s="63"/>
      <c r="I18" s="63"/>
      <c r="J18" s="63"/>
      <c r="K18" s="63"/>
      <c r="L18" s="63"/>
      <c r="S18" s="157"/>
      <c r="T18" s="40"/>
    </row>
    <row r="19" spans="1:20" s="84" customFormat="1" ht="24.95" customHeight="1">
      <c r="A19" s="50" t="s">
        <v>428</v>
      </c>
      <c r="B19" s="3" t="s">
        <v>665</v>
      </c>
      <c r="C19" s="3"/>
      <c r="D19" s="26" t="s">
        <v>429</v>
      </c>
      <c r="E19" s="27">
        <f>E12*25.6%</f>
        <v>0</v>
      </c>
      <c r="F19" s="27">
        <f t="shared" ref="F19:O19" si="2">F12*28%</f>
        <v>0</v>
      </c>
      <c r="G19" s="27">
        <f t="shared" si="2"/>
        <v>0</v>
      </c>
      <c r="H19" s="27">
        <f>H12*30.4%</f>
        <v>0</v>
      </c>
      <c r="I19" s="27">
        <f>I12*25%</f>
        <v>0</v>
      </c>
      <c r="J19" s="27">
        <f>J12*21.9%</f>
        <v>0</v>
      </c>
      <c r="K19" s="27">
        <f>K12*24.5%</f>
        <v>0</v>
      </c>
      <c r="L19" s="27">
        <f>L12*27.7%</f>
        <v>0</v>
      </c>
      <c r="M19" s="27">
        <f>M12*25.1%</f>
        <v>0</v>
      </c>
      <c r="N19" s="27">
        <f t="shared" si="2"/>
        <v>0</v>
      </c>
      <c r="O19" s="27">
        <f t="shared" si="2"/>
        <v>0</v>
      </c>
      <c r="P19" s="27">
        <f>P12*26%</f>
        <v>0</v>
      </c>
      <c r="Q19" s="142">
        <f>SUM(E19:P19)</f>
        <v>0</v>
      </c>
      <c r="R19" s="142"/>
      <c r="S19" s="157"/>
      <c r="T19" s="40">
        <f>-IF(Q19-S19=0,0,(Q19-S19)/S19)</f>
        <v>0</v>
      </c>
    </row>
    <row r="20" spans="1:20" s="84" customFormat="1" ht="24.95" customHeight="1">
      <c r="A20" s="3" t="s">
        <v>672</v>
      </c>
      <c r="B20" s="3" t="s">
        <v>665</v>
      </c>
      <c r="C20" s="3"/>
      <c r="D20" s="26" t="s">
        <v>673</v>
      </c>
      <c r="E20" s="27">
        <v>0</v>
      </c>
      <c r="F20" s="27">
        <v>0</v>
      </c>
      <c r="G20" s="27">
        <v>0</v>
      </c>
      <c r="H20" s="27">
        <v>0</v>
      </c>
      <c r="I20" s="27">
        <v>0</v>
      </c>
      <c r="J20" s="27">
        <v>0</v>
      </c>
      <c r="K20" s="27">
        <v>0</v>
      </c>
      <c r="L20" s="27">
        <v>0</v>
      </c>
      <c r="M20" s="27">
        <v>0</v>
      </c>
      <c r="N20" s="27">
        <v>0</v>
      </c>
      <c r="O20" s="27">
        <v>0</v>
      </c>
      <c r="P20" s="27">
        <v>0</v>
      </c>
      <c r="Q20" s="142">
        <f>SUM(E20:P20)</f>
        <v>0</v>
      </c>
      <c r="R20" s="142"/>
      <c r="S20" s="157"/>
      <c r="T20" s="40">
        <f t="shared" ref="T20:T23" si="3">-IF(Q20-S20=0,0,(Q20-S20)/S20)</f>
        <v>0</v>
      </c>
    </row>
    <row r="21" spans="1:20" s="84" customFormat="1" ht="24.95" customHeight="1">
      <c r="A21" s="3" t="s">
        <v>467</v>
      </c>
      <c r="B21" s="3" t="s">
        <v>665</v>
      </c>
      <c r="C21" s="3"/>
      <c r="D21" s="26" t="s">
        <v>674</v>
      </c>
      <c r="E21" s="27">
        <v>0</v>
      </c>
      <c r="F21" s="27">
        <v>0</v>
      </c>
      <c r="G21" s="27">
        <v>0</v>
      </c>
      <c r="H21" s="27">
        <v>0</v>
      </c>
      <c r="I21" s="27">
        <v>0</v>
      </c>
      <c r="J21" s="27">
        <v>0</v>
      </c>
      <c r="K21" s="27">
        <v>0</v>
      </c>
      <c r="L21" s="27">
        <v>0</v>
      </c>
      <c r="M21" s="27">
        <v>0</v>
      </c>
      <c r="N21" s="27">
        <v>0</v>
      </c>
      <c r="O21" s="27">
        <v>0</v>
      </c>
      <c r="P21" s="27">
        <v>0</v>
      </c>
      <c r="Q21" s="142">
        <f>SUM(E21:P21)</f>
        <v>0</v>
      </c>
      <c r="R21" s="142"/>
      <c r="S21" s="157"/>
      <c r="T21" s="40">
        <f t="shared" si="3"/>
        <v>0</v>
      </c>
    </row>
    <row r="22" spans="1:20" s="84" customFormat="1" ht="24.95" customHeight="1">
      <c r="A22" s="3"/>
      <c r="B22" s="3"/>
      <c r="C22" s="3"/>
      <c r="D22" s="21" t="s">
        <v>432</v>
      </c>
      <c r="E22" s="45">
        <f t="shared" ref="E22:P22" si="4">+SUM(E19:E21)</f>
        <v>0</v>
      </c>
      <c r="F22" s="45">
        <f t="shared" si="4"/>
        <v>0</v>
      </c>
      <c r="G22" s="45">
        <f t="shared" si="4"/>
        <v>0</v>
      </c>
      <c r="H22" s="45">
        <f t="shared" si="4"/>
        <v>0</v>
      </c>
      <c r="I22" s="45">
        <f t="shared" si="4"/>
        <v>0</v>
      </c>
      <c r="J22" s="45">
        <f t="shared" si="4"/>
        <v>0</v>
      </c>
      <c r="K22" s="45">
        <f t="shared" si="4"/>
        <v>0</v>
      </c>
      <c r="L22" s="45">
        <f t="shared" si="4"/>
        <v>0</v>
      </c>
      <c r="M22" s="45">
        <f t="shared" si="4"/>
        <v>0</v>
      </c>
      <c r="N22" s="45">
        <f t="shared" si="4"/>
        <v>0</v>
      </c>
      <c r="O22" s="45">
        <f t="shared" si="4"/>
        <v>0</v>
      </c>
      <c r="P22" s="45">
        <f t="shared" si="4"/>
        <v>0</v>
      </c>
      <c r="Q22" s="45">
        <f>SUM(Q19:Q21)</f>
        <v>0</v>
      </c>
      <c r="R22" s="158" t="e">
        <f>Q22/$Q$16</f>
        <v>#DIV/0!</v>
      </c>
      <c r="S22" s="157"/>
      <c r="T22" s="40">
        <f t="shared" si="3"/>
        <v>0</v>
      </c>
    </row>
    <row r="23" spans="1:20" s="84" customFormat="1" ht="24.95" customHeight="1">
      <c r="A23" s="3"/>
      <c r="B23" s="3"/>
      <c r="C23" s="3"/>
      <c r="D23" s="26"/>
      <c r="E23" s="63"/>
      <c r="F23" s="63"/>
      <c r="G23" s="63"/>
      <c r="H23" s="63"/>
      <c r="I23" s="63"/>
      <c r="J23" s="63"/>
      <c r="K23" s="63"/>
      <c r="L23" s="63"/>
      <c r="Q23" s="159"/>
      <c r="S23" s="157"/>
      <c r="T23" s="40">
        <f t="shared" si="3"/>
        <v>0</v>
      </c>
    </row>
    <row r="24" spans="1:20" s="84" customFormat="1" ht="24.95" customHeight="1">
      <c r="A24" s="3" t="s">
        <v>103</v>
      </c>
      <c r="B24" s="3" t="s">
        <v>665</v>
      </c>
      <c r="C24" s="3"/>
      <c r="D24" s="21" t="s">
        <v>137</v>
      </c>
      <c r="E24" s="45">
        <f>+E132</f>
        <v>0</v>
      </c>
      <c r="F24" s="45">
        <f t="shared" ref="F24:P24" si="5">+F132</f>
        <v>0</v>
      </c>
      <c r="G24" s="45">
        <f t="shared" si="5"/>
        <v>0</v>
      </c>
      <c r="H24" s="45">
        <f t="shared" si="5"/>
        <v>0</v>
      </c>
      <c r="I24" s="45">
        <f t="shared" si="5"/>
        <v>0</v>
      </c>
      <c r="J24" s="45">
        <f t="shared" si="5"/>
        <v>0</v>
      </c>
      <c r="K24" s="45">
        <f t="shared" si="5"/>
        <v>0</v>
      </c>
      <c r="L24" s="45">
        <f t="shared" si="5"/>
        <v>0</v>
      </c>
      <c r="M24" s="45">
        <f t="shared" si="5"/>
        <v>0</v>
      </c>
      <c r="N24" s="45">
        <f t="shared" si="5"/>
        <v>0</v>
      </c>
      <c r="O24" s="45">
        <f t="shared" si="5"/>
        <v>0</v>
      </c>
      <c r="P24" s="45">
        <f t="shared" si="5"/>
        <v>0</v>
      </c>
      <c r="Q24" s="45">
        <f>SUM(E24:P24)</f>
        <v>0</v>
      </c>
      <c r="R24" s="45"/>
      <c r="S24" s="157"/>
      <c r="T24" s="40"/>
    </row>
    <row r="25" spans="1:20" s="84" customFormat="1" ht="24.95" customHeight="1">
      <c r="A25" s="3"/>
      <c r="B25" s="3"/>
      <c r="C25" s="3"/>
      <c r="D25" s="26"/>
      <c r="E25" s="63"/>
      <c r="F25" s="63"/>
      <c r="G25" s="63"/>
      <c r="H25" s="63"/>
      <c r="I25" s="63"/>
      <c r="J25" s="63"/>
      <c r="K25" s="63"/>
      <c r="L25" s="63"/>
      <c r="S25" s="157"/>
      <c r="T25" s="40"/>
    </row>
    <row r="26" spans="1:20" s="84" customFormat="1" ht="24.95" customHeight="1">
      <c r="A26" s="3"/>
      <c r="B26" s="3"/>
      <c r="C26" s="3"/>
      <c r="D26" s="21" t="s">
        <v>138</v>
      </c>
      <c r="E26" s="63"/>
      <c r="F26" s="63"/>
      <c r="G26" s="63"/>
      <c r="H26" s="63"/>
      <c r="I26" s="63"/>
      <c r="J26" s="63"/>
      <c r="K26" s="63"/>
      <c r="L26" s="63"/>
      <c r="S26" s="157"/>
      <c r="T26" s="40"/>
    </row>
    <row r="27" spans="1:20" s="84" customFormat="1" ht="24.95" hidden="1" customHeight="1">
      <c r="A27" s="3" t="s">
        <v>140</v>
      </c>
      <c r="B27" s="3" t="s">
        <v>665</v>
      </c>
      <c r="C27" s="3"/>
      <c r="D27" s="26" t="s">
        <v>141</v>
      </c>
      <c r="E27" s="27">
        <v>0</v>
      </c>
      <c r="F27" s="27">
        <v>0</v>
      </c>
      <c r="G27" s="27">
        <v>0</v>
      </c>
      <c r="H27" s="27">
        <v>0</v>
      </c>
      <c r="I27" s="27">
        <v>0</v>
      </c>
      <c r="J27" s="27">
        <v>0</v>
      </c>
      <c r="K27" s="27">
        <v>0</v>
      </c>
      <c r="L27" s="27">
        <v>0</v>
      </c>
      <c r="M27" s="27">
        <v>0</v>
      </c>
      <c r="N27" s="27">
        <v>0</v>
      </c>
      <c r="O27" s="27">
        <v>0</v>
      </c>
      <c r="P27" s="27">
        <v>0</v>
      </c>
      <c r="Q27" s="142">
        <f>SUM(E27:P27)</f>
        <v>0</v>
      </c>
      <c r="R27" s="142"/>
      <c r="S27" s="157"/>
      <c r="T27" s="40">
        <f t="shared" si="0"/>
        <v>0</v>
      </c>
    </row>
    <row r="28" spans="1:20" s="84" customFormat="1" ht="24.95" hidden="1" customHeight="1">
      <c r="A28" s="3" t="s">
        <v>142</v>
      </c>
      <c r="B28" s="3" t="s">
        <v>665</v>
      </c>
      <c r="C28" s="3"/>
      <c r="D28" s="26" t="s">
        <v>143</v>
      </c>
      <c r="E28" s="27">
        <v>0</v>
      </c>
      <c r="F28" s="27">
        <v>0</v>
      </c>
      <c r="G28" s="27">
        <v>0</v>
      </c>
      <c r="H28" s="27">
        <v>0</v>
      </c>
      <c r="I28" s="27">
        <v>0</v>
      </c>
      <c r="J28" s="27">
        <v>0</v>
      </c>
      <c r="K28" s="27">
        <v>0</v>
      </c>
      <c r="L28" s="27">
        <v>0</v>
      </c>
      <c r="M28" s="27">
        <v>0</v>
      </c>
      <c r="N28" s="27">
        <v>0</v>
      </c>
      <c r="O28" s="27">
        <v>0</v>
      </c>
      <c r="P28" s="27">
        <v>0</v>
      </c>
      <c r="Q28" s="142">
        <f t="shared" ref="Q28:Q91" si="6">SUM(E28:P28)</f>
        <v>0</v>
      </c>
      <c r="R28" s="142"/>
      <c r="S28" s="157"/>
      <c r="T28" s="40">
        <f t="shared" si="0"/>
        <v>0</v>
      </c>
    </row>
    <row r="29" spans="1:20" s="84" customFormat="1" ht="24.95" hidden="1" customHeight="1">
      <c r="A29" s="3" t="s">
        <v>144</v>
      </c>
      <c r="B29" s="3" t="s">
        <v>665</v>
      </c>
      <c r="C29" s="3"/>
      <c r="D29" s="26" t="s">
        <v>145</v>
      </c>
      <c r="E29" s="27">
        <v>0</v>
      </c>
      <c r="F29" s="27">
        <v>0</v>
      </c>
      <c r="G29" s="27">
        <v>0</v>
      </c>
      <c r="H29" s="27">
        <v>0</v>
      </c>
      <c r="I29" s="27">
        <v>0</v>
      </c>
      <c r="J29" s="27">
        <v>0</v>
      </c>
      <c r="K29" s="27">
        <v>0</v>
      </c>
      <c r="L29" s="27">
        <v>0</v>
      </c>
      <c r="M29" s="27">
        <v>0</v>
      </c>
      <c r="N29" s="27">
        <v>0</v>
      </c>
      <c r="O29" s="27">
        <v>0</v>
      </c>
      <c r="P29" s="27">
        <v>0</v>
      </c>
      <c r="Q29" s="142">
        <f t="shared" si="6"/>
        <v>0</v>
      </c>
      <c r="R29" s="142"/>
      <c r="S29" s="157"/>
      <c r="T29" s="40">
        <f t="shared" si="0"/>
        <v>0</v>
      </c>
    </row>
    <row r="30" spans="1:20" s="84" customFormat="1" ht="24.95" hidden="1" customHeight="1">
      <c r="A30" s="3" t="s">
        <v>146</v>
      </c>
      <c r="B30" s="3" t="s">
        <v>665</v>
      </c>
      <c r="C30" s="3"/>
      <c r="D30" s="26" t="s">
        <v>147</v>
      </c>
      <c r="E30" s="27">
        <v>0</v>
      </c>
      <c r="F30" s="27">
        <v>0</v>
      </c>
      <c r="G30" s="27">
        <v>0</v>
      </c>
      <c r="H30" s="27">
        <v>0</v>
      </c>
      <c r="I30" s="27">
        <v>0</v>
      </c>
      <c r="J30" s="27">
        <v>0</v>
      </c>
      <c r="K30" s="27">
        <v>0</v>
      </c>
      <c r="L30" s="27">
        <v>0</v>
      </c>
      <c r="M30" s="27">
        <v>0</v>
      </c>
      <c r="N30" s="27">
        <v>0</v>
      </c>
      <c r="O30" s="27">
        <v>0</v>
      </c>
      <c r="P30" s="27">
        <v>0</v>
      </c>
      <c r="Q30" s="142">
        <f t="shared" si="6"/>
        <v>0</v>
      </c>
      <c r="R30" s="142"/>
      <c r="S30" s="157"/>
      <c r="T30" s="40">
        <f t="shared" si="0"/>
        <v>0</v>
      </c>
    </row>
    <row r="31" spans="1:20" s="84" customFormat="1" ht="24.95" hidden="1" customHeight="1">
      <c r="A31" s="3" t="s">
        <v>148</v>
      </c>
      <c r="B31" s="3" t="s">
        <v>665</v>
      </c>
      <c r="C31" s="3"/>
      <c r="D31" s="26" t="s">
        <v>149</v>
      </c>
      <c r="E31" s="27">
        <v>0</v>
      </c>
      <c r="F31" s="27">
        <v>0</v>
      </c>
      <c r="G31" s="27">
        <v>0</v>
      </c>
      <c r="H31" s="27">
        <v>0</v>
      </c>
      <c r="I31" s="27">
        <v>0</v>
      </c>
      <c r="J31" s="27">
        <v>0</v>
      </c>
      <c r="K31" s="27">
        <v>0</v>
      </c>
      <c r="L31" s="27">
        <v>0</v>
      </c>
      <c r="M31" s="27">
        <v>0</v>
      </c>
      <c r="N31" s="27">
        <v>0</v>
      </c>
      <c r="O31" s="27">
        <v>0</v>
      </c>
      <c r="P31" s="27">
        <v>0</v>
      </c>
      <c r="Q31" s="142">
        <f t="shared" si="6"/>
        <v>0</v>
      </c>
      <c r="R31" s="142"/>
      <c r="S31" s="157"/>
      <c r="T31" s="40">
        <f t="shared" si="0"/>
        <v>0</v>
      </c>
    </row>
    <row r="32" spans="1:20" s="84" customFormat="1" ht="24.95" hidden="1" customHeight="1">
      <c r="A32" s="3" t="s">
        <v>150</v>
      </c>
      <c r="B32" s="3" t="s">
        <v>665</v>
      </c>
      <c r="C32" s="3"/>
      <c r="D32" s="26" t="s">
        <v>151</v>
      </c>
      <c r="E32" s="27">
        <v>0</v>
      </c>
      <c r="F32" s="27">
        <v>0</v>
      </c>
      <c r="G32" s="27">
        <v>0</v>
      </c>
      <c r="H32" s="27">
        <v>0</v>
      </c>
      <c r="I32" s="27">
        <v>0</v>
      </c>
      <c r="J32" s="27">
        <v>0</v>
      </c>
      <c r="K32" s="27">
        <v>0</v>
      </c>
      <c r="L32" s="27">
        <v>0</v>
      </c>
      <c r="M32" s="27">
        <v>0</v>
      </c>
      <c r="N32" s="27">
        <v>0</v>
      </c>
      <c r="O32" s="27">
        <v>0</v>
      </c>
      <c r="P32" s="27">
        <v>0</v>
      </c>
      <c r="Q32" s="142">
        <f t="shared" si="6"/>
        <v>0</v>
      </c>
      <c r="R32" s="142"/>
      <c r="S32" s="157"/>
      <c r="T32" s="40">
        <f t="shared" si="0"/>
        <v>0</v>
      </c>
    </row>
    <row r="33" spans="1:20" s="84" customFormat="1" ht="24.95" hidden="1" customHeight="1">
      <c r="A33" s="3" t="s">
        <v>152</v>
      </c>
      <c r="B33" s="3" t="s">
        <v>665</v>
      </c>
      <c r="C33" s="3"/>
      <c r="D33" s="26" t="s">
        <v>153</v>
      </c>
      <c r="E33" s="27">
        <v>0</v>
      </c>
      <c r="F33" s="27">
        <v>0</v>
      </c>
      <c r="G33" s="27">
        <v>0</v>
      </c>
      <c r="H33" s="27">
        <v>0</v>
      </c>
      <c r="I33" s="27">
        <v>0</v>
      </c>
      <c r="J33" s="27">
        <v>0</v>
      </c>
      <c r="K33" s="27">
        <v>0</v>
      </c>
      <c r="L33" s="27">
        <v>0</v>
      </c>
      <c r="M33" s="27">
        <v>0</v>
      </c>
      <c r="N33" s="27">
        <v>0</v>
      </c>
      <c r="O33" s="27">
        <v>0</v>
      </c>
      <c r="P33" s="27">
        <v>0</v>
      </c>
      <c r="Q33" s="142">
        <f t="shared" si="6"/>
        <v>0</v>
      </c>
      <c r="R33" s="142"/>
      <c r="S33" s="157"/>
      <c r="T33" s="40">
        <f t="shared" si="0"/>
        <v>0</v>
      </c>
    </row>
    <row r="34" spans="1:20" s="84" customFormat="1" ht="24.95" hidden="1" customHeight="1">
      <c r="A34" s="3" t="s">
        <v>154</v>
      </c>
      <c r="B34" s="3" t="s">
        <v>665</v>
      </c>
      <c r="C34" s="3"/>
      <c r="D34" s="26" t="s">
        <v>155</v>
      </c>
      <c r="E34" s="27">
        <v>0</v>
      </c>
      <c r="F34" s="27">
        <v>0</v>
      </c>
      <c r="G34" s="27">
        <v>0</v>
      </c>
      <c r="H34" s="27">
        <v>0</v>
      </c>
      <c r="I34" s="27">
        <v>0</v>
      </c>
      <c r="J34" s="27">
        <v>0</v>
      </c>
      <c r="K34" s="27">
        <v>0</v>
      </c>
      <c r="L34" s="27">
        <v>0</v>
      </c>
      <c r="M34" s="27">
        <v>0</v>
      </c>
      <c r="N34" s="27">
        <v>0</v>
      </c>
      <c r="O34" s="27">
        <v>0</v>
      </c>
      <c r="P34" s="27">
        <v>0</v>
      </c>
      <c r="Q34" s="142">
        <f t="shared" si="6"/>
        <v>0</v>
      </c>
      <c r="R34" s="142"/>
      <c r="S34" s="157"/>
      <c r="T34" s="40">
        <f t="shared" si="0"/>
        <v>0</v>
      </c>
    </row>
    <row r="35" spans="1:20" s="84" customFormat="1" ht="24.95" hidden="1" customHeight="1">
      <c r="A35" s="3" t="s">
        <v>156</v>
      </c>
      <c r="B35" s="3" t="s">
        <v>665</v>
      </c>
      <c r="C35" s="3"/>
      <c r="D35" s="26" t="s">
        <v>157</v>
      </c>
      <c r="E35" s="27">
        <v>0</v>
      </c>
      <c r="F35" s="27">
        <v>0</v>
      </c>
      <c r="G35" s="27">
        <v>0</v>
      </c>
      <c r="H35" s="27">
        <v>0</v>
      </c>
      <c r="I35" s="27">
        <v>0</v>
      </c>
      <c r="J35" s="27">
        <v>0</v>
      </c>
      <c r="K35" s="27">
        <v>0</v>
      </c>
      <c r="L35" s="27">
        <v>0</v>
      </c>
      <c r="M35" s="27">
        <v>0</v>
      </c>
      <c r="N35" s="27">
        <v>0</v>
      </c>
      <c r="O35" s="27">
        <v>0</v>
      </c>
      <c r="P35" s="27">
        <v>0</v>
      </c>
      <c r="Q35" s="142">
        <f t="shared" si="6"/>
        <v>0</v>
      </c>
      <c r="R35" s="142"/>
      <c r="S35" s="157"/>
      <c r="T35" s="40">
        <f t="shared" si="0"/>
        <v>0</v>
      </c>
    </row>
    <row r="36" spans="1:20" s="84" customFormat="1" ht="24.95" hidden="1" customHeight="1">
      <c r="A36" s="3" t="s">
        <v>158</v>
      </c>
      <c r="B36" s="3" t="s">
        <v>665</v>
      </c>
      <c r="C36" s="3"/>
      <c r="D36" s="26" t="s">
        <v>159</v>
      </c>
      <c r="E36" s="27">
        <v>0</v>
      </c>
      <c r="F36" s="27">
        <v>0</v>
      </c>
      <c r="G36" s="27">
        <v>0</v>
      </c>
      <c r="H36" s="27">
        <v>0</v>
      </c>
      <c r="I36" s="27">
        <v>0</v>
      </c>
      <c r="J36" s="27">
        <v>0</v>
      </c>
      <c r="K36" s="27">
        <v>0</v>
      </c>
      <c r="L36" s="27">
        <v>0</v>
      </c>
      <c r="M36" s="27">
        <v>0</v>
      </c>
      <c r="N36" s="27">
        <v>0</v>
      </c>
      <c r="O36" s="27">
        <v>0</v>
      </c>
      <c r="P36" s="27">
        <v>0</v>
      </c>
      <c r="Q36" s="142">
        <f t="shared" si="6"/>
        <v>0</v>
      </c>
      <c r="R36" s="142"/>
      <c r="S36" s="157"/>
      <c r="T36" s="40">
        <f t="shared" si="0"/>
        <v>0</v>
      </c>
    </row>
    <row r="37" spans="1:20" s="84" customFormat="1" ht="24.95" hidden="1" customHeight="1">
      <c r="A37" s="3" t="s">
        <v>160</v>
      </c>
      <c r="B37" s="3" t="s">
        <v>665</v>
      </c>
      <c r="C37" s="3"/>
      <c r="D37" s="26" t="s">
        <v>161</v>
      </c>
      <c r="E37" s="27">
        <v>0</v>
      </c>
      <c r="F37" s="27">
        <v>0</v>
      </c>
      <c r="G37" s="27">
        <v>0</v>
      </c>
      <c r="H37" s="27">
        <v>0</v>
      </c>
      <c r="I37" s="27">
        <v>0</v>
      </c>
      <c r="J37" s="27">
        <v>0</v>
      </c>
      <c r="K37" s="27">
        <v>0</v>
      </c>
      <c r="L37" s="27">
        <v>0</v>
      </c>
      <c r="M37" s="27">
        <v>0</v>
      </c>
      <c r="N37" s="27">
        <v>0</v>
      </c>
      <c r="O37" s="27">
        <v>0</v>
      </c>
      <c r="P37" s="27">
        <v>0</v>
      </c>
      <c r="Q37" s="142">
        <f t="shared" si="6"/>
        <v>0</v>
      </c>
      <c r="R37" s="142"/>
      <c r="S37" s="157"/>
      <c r="T37" s="40">
        <f t="shared" si="0"/>
        <v>0</v>
      </c>
    </row>
    <row r="38" spans="1:20" s="84" customFormat="1" ht="24.95" hidden="1" customHeight="1">
      <c r="A38" s="3" t="s">
        <v>162</v>
      </c>
      <c r="B38" s="3" t="s">
        <v>665</v>
      </c>
      <c r="C38" s="3"/>
      <c r="D38" s="26" t="s">
        <v>163</v>
      </c>
      <c r="E38" s="27">
        <v>0</v>
      </c>
      <c r="F38" s="27">
        <v>0</v>
      </c>
      <c r="G38" s="27">
        <v>0</v>
      </c>
      <c r="H38" s="27">
        <v>0</v>
      </c>
      <c r="I38" s="27">
        <v>0</v>
      </c>
      <c r="J38" s="27">
        <v>0</v>
      </c>
      <c r="K38" s="27">
        <v>0</v>
      </c>
      <c r="L38" s="27">
        <v>0</v>
      </c>
      <c r="M38" s="27">
        <v>0</v>
      </c>
      <c r="N38" s="27">
        <v>0</v>
      </c>
      <c r="O38" s="27">
        <v>0</v>
      </c>
      <c r="P38" s="27">
        <v>0</v>
      </c>
      <c r="Q38" s="142">
        <f t="shared" si="6"/>
        <v>0</v>
      </c>
      <c r="R38" s="142"/>
      <c r="S38" s="157"/>
      <c r="T38" s="40">
        <f t="shared" si="0"/>
        <v>0</v>
      </c>
    </row>
    <row r="39" spans="1:20" s="84" customFormat="1" ht="24.95" hidden="1" customHeight="1">
      <c r="A39" s="3" t="s">
        <v>164</v>
      </c>
      <c r="B39" s="3" t="s">
        <v>665</v>
      </c>
      <c r="C39" s="3"/>
      <c r="D39" s="26" t="s">
        <v>165</v>
      </c>
      <c r="E39" s="27">
        <v>0</v>
      </c>
      <c r="F39" s="27">
        <v>0</v>
      </c>
      <c r="G39" s="27">
        <v>0</v>
      </c>
      <c r="H39" s="27">
        <v>0</v>
      </c>
      <c r="I39" s="27">
        <v>0</v>
      </c>
      <c r="J39" s="27">
        <v>0</v>
      </c>
      <c r="K39" s="27">
        <v>0</v>
      </c>
      <c r="L39" s="27">
        <v>0</v>
      </c>
      <c r="M39" s="27">
        <v>0</v>
      </c>
      <c r="N39" s="27">
        <v>0</v>
      </c>
      <c r="O39" s="27">
        <v>0</v>
      </c>
      <c r="P39" s="27">
        <v>0</v>
      </c>
      <c r="Q39" s="142">
        <f t="shared" si="6"/>
        <v>0</v>
      </c>
      <c r="R39" s="142"/>
      <c r="S39" s="157"/>
      <c r="T39" s="40">
        <f t="shared" si="0"/>
        <v>0</v>
      </c>
    </row>
    <row r="40" spans="1:20" s="84" customFormat="1" ht="24.95" hidden="1" customHeight="1">
      <c r="A40" s="3" t="s">
        <v>166</v>
      </c>
      <c r="B40" s="3" t="s">
        <v>665</v>
      </c>
      <c r="C40" s="3"/>
      <c r="D40" s="26" t="s">
        <v>167</v>
      </c>
      <c r="E40" s="27">
        <v>0</v>
      </c>
      <c r="F40" s="27">
        <v>0</v>
      </c>
      <c r="G40" s="27">
        <v>0</v>
      </c>
      <c r="H40" s="27">
        <v>0</v>
      </c>
      <c r="I40" s="27">
        <v>0</v>
      </c>
      <c r="J40" s="27">
        <v>0</v>
      </c>
      <c r="K40" s="27">
        <v>0</v>
      </c>
      <c r="L40" s="27">
        <v>0</v>
      </c>
      <c r="M40" s="27">
        <v>0</v>
      </c>
      <c r="N40" s="27">
        <v>0</v>
      </c>
      <c r="O40" s="27">
        <v>0</v>
      </c>
      <c r="P40" s="27">
        <v>0</v>
      </c>
      <c r="Q40" s="142">
        <f t="shared" si="6"/>
        <v>0</v>
      </c>
      <c r="R40" s="142"/>
      <c r="S40" s="157"/>
      <c r="T40" s="40">
        <f t="shared" si="0"/>
        <v>0</v>
      </c>
    </row>
    <row r="41" spans="1:20" s="84" customFormat="1" ht="24.95" hidden="1" customHeight="1">
      <c r="A41" s="3" t="s">
        <v>168</v>
      </c>
      <c r="B41" s="3" t="s">
        <v>665</v>
      </c>
      <c r="C41" s="3"/>
      <c r="D41" s="26" t="s">
        <v>169</v>
      </c>
      <c r="E41" s="27">
        <v>0</v>
      </c>
      <c r="F41" s="27">
        <v>0</v>
      </c>
      <c r="G41" s="27">
        <v>0</v>
      </c>
      <c r="H41" s="27">
        <v>0</v>
      </c>
      <c r="I41" s="27">
        <v>0</v>
      </c>
      <c r="J41" s="27">
        <v>0</v>
      </c>
      <c r="K41" s="27">
        <v>0</v>
      </c>
      <c r="L41" s="27">
        <v>0</v>
      </c>
      <c r="M41" s="27">
        <v>0</v>
      </c>
      <c r="N41" s="27">
        <v>0</v>
      </c>
      <c r="O41" s="27">
        <v>0</v>
      </c>
      <c r="P41" s="27">
        <v>0</v>
      </c>
      <c r="Q41" s="142">
        <f t="shared" si="6"/>
        <v>0</v>
      </c>
      <c r="R41" s="142"/>
      <c r="S41" s="157"/>
      <c r="T41" s="40">
        <f t="shared" si="0"/>
        <v>0</v>
      </c>
    </row>
    <row r="42" spans="1:20" s="84" customFormat="1" ht="24.95" hidden="1" customHeight="1">
      <c r="A42" s="3" t="s">
        <v>170</v>
      </c>
      <c r="B42" s="3" t="s">
        <v>665</v>
      </c>
      <c r="C42" s="3"/>
      <c r="D42" s="26" t="s">
        <v>171</v>
      </c>
      <c r="E42" s="27">
        <v>0</v>
      </c>
      <c r="F42" s="27">
        <v>0</v>
      </c>
      <c r="G42" s="27">
        <v>0</v>
      </c>
      <c r="H42" s="27">
        <v>0</v>
      </c>
      <c r="I42" s="27">
        <v>0</v>
      </c>
      <c r="J42" s="27">
        <v>0</v>
      </c>
      <c r="K42" s="27">
        <v>0</v>
      </c>
      <c r="L42" s="27">
        <v>0</v>
      </c>
      <c r="M42" s="27">
        <v>0</v>
      </c>
      <c r="N42" s="27">
        <v>0</v>
      </c>
      <c r="O42" s="27">
        <v>0</v>
      </c>
      <c r="P42" s="27">
        <v>0</v>
      </c>
      <c r="Q42" s="142">
        <f t="shared" si="6"/>
        <v>0</v>
      </c>
      <c r="R42" s="142"/>
      <c r="S42" s="157"/>
      <c r="T42" s="40">
        <f t="shared" si="0"/>
        <v>0</v>
      </c>
    </row>
    <row r="43" spans="1:20" s="84" customFormat="1" ht="24.95" hidden="1" customHeight="1">
      <c r="A43" s="3" t="s">
        <v>172</v>
      </c>
      <c r="B43" s="3" t="s">
        <v>665</v>
      </c>
      <c r="C43" s="3"/>
      <c r="D43" s="26" t="s">
        <v>173</v>
      </c>
      <c r="E43" s="27">
        <v>0</v>
      </c>
      <c r="F43" s="27">
        <v>0</v>
      </c>
      <c r="G43" s="27">
        <v>0</v>
      </c>
      <c r="H43" s="27">
        <v>0</v>
      </c>
      <c r="I43" s="27">
        <v>0</v>
      </c>
      <c r="J43" s="27">
        <v>0</v>
      </c>
      <c r="K43" s="27">
        <v>0</v>
      </c>
      <c r="L43" s="27">
        <v>0</v>
      </c>
      <c r="M43" s="27">
        <v>0</v>
      </c>
      <c r="N43" s="27">
        <v>0</v>
      </c>
      <c r="O43" s="27">
        <v>0</v>
      </c>
      <c r="P43" s="27">
        <v>0</v>
      </c>
      <c r="Q43" s="142">
        <f t="shared" si="6"/>
        <v>0</v>
      </c>
      <c r="R43" s="142"/>
      <c r="S43" s="157"/>
      <c r="T43" s="40">
        <f t="shared" si="0"/>
        <v>0</v>
      </c>
    </row>
    <row r="44" spans="1:20" s="84" customFormat="1" ht="24.95" hidden="1" customHeight="1">
      <c r="A44" s="3" t="s">
        <v>174</v>
      </c>
      <c r="B44" s="3" t="s">
        <v>665</v>
      </c>
      <c r="C44" s="3"/>
      <c r="D44" s="26" t="s">
        <v>175</v>
      </c>
      <c r="E44" s="27">
        <v>0</v>
      </c>
      <c r="F44" s="27">
        <v>0</v>
      </c>
      <c r="G44" s="27">
        <v>0</v>
      </c>
      <c r="H44" s="27">
        <v>0</v>
      </c>
      <c r="I44" s="27">
        <v>0</v>
      </c>
      <c r="J44" s="27">
        <v>0</v>
      </c>
      <c r="K44" s="27">
        <v>0</v>
      </c>
      <c r="L44" s="27">
        <v>0</v>
      </c>
      <c r="M44" s="27">
        <v>0</v>
      </c>
      <c r="N44" s="27">
        <v>0</v>
      </c>
      <c r="O44" s="27">
        <v>0</v>
      </c>
      <c r="P44" s="27">
        <v>0</v>
      </c>
      <c r="Q44" s="142">
        <f t="shared" si="6"/>
        <v>0</v>
      </c>
      <c r="R44" s="142"/>
      <c r="S44" s="157"/>
      <c r="T44" s="40">
        <f t="shared" si="0"/>
        <v>0</v>
      </c>
    </row>
    <row r="45" spans="1:20" s="84" customFormat="1" ht="24.95" hidden="1" customHeight="1">
      <c r="A45" s="3" t="s">
        <v>176</v>
      </c>
      <c r="B45" s="3" t="s">
        <v>665</v>
      </c>
      <c r="C45" s="3"/>
      <c r="D45" s="26" t="s">
        <v>177</v>
      </c>
      <c r="E45" s="27">
        <v>0</v>
      </c>
      <c r="F45" s="27">
        <v>0</v>
      </c>
      <c r="G45" s="27">
        <v>0</v>
      </c>
      <c r="H45" s="27">
        <v>0</v>
      </c>
      <c r="I45" s="27">
        <v>0</v>
      </c>
      <c r="J45" s="27">
        <v>0</v>
      </c>
      <c r="K45" s="27">
        <v>0</v>
      </c>
      <c r="L45" s="27">
        <v>0</v>
      </c>
      <c r="M45" s="27">
        <v>0</v>
      </c>
      <c r="N45" s="27">
        <v>0</v>
      </c>
      <c r="O45" s="27">
        <v>0</v>
      </c>
      <c r="P45" s="27">
        <v>0</v>
      </c>
      <c r="Q45" s="142">
        <f t="shared" si="6"/>
        <v>0</v>
      </c>
      <c r="R45" s="142"/>
      <c r="S45" s="157"/>
      <c r="T45" s="40">
        <f t="shared" si="0"/>
        <v>0</v>
      </c>
    </row>
    <row r="46" spans="1:20" s="84" customFormat="1" ht="24.95" hidden="1" customHeight="1">
      <c r="A46" s="3" t="s">
        <v>178</v>
      </c>
      <c r="B46" s="3" t="s">
        <v>665</v>
      </c>
      <c r="C46" s="3"/>
      <c r="D46" s="26" t="s">
        <v>179</v>
      </c>
      <c r="E46" s="27">
        <v>0</v>
      </c>
      <c r="F46" s="27">
        <v>0</v>
      </c>
      <c r="G46" s="27">
        <v>0</v>
      </c>
      <c r="H46" s="27">
        <v>0</v>
      </c>
      <c r="I46" s="27">
        <v>0</v>
      </c>
      <c r="J46" s="27">
        <v>0</v>
      </c>
      <c r="K46" s="27">
        <v>0</v>
      </c>
      <c r="L46" s="27">
        <v>0</v>
      </c>
      <c r="M46" s="27">
        <v>0</v>
      </c>
      <c r="N46" s="27">
        <v>0</v>
      </c>
      <c r="O46" s="27">
        <v>0</v>
      </c>
      <c r="P46" s="27">
        <v>0</v>
      </c>
      <c r="Q46" s="142">
        <f t="shared" si="6"/>
        <v>0</v>
      </c>
      <c r="R46" s="142"/>
      <c r="S46" s="157"/>
      <c r="T46" s="40">
        <f t="shared" si="0"/>
        <v>0</v>
      </c>
    </row>
    <row r="47" spans="1:20" s="84" customFormat="1" ht="24.95" hidden="1" customHeight="1">
      <c r="A47" s="3" t="s">
        <v>180</v>
      </c>
      <c r="B47" s="3" t="s">
        <v>665</v>
      </c>
      <c r="C47" s="3"/>
      <c r="D47" s="26" t="s">
        <v>181</v>
      </c>
      <c r="E47" s="27">
        <v>0</v>
      </c>
      <c r="F47" s="27">
        <v>0</v>
      </c>
      <c r="G47" s="27">
        <v>0</v>
      </c>
      <c r="H47" s="27">
        <v>0</v>
      </c>
      <c r="I47" s="27">
        <v>0</v>
      </c>
      <c r="J47" s="27">
        <v>0</v>
      </c>
      <c r="K47" s="27">
        <v>0</v>
      </c>
      <c r="L47" s="27">
        <v>0</v>
      </c>
      <c r="M47" s="27">
        <v>0</v>
      </c>
      <c r="N47" s="27">
        <v>0</v>
      </c>
      <c r="O47" s="27">
        <v>0</v>
      </c>
      <c r="P47" s="27">
        <v>0</v>
      </c>
      <c r="Q47" s="142">
        <f t="shared" si="6"/>
        <v>0</v>
      </c>
      <c r="R47" s="142"/>
      <c r="S47" s="157"/>
      <c r="T47" s="40">
        <f t="shared" si="0"/>
        <v>0</v>
      </c>
    </row>
    <row r="48" spans="1:20" s="84" customFormat="1" ht="24.95" hidden="1" customHeight="1">
      <c r="A48" s="3" t="s">
        <v>182</v>
      </c>
      <c r="B48" s="3" t="s">
        <v>665</v>
      </c>
      <c r="C48" s="3"/>
      <c r="D48" s="26" t="s">
        <v>183</v>
      </c>
      <c r="E48" s="27">
        <v>0</v>
      </c>
      <c r="F48" s="27">
        <v>0</v>
      </c>
      <c r="G48" s="27">
        <v>0</v>
      </c>
      <c r="H48" s="27">
        <v>0</v>
      </c>
      <c r="I48" s="27">
        <v>0</v>
      </c>
      <c r="J48" s="27">
        <v>0</v>
      </c>
      <c r="K48" s="27">
        <v>0</v>
      </c>
      <c r="L48" s="27">
        <v>0</v>
      </c>
      <c r="M48" s="27">
        <v>0</v>
      </c>
      <c r="N48" s="27">
        <v>0</v>
      </c>
      <c r="O48" s="27">
        <v>0</v>
      </c>
      <c r="P48" s="27">
        <v>0</v>
      </c>
      <c r="Q48" s="142">
        <f t="shared" si="6"/>
        <v>0</v>
      </c>
      <c r="R48" s="142"/>
      <c r="S48" s="157"/>
      <c r="T48" s="40">
        <f t="shared" si="0"/>
        <v>0</v>
      </c>
    </row>
    <row r="49" spans="1:20" s="84" customFormat="1" ht="24.95" hidden="1" customHeight="1">
      <c r="A49" s="3" t="s">
        <v>184</v>
      </c>
      <c r="B49" s="3" t="s">
        <v>665</v>
      </c>
      <c r="C49" s="3"/>
      <c r="D49" s="26" t="s">
        <v>185</v>
      </c>
      <c r="E49" s="27">
        <v>0</v>
      </c>
      <c r="F49" s="27">
        <v>0</v>
      </c>
      <c r="G49" s="27">
        <v>0</v>
      </c>
      <c r="H49" s="27">
        <v>0</v>
      </c>
      <c r="I49" s="27">
        <v>0</v>
      </c>
      <c r="J49" s="27">
        <v>0</v>
      </c>
      <c r="K49" s="27">
        <v>0</v>
      </c>
      <c r="L49" s="27">
        <v>0</v>
      </c>
      <c r="M49" s="27">
        <v>0</v>
      </c>
      <c r="N49" s="27">
        <v>0</v>
      </c>
      <c r="O49" s="27">
        <v>0</v>
      </c>
      <c r="P49" s="27">
        <v>0</v>
      </c>
      <c r="Q49" s="142">
        <f t="shared" si="6"/>
        <v>0</v>
      </c>
      <c r="R49" s="142"/>
      <c r="S49" s="157"/>
      <c r="T49" s="40">
        <f t="shared" si="0"/>
        <v>0</v>
      </c>
    </row>
    <row r="50" spans="1:20" s="84" customFormat="1" ht="24.95" hidden="1" customHeight="1">
      <c r="A50" s="3" t="s">
        <v>186</v>
      </c>
      <c r="B50" s="3" t="s">
        <v>665</v>
      </c>
      <c r="C50" s="3"/>
      <c r="D50" s="26" t="s">
        <v>187</v>
      </c>
      <c r="E50" s="27">
        <v>0</v>
      </c>
      <c r="F50" s="27">
        <v>0</v>
      </c>
      <c r="G50" s="27">
        <v>0</v>
      </c>
      <c r="H50" s="27">
        <v>0</v>
      </c>
      <c r="I50" s="27">
        <v>0</v>
      </c>
      <c r="J50" s="27">
        <v>0</v>
      </c>
      <c r="K50" s="27">
        <v>0</v>
      </c>
      <c r="L50" s="27">
        <v>0</v>
      </c>
      <c r="M50" s="27">
        <v>0</v>
      </c>
      <c r="N50" s="27">
        <v>0</v>
      </c>
      <c r="O50" s="27">
        <v>0</v>
      </c>
      <c r="P50" s="27">
        <v>0</v>
      </c>
      <c r="Q50" s="142">
        <f t="shared" si="6"/>
        <v>0</v>
      </c>
      <c r="R50" s="142"/>
      <c r="S50" s="157"/>
      <c r="T50" s="40">
        <f t="shared" si="0"/>
        <v>0</v>
      </c>
    </row>
    <row r="51" spans="1:20" s="84" customFormat="1" ht="24.95" hidden="1" customHeight="1">
      <c r="A51" s="3" t="s">
        <v>188</v>
      </c>
      <c r="B51" s="3" t="s">
        <v>665</v>
      </c>
      <c r="C51" s="3"/>
      <c r="D51" s="26" t="s">
        <v>189</v>
      </c>
      <c r="E51" s="27">
        <v>0</v>
      </c>
      <c r="F51" s="27">
        <v>0</v>
      </c>
      <c r="G51" s="27">
        <v>0</v>
      </c>
      <c r="H51" s="27">
        <v>0</v>
      </c>
      <c r="I51" s="27">
        <v>0</v>
      </c>
      <c r="J51" s="27">
        <v>0</v>
      </c>
      <c r="K51" s="27">
        <v>0</v>
      </c>
      <c r="L51" s="27">
        <v>0</v>
      </c>
      <c r="M51" s="27">
        <v>0</v>
      </c>
      <c r="N51" s="27">
        <v>0</v>
      </c>
      <c r="O51" s="27">
        <v>0</v>
      </c>
      <c r="P51" s="27">
        <v>0</v>
      </c>
      <c r="Q51" s="142">
        <f t="shared" si="6"/>
        <v>0</v>
      </c>
      <c r="R51" s="142"/>
      <c r="S51" s="157"/>
      <c r="T51" s="40">
        <f t="shared" si="0"/>
        <v>0</v>
      </c>
    </row>
    <row r="52" spans="1:20" s="84" customFormat="1" ht="24.95" hidden="1" customHeight="1">
      <c r="A52" s="3" t="s">
        <v>190</v>
      </c>
      <c r="B52" s="3" t="s">
        <v>665</v>
      </c>
      <c r="C52" s="3"/>
      <c r="D52" s="26" t="s">
        <v>191</v>
      </c>
      <c r="E52" s="27">
        <v>0</v>
      </c>
      <c r="F52" s="27">
        <v>0</v>
      </c>
      <c r="G52" s="27">
        <v>0</v>
      </c>
      <c r="H52" s="27">
        <v>0</v>
      </c>
      <c r="I52" s="27">
        <v>0</v>
      </c>
      <c r="J52" s="27">
        <v>0</v>
      </c>
      <c r="K52" s="27">
        <v>0</v>
      </c>
      <c r="L52" s="27">
        <v>0</v>
      </c>
      <c r="M52" s="27">
        <v>0</v>
      </c>
      <c r="N52" s="27">
        <v>0</v>
      </c>
      <c r="O52" s="27">
        <v>0</v>
      </c>
      <c r="P52" s="27">
        <v>0</v>
      </c>
      <c r="Q52" s="142">
        <f t="shared" si="6"/>
        <v>0</v>
      </c>
      <c r="R52" s="142"/>
      <c r="S52" s="157"/>
      <c r="T52" s="40">
        <f t="shared" si="0"/>
        <v>0</v>
      </c>
    </row>
    <row r="53" spans="1:20" s="84" customFormat="1" ht="24.95" hidden="1" customHeight="1">
      <c r="A53" s="3" t="s">
        <v>192</v>
      </c>
      <c r="B53" s="3" t="s">
        <v>665</v>
      </c>
      <c r="C53" s="3"/>
      <c r="D53" s="26" t="s">
        <v>193</v>
      </c>
      <c r="E53" s="27">
        <v>0</v>
      </c>
      <c r="F53" s="27">
        <v>0</v>
      </c>
      <c r="G53" s="27">
        <v>0</v>
      </c>
      <c r="H53" s="27">
        <v>0</v>
      </c>
      <c r="I53" s="27">
        <v>0</v>
      </c>
      <c r="J53" s="27">
        <v>0</v>
      </c>
      <c r="K53" s="27">
        <v>0</v>
      </c>
      <c r="L53" s="27">
        <v>0</v>
      </c>
      <c r="M53" s="27">
        <v>0</v>
      </c>
      <c r="N53" s="27">
        <v>0</v>
      </c>
      <c r="O53" s="27">
        <v>0</v>
      </c>
      <c r="P53" s="27">
        <v>0</v>
      </c>
      <c r="Q53" s="142">
        <f t="shared" si="6"/>
        <v>0</v>
      </c>
      <c r="R53" s="142"/>
      <c r="S53" s="157"/>
      <c r="T53" s="40">
        <f t="shared" si="0"/>
        <v>0</v>
      </c>
    </row>
    <row r="54" spans="1:20" s="84" customFormat="1" ht="24.95" hidden="1" customHeight="1">
      <c r="A54" s="3" t="s">
        <v>194</v>
      </c>
      <c r="B54" s="3" t="s">
        <v>665</v>
      </c>
      <c r="C54" s="3"/>
      <c r="D54" s="26" t="s">
        <v>195</v>
      </c>
      <c r="E54" s="27">
        <v>0</v>
      </c>
      <c r="F54" s="27">
        <v>0</v>
      </c>
      <c r="G54" s="27">
        <v>0</v>
      </c>
      <c r="H54" s="27">
        <v>0</v>
      </c>
      <c r="I54" s="27">
        <v>0</v>
      </c>
      <c r="J54" s="27">
        <v>0</v>
      </c>
      <c r="K54" s="27">
        <v>0</v>
      </c>
      <c r="L54" s="27">
        <v>0</v>
      </c>
      <c r="M54" s="27">
        <v>0</v>
      </c>
      <c r="N54" s="27">
        <v>0</v>
      </c>
      <c r="O54" s="27">
        <v>0</v>
      </c>
      <c r="P54" s="27">
        <v>0</v>
      </c>
      <c r="Q54" s="142">
        <f t="shared" si="6"/>
        <v>0</v>
      </c>
      <c r="R54" s="142"/>
      <c r="S54" s="157"/>
      <c r="T54" s="40">
        <f t="shared" si="0"/>
        <v>0</v>
      </c>
    </row>
    <row r="55" spans="1:20" s="84" customFormat="1" ht="24.95" hidden="1" customHeight="1">
      <c r="A55" s="3" t="s">
        <v>196</v>
      </c>
      <c r="B55" s="3" t="s">
        <v>665</v>
      </c>
      <c r="C55" s="3"/>
      <c r="D55" s="26" t="s">
        <v>197</v>
      </c>
      <c r="E55" s="27">
        <v>0</v>
      </c>
      <c r="F55" s="27">
        <v>0</v>
      </c>
      <c r="G55" s="27">
        <v>0</v>
      </c>
      <c r="H55" s="27">
        <v>0</v>
      </c>
      <c r="I55" s="27">
        <v>0</v>
      </c>
      <c r="J55" s="27">
        <v>0</v>
      </c>
      <c r="K55" s="27">
        <v>0</v>
      </c>
      <c r="L55" s="27">
        <v>0</v>
      </c>
      <c r="M55" s="27">
        <v>0</v>
      </c>
      <c r="N55" s="27">
        <v>0</v>
      </c>
      <c r="O55" s="27">
        <v>0</v>
      </c>
      <c r="P55" s="27">
        <v>0</v>
      </c>
      <c r="Q55" s="142">
        <f t="shared" si="6"/>
        <v>0</v>
      </c>
      <c r="R55" s="142"/>
      <c r="S55" s="157"/>
      <c r="T55" s="40">
        <f t="shared" si="0"/>
        <v>0</v>
      </c>
    </row>
    <row r="56" spans="1:20" s="84" customFormat="1" ht="24.95" hidden="1" customHeight="1">
      <c r="A56" s="3" t="s">
        <v>198</v>
      </c>
      <c r="B56" s="3" t="s">
        <v>665</v>
      </c>
      <c r="C56" s="3"/>
      <c r="D56" s="26" t="s">
        <v>199</v>
      </c>
      <c r="E56" s="27">
        <v>0</v>
      </c>
      <c r="F56" s="27">
        <v>0</v>
      </c>
      <c r="G56" s="27">
        <v>0</v>
      </c>
      <c r="H56" s="27">
        <v>0</v>
      </c>
      <c r="I56" s="27">
        <v>0</v>
      </c>
      <c r="J56" s="27">
        <v>0</v>
      </c>
      <c r="K56" s="27">
        <v>0</v>
      </c>
      <c r="L56" s="27">
        <v>0</v>
      </c>
      <c r="M56" s="27">
        <v>0</v>
      </c>
      <c r="N56" s="27">
        <v>0</v>
      </c>
      <c r="O56" s="27">
        <v>0</v>
      </c>
      <c r="P56" s="27">
        <v>0</v>
      </c>
      <c r="Q56" s="142">
        <f t="shared" si="6"/>
        <v>0</v>
      </c>
      <c r="R56" s="142"/>
      <c r="S56" s="157"/>
      <c r="T56" s="40">
        <f t="shared" si="0"/>
        <v>0</v>
      </c>
    </row>
    <row r="57" spans="1:20" s="84" customFormat="1" ht="24.95" hidden="1" customHeight="1">
      <c r="A57" s="3" t="s">
        <v>200</v>
      </c>
      <c r="B57" s="3" t="s">
        <v>665</v>
      </c>
      <c r="C57" s="3"/>
      <c r="D57" s="26" t="s">
        <v>201</v>
      </c>
      <c r="E57" s="27">
        <v>0</v>
      </c>
      <c r="F57" s="27">
        <v>0</v>
      </c>
      <c r="G57" s="27">
        <v>0</v>
      </c>
      <c r="H57" s="27">
        <v>0</v>
      </c>
      <c r="I57" s="27">
        <v>0</v>
      </c>
      <c r="J57" s="27">
        <v>0</v>
      </c>
      <c r="K57" s="27">
        <v>0</v>
      </c>
      <c r="L57" s="27">
        <v>0</v>
      </c>
      <c r="M57" s="27">
        <v>0</v>
      </c>
      <c r="N57" s="27">
        <v>0</v>
      </c>
      <c r="O57" s="27">
        <v>0</v>
      </c>
      <c r="P57" s="27">
        <v>0</v>
      </c>
      <c r="Q57" s="142">
        <f t="shared" si="6"/>
        <v>0</v>
      </c>
      <c r="R57" s="142"/>
      <c r="S57" s="157"/>
      <c r="T57" s="40">
        <f t="shared" si="0"/>
        <v>0</v>
      </c>
    </row>
    <row r="58" spans="1:20" s="84" customFormat="1" ht="24.95" customHeight="1">
      <c r="A58" s="3" t="s">
        <v>202</v>
      </c>
      <c r="B58" s="3" t="s">
        <v>665</v>
      </c>
      <c r="C58" s="3"/>
      <c r="D58" s="26" t="s">
        <v>203</v>
      </c>
      <c r="E58" s="27"/>
      <c r="F58" s="27"/>
      <c r="G58" s="27"/>
      <c r="H58" s="27"/>
      <c r="I58" s="27"/>
      <c r="J58" s="27"/>
      <c r="K58" s="27"/>
      <c r="L58" s="27"/>
      <c r="M58" s="27"/>
      <c r="N58" s="27"/>
      <c r="O58" s="27"/>
      <c r="P58" s="27"/>
      <c r="Q58" s="142">
        <f t="shared" si="6"/>
        <v>0</v>
      </c>
      <c r="R58" s="142"/>
      <c r="S58" s="157"/>
      <c r="T58" s="40">
        <f>-IF(Q58-S58=0,0,(Q58-S58)/S58)</f>
        <v>0</v>
      </c>
    </row>
    <row r="59" spans="1:20" s="84" customFormat="1" ht="24.95" hidden="1" customHeight="1">
      <c r="A59" s="3" t="s">
        <v>204</v>
      </c>
      <c r="B59" s="3" t="s">
        <v>665</v>
      </c>
      <c r="C59" s="3"/>
      <c r="D59" s="26" t="s">
        <v>205</v>
      </c>
      <c r="E59" s="27">
        <v>0</v>
      </c>
      <c r="F59" s="27">
        <v>0</v>
      </c>
      <c r="G59" s="27">
        <v>0</v>
      </c>
      <c r="H59" s="27">
        <v>0</v>
      </c>
      <c r="I59" s="27">
        <v>0</v>
      </c>
      <c r="J59" s="27">
        <v>0</v>
      </c>
      <c r="K59" s="27">
        <v>0</v>
      </c>
      <c r="L59" s="27">
        <v>0</v>
      </c>
      <c r="M59" s="27">
        <v>0</v>
      </c>
      <c r="N59" s="27">
        <v>0</v>
      </c>
      <c r="O59" s="27">
        <v>0</v>
      </c>
      <c r="P59" s="27">
        <v>0</v>
      </c>
      <c r="Q59" s="142">
        <f t="shared" si="6"/>
        <v>0</v>
      </c>
      <c r="R59" s="142"/>
      <c r="S59" s="157"/>
      <c r="T59" s="40">
        <f t="shared" ref="T59:T96" si="7">-IF(Q59-S59=0,0,(Q59-S59)/S59)</f>
        <v>0</v>
      </c>
    </row>
    <row r="60" spans="1:20" s="84" customFormat="1" ht="24.95" hidden="1" customHeight="1">
      <c r="A60" s="3" t="s">
        <v>206</v>
      </c>
      <c r="B60" s="3" t="s">
        <v>665</v>
      </c>
      <c r="C60" s="3"/>
      <c r="D60" s="26" t="s">
        <v>207</v>
      </c>
      <c r="E60" s="27">
        <v>0</v>
      </c>
      <c r="F60" s="27">
        <v>0</v>
      </c>
      <c r="G60" s="27">
        <v>0</v>
      </c>
      <c r="H60" s="27">
        <v>0</v>
      </c>
      <c r="I60" s="27">
        <v>0</v>
      </c>
      <c r="J60" s="27">
        <v>0</v>
      </c>
      <c r="K60" s="27">
        <v>0</v>
      </c>
      <c r="L60" s="27">
        <v>0</v>
      </c>
      <c r="M60" s="27">
        <v>0</v>
      </c>
      <c r="N60" s="27">
        <v>0</v>
      </c>
      <c r="O60" s="27">
        <v>0</v>
      </c>
      <c r="P60" s="27">
        <v>0</v>
      </c>
      <c r="Q60" s="142">
        <f t="shared" si="6"/>
        <v>0</v>
      </c>
      <c r="R60" s="142"/>
      <c r="S60" s="157"/>
      <c r="T60" s="40">
        <f t="shared" si="7"/>
        <v>0</v>
      </c>
    </row>
    <row r="61" spans="1:20" s="84" customFormat="1" ht="24.95" hidden="1" customHeight="1">
      <c r="A61" s="3" t="s">
        <v>208</v>
      </c>
      <c r="B61" s="3" t="s">
        <v>665</v>
      </c>
      <c r="C61" s="3"/>
      <c r="D61" s="26" t="s">
        <v>209</v>
      </c>
      <c r="E61" s="27">
        <v>0</v>
      </c>
      <c r="F61" s="27">
        <v>0</v>
      </c>
      <c r="G61" s="27">
        <v>0</v>
      </c>
      <c r="H61" s="27">
        <v>0</v>
      </c>
      <c r="I61" s="27">
        <v>0</v>
      </c>
      <c r="J61" s="27">
        <v>0</v>
      </c>
      <c r="K61" s="27">
        <v>0</v>
      </c>
      <c r="L61" s="27">
        <v>0</v>
      </c>
      <c r="M61" s="27">
        <v>0</v>
      </c>
      <c r="N61" s="27">
        <v>0</v>
      </c>
      <c r="O61" s="27">
        <v>0</v>
      </c>
      <c r="P61" s="27">
        <v>0</v>
      </c>
      <c r="Q61" s="142">
        <f t="shared" si="6"/>
        <v>0</v>
      </c>
      <c r="R61" s="142"/>
      <c r="S61" s="157"/>
      <c r="T61" s="40">
        <f t="shared" si="7"/>
        <v>0</v>
      </c>
    </row>
    <row r="62" spans="1:20" s="84" customFormat="1" ht="24.95" hidden="1" customHeight="1">
      <c r="A62" s="3" t="s">
        <v>210</v>
      </c>
      <c r="B62" s="3" t="s">
        <v>665</v>
      </c>
      <c r="C62" s="3"/>
      <c r="D62" s="26" t="s">
        <v>211</v>
      </c>
      <c r="E62" s="27">
        <v>0</v>
      </c>
      <c r="F62" s="27">
        <v>0</v>
      </c>
      <c r="G62" s="27">
        <v>0</v>
      </c>
      <c r="H62" s="27">
        <v>0</v>
      </c>
      <c r="I62" s="27">
        <v>0</v>
      </c>
      <c r="J62" s="27">
        <v>0</v>
      </c>
      <c r="K62" s="27">
        <v>0</v>
      </c>
      <c r="L62" s="27">
        <v>0</v>
      </c>
      <c r="M62" s="27">
        <v>0</v>
      </c>
      <c r="N62" s="27">
        <v>0</v>
      </c>
      <c r="O62" s="27">
        <v>0</v>
      </c>
      <c r="P62" s="27">
        <v>0</v>
      </c>
      <c r="Q62" s="142">
        <f t="shared" si="6"/>
        <v>0</v>
      </c>
      <c r="R62" s="142"/>
      <c r="S62" s="157"/>
      <c r="T62" s="40">
        <f t="shared" si="7"/>
        <v>0</v>
      </c>
    </row>
    <row r="63" spans="1:20" s="84" customFormat="1" ht="24.95" hidden="1" customHeight="1">
      <c r="A63" s="3" t="s">
        <v>212</v>
      </c>
      <c r="B63" s="3" t="s">
        <v>665</v>
      </c>
      <c r="C63" s="3"/>
      <c r="D63" s="26" t="s">
        <v>213</v>
      </c>
      <c r="E63" s="27">
        <v>0</v>
      </c>
      <c r="F63" s="27">
        <v>0</v>
      </c>
      <c r="G63" s="27">
        <v>0</v>
      </c>
      <c r="H63" s="27">
        <v>0</v>
      </c>
      <c r="I63" s="27">
        <v>0</v>
      </c>
      <c r="J63" s="27">
        <v>0</v>
      </c>
      <c r="K63" s="27">
        <v>0</v>
      </c>
      <c r="L63" s="27">
        <v>0</v>
      </c>
      <c r="M63" s="27">
        <v>0</v>
      </c>
      <c r="N63" s="27">
        <v>0</v>
      </c>
      <c r="O63" s="27">
        <v>0</v>
      </c>
      <c r="P63" s="27">
        <v>0</v>
      </c>
      <c r="Q63" s="142">
        <f t="shared" si="6"/>
        <v>0</v>
      </c>
      <c r="R63" s="142"/>
      <c r="S63" s="157"/>
      <c r="T63" s="40">
        <f t="shared" si="7"/>
        <v>0</v>
      </c>
    </row>
    <row r="64" spans="1:20" s="84" customFormat="1" ht="24.95" hidden="1" customHeight="1">
      <c r="A64" s="3" t="s">
        <v>214</v>
      </c>
      <c r="B64" s="3" t="s">
        <v>665</v>
      </c>
      <c r="C64" s="3"/>
      <c r="D64" s="26" t="s">
        <v>215</v>
      </c>
      <c r="E64" s="27">
        <v>0</v>
      </c>
      <c r="F64" s="27">
        <v>0</v>
      </c>
      <c r="G64" s="27">
        <v>0</v>
      </c>
      <c r="H64" s="27">
        <v>0</v>
      </c>
      <c r="I64" s="27">
        <v>0</v>
      </c>
      <c r="J64" s="27">
        <v>0</v>
      </c>
      <c r="K64" s="27">
        <v>0</v>
      </c>
      <c r="L64" s="27">
        <v>0</v>
      </c>
      <c r="M64" s="27">
        <v>0</v>
      </c>
      <c r="N64" s="27">
        <v>0</v>
      </c>
      <c r="O64" s="27">
        <v>0</v>
      </c>
      <c r="P64" s="27">
        <v>0</v>
      </c>
      <c r="Q64" s="142">
        <f t="shared" si="6"/>
        <v>0</v>
      </c>
      <c r="R64" s="142"/>
      <c r="S64" s="157"/>
      <c r="T64" s="40">
        <f t="shared" si="7"/>
        <v>0</v>
      </c>
    </row>
    <row r="65" spans="1:20" s="84" customFormat="1" ht="24.95" hidden="1" customHeight="1">
      <c r="A65" s="3" t="s">
        <v>216</v>
      </c>
      <c r="B65" s="3" t="s">
        <v>665</v>
      </c>
      <c r="C65" s="3"/>
      <c r="D65" s="26" t="s">
        <v>217</v>
      </c>
      <c r="E65" s="27">
        <v>0</v>
      </c>
      <c r="F65" s="27">
        <v>0</v>
      </c>
      <c r="G65" s="27">
        <v>0</v>
      </c>
      <c r="H65" s="27">
        <v>0</v>
      </c>
      <c r="I65" s="27">
        <v>0</v>
      </c>
      <c r="J65" s="27">
        <v>0</v>
      </c>
      <c r="K65" s="27">
        <v>0</v>
      </c>
      <c r="L65" s="27">
        <v>0</v>
      </c>
      <c r="M65" s="27">
        <v>0</v>
      </c>
      <c r="N65" s="27">
        <v>0</v>
      </c>
      <c r="O65" s="27">
        <v>0</v>
      </c>
      <c r="P65" s="27">
        <v>0</v>
      </c>
      <c r="Q65" s="142">
        <f t="shared" si="6"/>
        <v>0</v>
      </c>
      <c r="R65" s="142"/>
      <c r="S65" s="157"/>
      <c r="T65" s="40">
        <f t="shared" si="7"/>
        <v>0</v>
      </c>
    </row>
    <row r="66" spans="1:20" s="84" customFormat="1" ht="24.95" hidden="1" customHeight="1">
      <c r="A66" s="3" t="s">
        <v>218</v>
      </c>
      <c r="B66" s="3" t="s">
        <v>665</v>
      </c>
      <c r="C66" s="3"/>
      <c r="D66" s="26" t="s">
        <v>219</v>
      </c>
      <c r="E66" s="27">
        <v>0</v>
      </c>
      <c r="F66" s="27">
        <v>0</v>
      </c>
      <c r="G66" s="27">
        <v>0</v>
      </c>
      <c r="H66" s="27">
        <v>0</v>
      </c>
      <c r="I66" s="27">
        <v>0</v>
      </c>
      <c r="J66" s="27">
        <v>0</v>
      </c>
      <c r="K66" s="27">
        <v>0</v>
      </c>
      <c r="L66" s="27">
        <v>0</v>
      </c>
      <c r="M66" s="27">
        <v>0</v>
      </c>
      <c r="N66" s="27">
        <v>0</v>
      </c>
      <c r="O66" s="27">
        <v>0</v>
      </c>
      <c r="P66" s="27">
        <v>0</v>
      </c>
      <c r="Q66" s="142">
        <f t="shared" si="6"/>
        <v>0</v>
      </c>
      <c r="R66" s="142"/>
      <c r="S66" s="157"/>
      <c r="T66" s="40">
        <f t="shared" si="7"/>
        <v>0</v>
      </c>
    </row>
    <row r="67" spans="1:20" s="84" customFormat="1" ht="24.95" hidden="1" customHeight="1">
      <c r="A67" s="3" t="s">
        <v>220</v>
      </c>
      <c r="B67" s="3" t="s">
        <v>665</v>
      </c>
      <c r="C67" s="3"/>
      <c r="D67" s="26" t="s">
        <v>221</v>
      </c>
      <c r="E67" s="27">
        <v>0</v>
      </c>
      <c r="F67" s="27">
        <v>0</v>
      </c>
      <c r="G67" s="27">
        <v>0</v>
      </c>
      <c r="H67" s="27">
        <v>0</v>
      </c>
      <c r="I67" s="27">
        <v>0</v>
      </c>
      <c r="J67" s="27">
        <v>0</v>
      </c>
      <c r="K67" s="27">
        <v>0</v>
      </c>
      <c r="L67" s="27">
        <v>0</v>
      </c>
      <c r="M67" s="27">
        <v>0</v>
      </c>
      <c r="N67" s="27">
        <v>0</v>
      </c>
      <c r="O67" s="27">
        <v>0</v>
      </c>
      <c r="P67" s="27">
        <v>0</v>
      </c>
      <c r="Q67" s="142">
        <f t="shared" si="6"/>
        <v>0</v>
      </c>
      <c r="R67" s="142"/>
      <c r="S67" s="157"/>
      <c r="T67" s="40">
        <f t="shared" si="7"/>
        <v>0</v>
      </c>
    </row>
    <row r="68" spans="1:20" s="84" customFormat="1" ht="24.95" hidden="1" customHeight="1">
      <c r="A68" s="3" t="s">
        <v>222</v>
      </c>
      <c r="B68" s="3" t="s">
        <v>665</v>
      </c>
      <c r="C68" s="3"/>
      <c r="D68" s="26" t="s">
        <v>223</v>
      </c>
      <c r="E68" s="27">
        <v>0</v>
      </c>
      <c r="F68" s="27">
        <v>0</v>
      </c>
      <c r="G68" s="27">
        <v>0</v>
      </c>
      <c r="H68" s="27">
        <v>0</v>
      </c>
      <c r="I68" s="27">
        <v>0</v>
      </c>
      <c r="J68" s="27">
        <v>0</v>
      </c>
      <c r="K68" s="27">
        <v>0</v>
      </c>
      <c r="L68" s="27">
        <v>0</v>
      </c>
      <c r="M68" s="27">
        <v>0</v>
      </c>
      <c r="N68" s="27">
        <v>0</v>
      </c>
      <c r="O68" s="27">
        <v>0</v>
      </c>
      <c r="P68" s="27">
        <v>0</v>
      </c>
      <c r="Q68" s="142">
        <f t="shared" si="6"/>
        <v>0</v>
      </c>
      <c r="R68" s="142"/>
      <c r="S68" s="157"/>
      <c r="T68" s="40">
        <f t="shared" si="7"/>
        <v>0</v>
      </c>
    </row>
    <row r="69" spans="1:20" s="84" customFormat="1" ht="24.95" hidden="1" customHeight="1">
      <c r="A69" s="3" t="s">
        <v>224</v>
      </c>
      <c r="B69" s="3" t="s">
        <v>665</v>
      </c>
      <c r="C69" s="3"/>
      <c r="D69" s="26" t="s">
        <v>225</v>
      </c>
      <c r="E69" s="27">
        <v>0</v>
      </c>
      <c r="F69" s="27">
        <v>0</v>
      </c>
      <c r="G69" s="27">
        <v>0</v>
      </c>
      <c r="H69" s="27">
        <v>0</v>
      </c>
      <c r="I69" s="27">
        <v>0</v>
      </c>
      <c r="J69" s="27">
        <v>0</v>
      </c>
      <c r="K69" s="27">
        <v>0</v>
      </c>
      <c r="L69" s="27">
        <v>0</v>
      </c>
      <c r="M69" s="27">
        <v>0</v>
      </c>
      <c r="N69" s="27">
        <v>0</v>
      </c>
      <c r="O69" s="27">
        <v>0</v>
      </c>
      <c r="P69" s="27">
        <v>0</v>
      </c>
      <c r="Q69" s="142">
        <f t="shared" si="6"/>
        <v>0</v>
      </c>
      <c r="R69" s="142"/>
      <c r="S69" s="157"/>
      <c r="T69" s="40">
        <f t="shared" si="7"/>
        <v>0</v>
      </c>
    </row>
    <row r="70" spans="1:20" s="84" customFormat="1" ht="24.95" hidden="1" customHeight="1">
      <c r="A70" s="3" t="s">
        <v>226</v>
      </c>
      <c r="B70" s="3" t="s">
        <v>665</v>
      </c>
      <c r="C70" s="3"/>
      <c r="D70" s="26" t="s">
        <v>227</v>
      </c>
      <c r="E70" s="27">
        <v>0</v>
      </c>
      <c r="F70" s="27">
        <v>0</v>
      </c>
      <c r="G70" s="27">
        <v>0</v>
      </c>
      <c r="H70" s="27">
        <v>0</v>
      </c>
      <c r="I70" s="27">
        <v>0</v>
      </c>
      <c r="J70" s="27">
        <v>0</v>
      </c>
      <c r="K70" s="27">
        <v>0</v>
      </c>
      <c r="L70" s="27">
        <v>0</v>
      </c>
      <c r="M70" s="27">
        <v>0</v>
      </c>
      <c r="N70" s="27">
        <v>0</v>
      </c>
      <c r="O70" s="27">
        <v>0</v>
      </c>
      <c r="P70" s="27">
        <v>0</v>
      </c>
      <c r="Q70" s="142">
        <f t="shared" si="6"/>
        <v>0</v>
      </c>
      <c r="R70" s="142"/>
      <c r="S70" s="157"/>
      <c r="T70" s="40">
        <f t="shared" si="7"/>
        <v>0</v>
      </c>
    </row>
    <row r="71" spans="1:20" s="84" customFormat="1" ht="24.95" hidden="1" customHeight="1">
      <c r="A71" s="3" t="s">
        <v>228</v>
      </c>
      <c r="B71" s="3" t="s">
        <v>665</v>
      </c>
      <c r="C71" s="3"/>
      <c r="D71" s="26" t="s">
        <v>229</v>
      </c>
      <c r="E71" s="27">
        <v>0</v>
      </c>
      <c r="F71" s="27">
        <v>0</v>
      </c>
      <c r="G71" s="27">
        <v>0</v>
      </c>
      <c r="H71" s="27">
        <v>0</v>
      </c>
      <c r="I71" s="27">
        <v>0</v>
      </c>
      <c r="J71" s="27">
        <v>0</v>
      </c>
      <c r="K71" s="27">
        <v>0</v>
      </c>
      <c r="L71" s="27">
        <v>0</v>
      </c>
      <c r="M71" s="27">
        <v>0</v>
      </c>
      <c r="N71" s="27">
        <v>0</v>
      </c>
      <c r="O71" s="27">
        <v>0</v>
      </c>
      <c r="P71" s="27">
        <v>0</v>
      </c>
      <c r="Q71" s="142">
        <f t="shared" si="6"/>
        <v>0</v>
      </c>
      <c r="R71" s="142"/>
      <c r="S71" s="157"/>
      <c r="T71" s="40">
        <f t="shared" si="7"/>
        <v>0</v>
      </c>
    </row>
    <row r="72" spans="1:20" s="84" customFormat="1" ht="24.95" hidden="1" customHeight="1">
      <c r="A72" s="3" t="s">
        <v>230</v>
      </c>
      <c r="B72" s="3" t="s">
        <v>665</v>
      </c>
      <c r="C72" s="3"/>
      <c r="D72" s="26" t="s">
        <v>231</v>
      </c>
      <c r="E72" s="27">
        <v>0</v>
      </c>
      <c r="F72" s="27">
        <v>0</v>
      </c>
      <c r="G72" s="27">
        <v>0</v>
      </c>
      <c r="H72" s="27">
        <v>0</v>
      </c>
      <c r="I72" s="27">
        <v>0</v>
      </c>
      <c r="J72" s="27">
        <v>0</v>
      </c>
      <c r="K72" s="27">
        <v>0</v>
      </c>
      <c r="L72" s="27">
        <v>0</v>
      </c>
      <c r="M72" s="27">
        <v>0</v>
      </c>
      <c r="N72" s="27">
        <v>0</v>
      </c>
      <c r="O72" s="27">
        <v>0</v>
      </c>
      <c r="P72" s="27">
        <v>0</v>
      </c>
      <c r="Q72" s="142">
        <f t="shared" si="6"/>
        <v>0</v>
      </c>
      <c r="R72" s="142"/>
      <c r="S72" s="157"/>
      <c r="T72" s="40">
        <f t="shared" si="7"/>
        <v>0</v>
      </c>
    </row>
    <row r="73" spans="1:20" s="84" customFormat="1" ht="24.95" hidden="1" customHeight="1">
      <c r="A73" s="3" t="s">
        <v>232</v>
      </c>
      <c r="B73" s="3" t="s">
        <v>665</v>
      </c>
      <c r="C73" s="3"/>
      <c r="D73" s="26" t="s">
        <v>233</v>
      </c>
      <c r="E73" s="27">
        <v>0</v>
      </c>
      <c r="F73" s="27">
        <v>0</v>
      </c>
      <c r="G73" s="27">
        <v>0</v>
      </c>
      <c r="H73" s="27">
        <v>0</v>
      </c>
      <c r="I73" s="27">
        <v>0</v>
      </c>
      <c r="J73" s="27">
        <v>0</v>
      </c>
      <c r="K73" s="27">
        <v>0</v>
      </c>
      <c r="L73" s="27">
        <v>0</v>
      </c>
      <c r="M73" s="27">
        <v>0</v>
      </c>
      <c r="N73" s="27">
        <v>0</v>
      </c>
      <c r="O73" s="27">
        <v>0</v>
      </c>
      <c r="P73" s="27">
        <v>0</v>
      </c>
      <c r="Q73" s="142">
        <f t="shared" si="6"/>
        <v>0</v>
      </c>
      <c r="R73" s="142"/>
      <c r="S73" s="157"/>
      <c r="T73" s="40">
        <f t="shared" si="7"/>
        <v>0</v>
      </c>
    </row>
    <row r="74" spans="1:20" s="84" customFormat="1" ht="24.95" hidden="1" customHeight="1">
      <c r="A74" s="3" t="s">
        <v>434</v>
      </c>
      <c r="B74" s="3" t="s">
        <v>665</v>
      </c>
      <c r="C74" s="3"/>
      <c r="D74" s="26" t="s">
        <v>435</v>
      </c>
      <c r="E74" s="27">
        <v>0</v>
      </c>
      <c r="F74" s="27">
        <v>0</v>
      </c>
      <c r="G74" s="27">
        <v>0</v>
      </c>
      <c r="H74" s="27">
        <v>0</v>
      </c>
      <c r="I74" s="27">
        <v>0</v>
      </c>
      <c r="J74" s="27">
        <v>0</v>
      </c>
      <c r="K74" s="27">
        <v>0</v>
      </c>
      <c r="L74" s="27">
        <v>0</v>
      </c>
      <c r="M74" s="27">
        <v>0</v>
      </c>
      <c r="N74" s="27">
        <v>0</v>
      </c>
      <c r="O74" s="27">
        <v>0</v>
      </c>
      <c r="P74" s="27">
        <v>0</v>
      </c>
      <c r="Q74" s="142">
        <f t="shared" si="6"/>
        <v>0</v>
      </c>
      <c r="R74" s="142"/>
      <c r="S74" s="157"/>
      <c r="T74" s="40">
        <f t="shared" si="7"/>
        <v>0</v>
      </c>
    </row>
    <row r="75" spans="1:20" s="84" customFormat="1" ht="24.95" hidden="1" customHeight="1">
      <c r="A75" s="3" t="s">
        <v>234</v>
      </c>
      <c r="B75" s="3" t="s">
        <v>665</v>
      </c>
      <c r="C75" s="3"/>
      <c r="D75" s="26" t="s">
        <v>235</v>
      </c>
      <c r="E75" s="27">
        <v>0</v>
      </c>
      <c r="F75" s="27">
        <v>0</v>
      </c>
      <c r="G75" s="27">
        <v>0</v>
      </c>
      <c r="H75" s="27">
        <v>0</v>
      </c>
      <c r="I75" s="27">
        <v>0</v>
      </c>
      <c r="J75" s="27">
        <v>0</v>
      </c>
      <c r="K75" s="27">
        <v>0</v>
      </c>
      <c r="L75" s="27">
        <v>0</v>
      </c>
      <c r="M75" s="27">
        <v>0</v>
      </c>
      <c r="N75" s="27">
        <v>0</v>
      </c>
      <c r="O75" s="27">
        <v>0</v>
      </c>
      <c r="P75" s="27">
        <v>0</v>
      </c>
      <c r="Q75" s="142">
        <f t="shared" si="6"/>
        <v>0</v>
      </c>
      <c r="R75" s="142"/>
      <c r="S75" s="157"/>
      <c r="T75" s="40">
        <f t="shared" si="7"/>
        <v>0</v>
      </c>
    </row>
    <row r="76" spans="1:20" s="84" customFormat="1" ht="24.95" hidden="1" customHeight="1">
      <c r="A76" s="3" t="s">
        <v>236</v>
      </c>
      <c r="B76" s="3" t="s">
        <v>665</v>
      </c>
      <c r="C76" s="3"/>
      <c r="D76" s="26" t="s">
        <v>237</v>
      </c>
      <c r="E76" s="27">
        <v>0</v>
      </c>
      <c r="F76" s="27">
        <v>0</v>
      </c>
      <c r="G76" s="27">
        <v>0</v>
      </c>
      <c r="H76" s="27">
        <v>0</v>
      </c>
      <c r="I76" s="27">
        <v>0</v>
      </c>
      <c r="J76" s="27">
        <v>0</v>
      </c>
      <c r="K76" s="27">
        <v>0</v>
      </c>
      <c r="L76" s="27">
        <v>0</v>
      </c>
      <c r="M76" s="27">
        <v>0</v>
      </c>
      <c r="N76" s="27">
        <v>0</v>
      </c>
      <c r="O76" s="27">
        <v>0</v>
      </c>
      <c r="P76" s="27">
        <v>0</v>
      </c>
      <c r="Q76" s="142">
        <f t="shared" si="6"/>
        <v>0</v>
      </c>
      <c r="R76" s="142"/>
      <c r="S76" s="157"/>
      <c r="T76" s="40">
        <f t="shared" si="7"/>
        <v>0</v>
      </c>
    </row>
    <row r="77" spans="1:20" s="84" customFormat="1" ht="24.95" hidden="1" customHeight="1">
      <c r="A77" s="3" t="s">
        <v>238</v>
      </c>
      <c r="B77" s="3" t="s">
        <v>665</v>
      </c>
      <c r="C77" s="3"/>
      <c r="D77" s="26" t="s">
        <v>239</v>
      </c>
      <c r="E77" s="27">
        <v>0</v>
      </c>
      <c r="F77" s="27">
        <v>0</v>
      </c>
      <c r="G77" s="27">
        <v>0</v>
      </c>
      <c r="H77" s="27">
        <v>0</v>
      </c>
      <c r="I77" s="27">
        <v>0</v>
      </c>
      <c r="J77" s="27">
        <v>0</v>
      </c>
      <c r="K77" s="27">
        <v>0</v>
      </c>
      <c r="L77" s="27">
        <v>0</v>
      </c>
      <c r="M77" s="27">
        <v>0</v>
      </c>
      <c r="N77" s="27">
        <v>0</v>
      </c>
      <c r="O77" s="27">
        <v>0</v>
      </c>
      <c r="P77" s="27">
        <v>0</v>
      </c>
      <c r="Q77" s="142">
        <f t="shared" si="6"/>
        <v>0</v>
      </c>
      <c r="R77" s="142"/>
      <c r="S77" s="157"/>
      <c r="T77" s="40">
        <f t="shared" si="7"/>
        <v>0</v>
      </c>
    </row>
    <row r="78" spans="1:20" s="84" customFormat="1" ht="24.95" hidden="1" customHeight="1">
      <c r="A78" s="3" t="s">
        <v>240</v>
      </c>
      <c r="B78" s="3" t="s">
        <v>665</v>
      </c>
      <c r="C78" s="3"/>
      <c r="D78" s="26" t="s">
        <v>241</v>
      </c>
      <c r="E78" s="27">
        <v>0</v>
      </c>
      <c r="F78" s="27">
        <v>0</v>
      </c>
      <c r="G78" s="27">
        <v>0</v>
      </c>
      <c r="H78" s="27">
        <v>0</v>
      </c>
      <c r="I78" s="27">
        <v>0</v>
      </c>
      <c r="J78" s="27">
        <v>0</v>
      </c>
      <c r="K78" s="27">
        <v>0</v>
      </c>
      <c r="L78" s="27">
        <v>0</v>
      </c>
      <c r="M78" s="27">
        <v>0</v>
      </c>
      <c r="N78" s="27">
        <v>0</v>
      </c>
      <c r="O78" s="27">
        <v>0</v>
      </c>
      <c r="P78" s="27">
        <v>0</v>
      </c>
      <c r="Q78" s="142">
        <f t="shared" si="6"/>
        <v>0</v>
      </c>
      <c r="R78" s="142"/>
      <c r="S78" s="157"/>
      <c r="T78" s="40">
        <f t="shared" si="7"/>
        <v>0</v>
      </c>
    </row>
    <row r="79" spans="1:20" s="84" customFormat="1" ht="24.95" hidden="1" customHeight="1">
      <c r="A79" s="3" t="s">
        <v>242</v>
      </c>
      <c r="B79" s="3" t="s">
        <v>665</v>
      </c>
      <c r="C79" s="3"/>
      <c r="D79" s="26" t="s">
        <v>243</v>
      </c>
      <c r="E79" s="27">
        <v>0</v>
      </c>
      <c r="F79" s="27">
        <v>0</v>
      </c>
      <c r="G79" s="27">
        <v>0</v>
      </c>
      <c r="H79" s="27">
        <v>0</v>
      </c>
      <c r="I79" s="27">
        <v>0</v>
      </c>
      <c r="J79" s="27">
        <v>0</v>
      </c>
      <c r="K79" s="27">
        <v>0</v>
      </c>
      <c r="L79" s="27">
        <v>0</v>
      </c>
      <c r="M79" s="27">
        <v>0</v>
      </c>
      <c r="N79" s="27">
        <v>0</v>
      </c>
      <c r="O79" s="27">
        <v>0</v>
      </c>
      <c r="P79" s="27">
        <v>0</v>
      </c>
      <c r="Q79" s="142">
        <f t="shared" si="6"/>
        <v>0</v>
      </c>
      <c r="R79" s="142"/>
      <c r="S79" s="157"/>
      <c r="T79" s="40">
        <f t="shared" si="7"/>
        <v>0</v>
      </c>
    </row>
    <row r="80" spans="1:20" s="84" customFormat="1" ht="24.95" hidden="1" customHeight="1">
      <c r="A80" s="3" t="s">
        <v>244</v>
      </c>
      <c r="B80" s="3" t="s">
        <v>665</v>
      </c>
      <c r="C80" s="3"/>
      <c r="D80" s="26" t="s">
        <v>245</v>
      </c>
      <c r="E80" s="27">
        <v>0</v>
      </c>
      <c r="F80" s="27">
        <v>0</v>
      </c>
      <c r="G80" s="27">
        <v>0</v>
      </c>
      <c r="H80" s="27">
        <v>0</v>
      </c>
      <c r="I80" s="27">
        <v>0</v>
      </c>
      <c r="J80" s="27">
        <v>0</v>
      </c>
      <c r="K80" s="27">
        <v>0</v>
      </c>
      <c r="L80" s="27">
        <v>0</v>
      </c>
      <c r="M80" s="27">
        <v>0</v>
      </c>
      <c r="N80" s="27">
        <v>0</v>
      </c>
      <c r="O80" s="27">
        <v>0</v>
      </c>
      <c r="P80" s="27">
        <v>0</v>
      </c>
      <c r="Q80" s="142">
        <f t="shared" si="6"/>
        <v>0</v>
      </c>
      <c r="R80" s="142"/>
      <c r="S80" s="157"/>
      <c r="T80" s="40">
        <f t="shared" si="7"/>
        <v>0</v>
      </c>
    </row>
    <row r="81" spans="1:20" s="84" customFormat="1" ht="24.95" hidden="1" customHeight="1">
      <c r="A81" s="3" t="s">
        <v>246</v>
      </c>
      <c r="B81" s="3" t="s">
        <v>665</v>
      </c>
      <c r="C81" s="3"/>
      <c r="D81" s="26" t="s">
        <v>247</v>
      </c>
      <c r="E81" s="27">
        <v>0</v>
      </c>
      <c r="F81" s="27">
        <v>0</v>
      </c>
      <c r="G81" s="27">
        <v>0</v>
      </c>
      <c r="H81" s="27">
        <v>0</v>
      </c>
      <c r="I81" s="27">
        <v>0</v>
      </c>
      <c r="J81" s="27">
        <v>0</v>
      </c>
      <c r="K81" s="27">
        <v>0</v>
      </c>
      <c r="L81" s="27">
        <v>0</v>
      </c>
      <c r="M81" s="27">
        <v>0</v>
      </c>
      <c r="N81" s="27">
        <v>0</v>
      </c>
      <c r="O81" s="27">
        <v>0</v>
      </c>
      <c r="P81" s="27">
        <v>0</v>
      </c>
      <c r="Q81" s="142">
        <f t="shared" si="6"/>
        <v>0</v>
      </c>
      <c r="R81" s="142"/>
      <c r="S81" s="157"/>
      <c r="T81" s="40">
        <f t="shared" si="7"/>
        <v>0</v>
      </c>
    </row>
    <row r="82" spans="1:20" s="84" customFormat="1" ht="24.95" hidden="1" customHeight="1">
      <c r="A82" s="3" t="s">
        <v>248</v>
      </c>
      <c r="B82" s="3" t="s">
        <v>665</v>
      </c>
      <c r="C82" s="3"/>
      <c r="D82" s="26" t="s">
        <v>249</v>
      </c>
      <c r="E82" s="27">
        <v>0</v>
      </c>
      <c r="F82" s="27">
        <v>0</v>
      </c>
      <c r="G82" s="27">
        <v>0</v>
      </c>
      <c r="H82" s="27">
        <v>0</v>
      </c>
      <c r="I82" s="27">
        <v>0</v>
      </c>
      <c r="J82" s="27">
        <v>0</v>
      </c>
      <c r="K82" s="27">
        <v>0</v>
      </c>
      <c r="L82" s="27">
        <v>0</v>
      </c>
      <c r="M82" s="27">
        <v>0</v>
      </c>
      <c r="N82" s="27">
        <v>0</v>
      </c>
      <c r="O82" s="27">
        <v>0</v>
      </c>
      <c r="P82" s="27">
        <v>0</v>
      </c>
      <c r="Q82" s="142">
        <f t="shared" si="6"/>
        <v>0</v>
      </c>
      <c r="R82" s="142"/>
      <c r="S82" s="157"/>
      <c r="T82" s="40">
        <f t="shared" si="7"/>
        <v>0</v>
      </c>
    </row>
    <row r="83" spans="1:20" s="84" customFormat="1" ht="24.95" hidden="1" customHeight="1">
      <c r="A83" s="3" t="s">
        <v>250</v>
      </c>
      <c r="B83" s="3" t="s">
        <v>665</v>
      </c>
      <c r="C83" s="3"/>
      <c r="D83" s="26" t="s">
        <v>251</v>
      </c>
      <c r="E83" s="27">
        <v>0</v>
      </c>
      <c r="F83" s="27">
        <v>0</v>
      </c>
      <c r="G83" s="27">
        <v>0</v>
      </c>
      <c r="H83" s="27">
        <v>0</v>
      </c>
      <c r="I83" s="27">
        <v>0</v>
      </c>
      <c r="J83" s="27">
        <v>0</v>
      </c>
      <c r="K83" s="27">
        <v>0</v>
      </c>
      <c r="L83" s="27">
        <v>0</v>
      </c>
      <c r="M83" s="27">
        <v>0</v>
      </c>
      <c r="N83" s="27">
        <v>0</v>
      </c>
      <c r="O83" s="27">
        <v>0</v>
      </c>
      <c r="P83" s="27">
        <v>0</v>
      </c>
      <c r="Q83" s="142">
        <f t="shared" si="6"/>
        <v>0</v>
      </c>
      <c r="R83" s="142"/>
      <c r="S83" s="157"/>
      <c r="T83" s="40">
        <f t="shared" si="7"/>
        <v>0</v>
      </c>
    </row>
    <row r="84" spans="1:20" s="84" customFormat="1" ht="24.95" hidden="1" customHeight="1">
      <c r="A84" s="3" t="s">
        <v>252</v>
      </c>
      <c r="B84" s="3" t="s">
        <v>665</v>
      </c>
      <c r="C84" s="3"/>
      <c r="D84" s="26" t="s">
        <v>253</v>
      </c>
      <c r="E84" s="27">
        <v>0</v>
      </c>
      <c r="F84" s="27">
        <v>0</v>
      </c>
      <c r="G84" s="27">
        <v>0</v>
      </c>
      <c r="H84" s="27">
        <v>0</v>
      </c>
      <c r="I84" s="27">
        <v>0</v>
      </c>
      <c r="J84" s="27">
        <v>0</v>
      </c>
      <c r="K84" s="27">
        <v>0</v>
      </c>
      <c r="L84" s="27">
        <v>0</v>
      </c>
      <c r="M84" s="27">
        <v>0</v>
      </c>
      <c r="N84" s="27">
        <v>0</v>
      </c>
      <c r="O84" s="27">
        <v>0</v>
      </c>
      <c r="P84" s="27">
        <v>0</v>
      </c>
      <c r="Q84" s="142">
        <f t="shared" si="6"/>
        <v>0</v>
      </c>
      <c r="R84" s="142"/>
      <c r="S84" s="157"/>
      <c r="T84" s="40">
        <f t="shared" si="7"/>
        <v>0</v>
      </c>
    </row>
    <row r="85" spans="1:20" s="84" customFormat="1" ht="24.95" hidden="1" customHeight="1">
      <c r="A85" s="3" t="s">
        <v>254</v>
      </c>
      <c r="B85" s="3" t="s">
        <v>665</v>
      </c>
      <c r="C85" s="3"/>
      <c r="D85" s="26" t="s">
        <v>255</v>
      </c>
      <c r="E85" s="27">
        <v>0</v>
      </c>
      <c r="F85" s="27">
        <v>0</v>
      </c>
      <c r="G85" s="27">
        <v>0</v>
      </c>
      <c r="H85" s="27">
        <v>0</v>
      </c>
      <c r="I85" s="27">
        <v>0</v>
      </c>
      <c r="J85" s="27">
        <v>0</v>
      </c>
      <c r="K85" s="27">
        <v>0</v>
      </c>
      <c r="L85" s="27">
        <v>0</v>
      </c>
      <c r="M85" s="27">
        <v>0</v>
      </c>
      <c r="N85" s="27">
        <v>0</v>
      </c>
      <c r="O85" s="27">
        <v>0</v>
      </c>
      <c r="P85" s="27">
        <v>0</v>
      </c>
      <c r="Q85" s="142">
        <f t="shared" si="6"/>
        <v>0</v>
      </c>
      <c r="R85" s="142"/>
      <c r="S85" s="157"/>
      <c r="T85" s="40">
        <f t="shared" si="7"/>
        <v>0</v>
      </c>
    </row>
    <row r="86" spans="1:20" s="84" customFormat="1" ht="24.95" hidden="1" customHeight="1">
      <c r="A86" s="3" t="s">
        <v>256</v>
      </c>
      <c r="B86" s="3" t="s">
        <v>665</v>
      </c>
      <c r="C86" s="3"/>
      <c r="D86" s="26" t="s">
        <v>257</v>
      </c>
      <c r="E86" s="27">
        <v>0</v>
      </c>
      <c r="F86" s="27">
        <v>0</v>
      </c>
      <c r="G86" s="27">
        <v>0</v>
      </c>
      <c r="H86" s="27">
        <v>0</v>
      </c>
      <c r="I86" s="27">
        <v>0</v>
      </c>
      <c r="J86" s="27">
        <v>0</v>
      </c>
      <c r="K86" s="27">
        <v>0</v>
      </c>
      <c r="L86" s="27">
        <v>0</v>
      </c>
      <c r="M86" s="27">
        <v>0</v>
      </c>
      <c r="N86" s="27">
        <v>0</v>
      </c>
      <c r="O86" s="27">
        <v>0</v>
      </c>
      <c r="P86" s="27">
        <v>0</v>
      </c>
      <c r="Q86" s="142">
        <f t="shared" si="6"/>
        <v>0</v>
      </c>
      <c r="R86" s="142"/>
      <c r="S86" s="157"/>
      <c r="T86" s="40">
        <f t="shared" si="7"/>
        <v>0</v>
      </c>
    </row>
    <row r="87" spans="1:20" s="84" customFormat="1" ht="24.95" hidden="1" customHeight="1">
      <c r="A87" s="3" t="s">
        <v>258</v>
      </c>
      <c r="B87" s="3" t="s">
        <v>665</v>
      </c>
      <c r="C87" s="3"/>
      <c r="D87" s="26" t="s">
        <v>259</v>
      </c>
      <c r="E87" s="27">
        <v>0</v>
      </c>
      <c r="F87" s="27">
        <v>0</v>
      </c>
      <c r="G87" s="27">
        <v>0</v>
      </c>
      <c r="H87" s="27">
        <v>0</v>
      </c>
      <c r="I87" s="27">
        <v>0</v>
      </c>
      <c r="J87" s="27">
        <v>0</v>
      </c>
      <c r="K87" s="27">
        <v>0</v>
      </c>
      <c r="L87" s="27">
        <v>0</v>
      </c>
      <c r="M87" s="27">
        <v>0</v>
      </c>
      <c r="N87" s="27">
        <v>0</v>
      </c>
      <c r="O87" s="27">
        <v>0</v>
      </c>
      <c r="P87" s="27">
        <v>0</v>
      </c>
      <c r="Q87" s="142">
        <f t="shared" si="6"/>
        <v>0</v>
      </c>
      <c r="R87" s="142"/>
      <c r="S87" s="157"/>
      <c r="T87" s="40">
        <f t="shared" si="7"/>
        <v>0</v>
      </c>
    </row>
    <row r="88" spans="1:20" s="84" customFormat="1" ht="24.95" hidden="1" customHeight="1">
      <c r="A88" s="3" t="s">
        <v>260</v>
      </c>
      <c r="B88" s="3" t="s">
        <v>665</v>
      </c>
      <c r="C88" s="3"/>
      <c r="D88" s="26" t="s">
        <v>261</v>
      </c>
      <c r="E88" s="27">
        <v>0</v>
      </c>
      <c r="F88" s="27">
        <v>0</v>
      </c>
      <c r="G88" s="27">
        <v>0</v>
      </c>
      <c r="H88" s="27">
        <v>0</v>
      </c>
      <c r="I88" s="27">
        <v>0</v>
      </c>
      <c r="J88" s="27">
        <v>0</v>
      </c>
      <c r="K88" s="27">
        <v>0</v>
      </c>
      <c r="L88" s="27">
        <v>0</v>
      </c>
      <c r="M88" s="27">
        <v>0</v>
      </c>
      <c r="N88" s="27">
        <v>0</v>
      </c>
      <c r="O88" s="27">
        <v>0</v>
      </c>
      <c r="P88" s="27">
        <v>0</v>
      </c>
      <c r="Q88" s="142">
        <f t="shared" si="6"/>
        <v>0</v>
      </c>
      <c r="R88" s="142"/>
      <c r="S88" s="157"/>
      <c r="T88" s="40">
        <f t="shared" si="7"/>
        <v>0</v>
      </c>
    </row>
    <row r="89" spans="1:20" s="84" customFormat="1" ht="24.95" hidden="1" customHeight="1">
      <c r="A89" s="3" t="s">
        <v>262</v>
      </c>
      <c r="B89" s="3" t="s">
        <v>665</v>
      </c>
      <c r="C89" s="3"/>
      <c r="D89" s="26" t="s">
        <v>263</v>
      </c>
      <c r="E89" s="27">
        <v>0</v>
      </c>
      <c r="F89" s="27">
        <v>0</v>
      </c>
      <c r="G89" s="27">
        <v>0</v>
      </c>
      <c r="H89" s="27">
        <v>0</v>
      </c>
      <c r="I89" s="27">
        <v>0</v>
      </c>
      <c r="J89" s="27">
        <v>0</v>
      </c>
      <c r="K89" s="27">
        <v>0</v>
      </c>
      <c r="L89" s="27">
        <v>0</v>
      </c>
      <c r="M89" s="27">
        <v>0</v>
      </c>
      <c r="N89" s="27">
        <v>0</v>
      </c>
      <c r="O89" s="27">
        <v>0</v>
      </c>
      <c r="P89" s="27">
        <v>0</v>
      </c>
      <c r="Q89" s="142">
        <f t="shared" si="6"/>
        <v>0</v>
      </c>
      <c r="R89" s="142"/>
      <c r="S89" s="157"/>
      <c r="T89" s="40">
        <f t="shared" si="7"/>
        <v>0</v>
      </c>
    </row>
    <row r="90" spans="1:20" s="84" customFormat="1" ht="24.95" hidden="1" customHeight="1">
      <c r="A90" s="3" t="s">
        <v>264</v>
      </c>
      <c r="B90" s="3" t="s">
        <v>665</v>
      </c>
      <c r="C90" s="3"/>
      <c r="D90" s="26" t="s">
        <v>265</v>
      </c>
      <c r="E90" s="27">
        <v>0</v>
      </c>
      <c r="F90" s="27">
        <v>0</v>
      </c>
      <c r="G90" s="27">
        <v>0</v>
      </c>
      <c r="H90" s="27">
        <v>0</v>
      </c>
      <c r="I90" s="27">
        <v>0</v>
      </c>
      <c r="J90" s="27">
        <v>0</v>
      </c>
      <c r="K90" s="27">
        <v>0</v>
      </c>
      <c r="L90" s="27">
        <v>0</v>
      </c>
      <c r="M90" s="27">
        <v>0</v>
      </c>
      <c r="N90" s="27">
        <v>0</v>
      </c>
      <c r="O90" s="27">
        <v>0</v>
      </c>
      <c r="P90" s="27">
        <v>0</v>
      </c>
      <c r="Q90" s="142">
        <f t="shared" si="6"/>
        <v>0</v>
      </c>
      <c r="R90" s="142"/>
      <c r="S90" s="157"/>
      <c r="T90" s="40">
        <f t="shared" si="7"/>
        <v>0</v>
      </c>
    </row>
    <row r="91" spans="1:20" s="84" customFormat="1" ht="24.95" hidden="1" customHeight="1">
      <c r="A91" s="3" t="s">
        <v>266</v>
      </c>
      <c r="B91" s="3" t="s">
        <v>665</v>
      </c>
      <c r="C91" s="3"/>
      <c r="D91" s="26" t="s">
        <v>267</v>
      </c>
      <c r="E91" s="27">
        <v>0</v>
      </c>
      <c r="F91" s="27">
        <v>0</v>
      </c>
      <c r="G91" s="27">
        <v>0</v>
      </c>
      <c r="H91" s="27">
        <v>0</v>
      </c>
      <c r="I91" s="27">
        <v>0</v>
      </c>
      <c r="J91" s="27">
        <v>0</v>
      </c>
      <c r="K91" s="27">
        <v>0</v>
      </c>
      <c r="L91" s="27">
        <v>0</v>
      </c>
      <c r="M91" s="27">
        <v>0</v>
      </c>
      <c r="N91" s="27">
        <v>0</v>
      </c>
      <c r="O91" s="27">
        <v>0</v>
      </c>
      <c r="P91" s="27">
        <v>0</v>
      </c>
      <c r="Q91" s="142">
        <f t="shared" si="6"/>
        <v>0</v>
      </c>
      <c r="R91" s="19"/>
      <c r="S91" s="157"/>
      <c r="T91" s="40">
        <f t="shared" si="7"/>
        <v>0</v>
      </c>
    </row>
    <row r="92" spans="1:20" s="84" customFormat="1" ht="24.95" hidden="1" customHeight="1">
      <c r="A92" s="3" t="s">
        <v>268</v>
      </c>
      <c r="B92" s="3" t="s">
        <v>665</v>
      </c>
      <c r="C92" s="3"/>
      <c r="D92" s="26" t="s">
        <v>269</v>
      </c>
      <c r="E92" s="27">
        <v>0</v>
      </c>
      <c r="F92" s="27">
        <v>0</v>
      </c>
      <c r="G92" s="27">
        <v>0</v>
      </c>
      <c r="H92" s="27">
        <v>0</v>
      </c>
      <c r="I92" s="27">
        <v>0</v>
      </c>
      <c r="J92" s="27">
        <v>0</v>
      </c>
      <c r="K92" s="27">
        <v>0</v>
      </c>
      <c r="L92" s="27">
        <v>0</v>
      </c>
      <c r="M92" s="27">
        <v>0</v>
      </c>
      <c r="N92" s="27">
        <v>0</v>
      </c>
      <c r="O92" s="27">
        <v>0</v>
      </c>
      <c r="P92" s="27">
        <v>0</v>
      </c>
      <c r="Q92" s="142">
        <f t="shared" ref="Q92:Q94" si="8">SUM(E92:P92)</f>
        <v>0</v>
      </c>
      <c r="R92" s="162"/>
      <c r="S92" s="157"/>
      <c r="T92" s="40">
        <f t="shared" si="7"/>
        <v>0</v>
      </c>
    </row>
    <row r="93" spans="1:20" s="84" customFormat="1" ht="24.95" hidden="1" customHeight="1">
      <c r="A93" s="3" t="s">
        <v>270</v>
      </c>
      <c r="B93" s="3" t="s">
        <v>665</v>
      </c>
      <c r="C93" s="3"/>
      <c r="D93" s="26" t="s">
        <v>271</v>
      </c>
      <c r="E93" s="27">
        <v>0</v>
      </c>
      <c r="F93" s="27">
        <v>0</v>
      </c>
      <c r="G93" s="27">
        <v>0</v>
      </c>
      <c r="H93" s="27">
        <v>0</v>
      </c>
      <c r="I93" s="27">
        <v>0</v>
      </c>
      <c r="J93" s="27">
        <v>0</v>
      </c>
      <c r="K93" s="27">
        <v>0</v>
      </c>
      <c r="L93" s="27">
        <v>0</v>
      </c>
      <c r="M93" s="27">
        <v>0</v>
      </c>
      <c r="N93" s="27">
        <v>0</v>
      </c>
      <c r="O93" s="27">
        <v>0</v>
      </c>
      <c r="P93" s="27">
        <v>0</v>
      </c>
      <c r="Q93" s="142">
        <f t="shared" si="8"/>
        <v>0</v>
      </c>
      <c r="R93" s="162"/>
      <c r="S93" s="157"/>
      <c r="T93" s="40">
        <f t="shared" si="7"/>
        <v>0</v>
      </c>
    </row>
    <row r="94" spans="1:20" s="84" customFormat="1" ht="24.95" hidden="1" customHeight="1">
      <c r="A94" s="3" t="s">
        <v>272</v>
      </c>
      <c r="B94" s="3" t="s">
        <v>665</v>
      </c>
      <c r="C94" s="3"/>
      <c r="D94" s="26" t="s">
        <v>273</v>
      </c>
      <c r="E94" s="27">
        <v>0</v>
      </c>
      <c r="F94" s="27">
        <v>0</v>
      </c>
      <c r="G94" s="27">
        <v>0</v>
      </c>
      <c r="H94" s="27">
        <v>0</v>
      </c>
      <c r="I94" s="27">
        <v>0</v>
      </c>
      <c r="J94" s="27">
        <v>0</v>
      </c>
      <c r="K94" s="27">
        <v>0</v>
      </c>
      <c r="L94" s="27">
        <v>0</v>
      </c>
      <c r="M94" s="27">
        <v>0</v>
      </c>
      <c r="N94" s="27">
        <v>0</v>
      </c>
      <c r="O94" s="27">
        <v>0</v>
      </c>
      <c r="P94" s="27">
        <v>0</v>
      </c>
      <c r="Q94" s="142">
        <f t="shared" si="8"/>
        <v>0</v>
      </c>
      <c r="R94" s="162"/>
      <c r="S94" s="157"/>
      <c r="T94" s="40">
        <f t="shared" si="7"/>
        <v>0</v>
      </c>
    </row>
    <row r="95" spans="1:20" s="84" customFormat="1" ht="24.95" customHeight="1">
      <c r="A95" s="3" t="s">
        <v>468</v>
      </c>
      <c r="B95" s="3" t="s">
        <v>665</v>
      </c>
      <c r="C95" s="3"/>
      <c r="D95" s="26" t="s">
        <v>469</v>
      </c>
      <c r="E95" s="27"/>
      <c r="F95" s="27"/>
      <c r="G95" s="27"/>
      <c r="H95" s="27"/>
      <c r="I95" s="27"/>
      <c r="J95" s="27"/>
      <c r="K95" s="27"/>
      <c r="L95" s="27"/>
      <c r="M95" s="27"/>
      <c r="N95" s="27"/>
      <c r="O95" s="27"/>
      <c r="P95" s="27"/>
      <c r="Q95" s="142"/>
      <c r="R95" s="134" t="e">
        <f>Q95/$Q$16</f>
        <v>#DIV/0!</v>
      </c>
      <c r="S95" s="157"/>
      <c r="T95" s="40">
        <f t="shared" si="7"/>
        <v>0</v>
      </c>
    </row>
    <row r="96" spans="1:20" s="84" customFormat="1" ht="24.95" customHeight="1">
      <c r="A96" s="3"/>
      <c r="B96" s="3"/>
      <c r="C96" s="3"/>
      <c r="D96" s="19" t="s">
        <v>274</v>
      </c>
      <c r="E96" s="160">
        <f>SUM(E27:E95)</f>
        <v>0</v>
      </c>
      <c r="F96" s="160">
        <f t="shared" ref="F96:Q96" si="9">SUM(F27:F95)</f>
        <v>0</v>
      </c>
      <c r="G96" s="160">
        <f t="shared" si="9"/>
        <v>0</v>
      </c>
      <c r="H96" s="160">
        <f t="shared" si="9"/>
        <v>0</v>
      </c>
      <c r="I96" s="160">
        <f t="shared" si="9"/>
        <v>0</v>
      </c>
      <c r="J96" s="160">
        <f t="shared" si="9"/>
        <v>0</v>
      </c>
      <c r="K96" s="160">
        <f t="shared" si="9"/>
        <v>0</v>
      </c>
      <c r="L96" s="160">
        <f t="shared" si="9"/>
        <v>0</v>
      </c>
      <c r="M96" s="160">
        <f t="shared" si="9"/>
        <v>0</v>
      </c>
      <c r="N96" s="160">
        <f t="shared" si="9"/>
        <v>0</v>
      </c>
      <c r="O96" s="160">
        <f t="shared" si="9"/>
        <v>0</v>
      </c>
      <c r="P96" s="160">
        <f t="shared" si="9"/>
        <v>0</v>
      </c>
      <c r="Q96" s="163">
        <f t="shared" si="9"/>
        <v>0</v>
      </c>
      <c r="R96" s="158" t="e">
        <f>Q96/$Q$16</f>
        <v>#DIV/0!</v>
      </c>
      <c r="S96" s="157"/>
      <c r="T96" s="40">
        <f t="shared" si="7"/>
        <v>0</v>
      </c>
    </row>
    <row r="97" spans="1:20" s="84" customFormat="1" ht="24.95" customHeight="1">
      <c r="A97" s="3"/>
      <c r="B97" s="3"/>
      <c r="C97" s="3"/>
      <c r="D97" s="19" t="s">
        <v>275</v>
      </c>
      <c r="E97" s="160">
        <f>E16-E22-E24-E96</f>
        <v>0</v>
      </c>
      <c r="F97" s="160">
        <f t="shared" ref="F97:Q97" si="10">F16-F22-F24-F96</f>
        <v>0</v>
      </c>
      <c r="G97" s="160">
        <f t="shared" si="10"/>
        <v>0</v>
      </c>
      <c r="H97" s="160">
        <f t="shared" si="10"/>
        <v>0</v>
      </c>
      <c r="I97" s="160">
        <f t="shared" si="10"/>
        <v>0</v>
      </c>
      <c r="J97" s="160">
        <f t="shared" si="10"/>
        <v>0</v>
      </c>
      <c r="K97" s="160">
        <f t="shared" si="10"/>
        <v>0</v>
      </c>
      <c r="L97" s="160">
        <f t="shared" si="10"/>
        <v>0</v>
      </c>
      <c r="M97" s="160">
        <f t="shared" si="10"/>
        <v>0</v>
      </c>
      <c r="N97" s="160">
        <f t="shared" si="10"/>
        <v>0</v>
      </c>
      <c r="O97" s="160">
        <f t="shared" si="10"/>
        <v>0</v>
      </c>
      <c r="P97" s="160">
        <f t="shared" si="10"/>
        <v>0</v>
      </c>
      <c r="Q97" s="160">
        <f t="shared" si="10"/>
        <v>0</v>
      </c>
      <c r="R97" s="158"/>
      <c r="S97" s="157"/>
      <c r="T97" s="40">
        <f t="shared" ref="T97:T98" si="11">IF(Q97-S97=0,0,(Q97-S97)/S97)</f>
        <v>0</v>
      </c>
    </row>
    <row r="98" spans="1:20" s="84" customFormat="1" ht="24.95" customHeight="1">
      <c r="A98" s="3"/>
      <c r="B98" s="3"/>
      <c r="C98" s="3"/>
      <c r="D98" s="19" t="s">
        <v>276</v>
      </c>
      <c r="E98" s="137">
        <f>IF(E97=0,0,E97/E16)</f>
        <v>0</v>
      </c>
      <c r="F98" s="137">
        <f t="shared" ref="F98:Q98" si="12">IF(F97=0,0,F97/F16)</f>
        <v>0</v>
      </c>
      <c r="G98" s="137">
        <f t="shared" si="12"/>
        <v>0</v>
      </c>
      <c r="H98" s="137">
        <f t="shared" si="12"/>
        <v>0</v>
      </c>
      <c r="I98" s="137">
        <f t="shared" si="12"/>
        <v>0</v>
      </c>
      <c r="J98" s="137">
        <f t="shared" si="12"/>
        <v>0</v>
      </c>
      <c r="K98" s="137">
        <f t="shared" si="12"/>
        <v>0</v>
      </c>
      <c r="L98" s="137">
        <f t="shared" si="12"/>
        <v>0</v>
      </c>
      <c r="M98" s="137">
        <f t="shared" si="12"/>
        <v>0</v>
      </c>
      <c r="N98" s="137">
        <f t="shared" si="12"/>
        <v>0</v>
      </c>
      <c r="O98" s="137">
        <f t="shared" si="12"/>
        <v>0</v>
      </c>
      <c r="P98" s="137">
        <f t="shared" si="12"/>
        <v>0</v>
      </c>
      <c r="Q98" s="137">
        <f t="shared" si="12"/>
        <v>0</v>
      </c>
      <c r="R98" s="137"/>
      <c r="S98" s="40"/>
      <c r="T98" s="40">
        <f t="shared" si="11"/>
        <v>0</v>
      </c>
    </row>
    <row r="99" spans="1:20" s="84" customFormat="1" ht="24.95" customHeight="1">
      <c r="A99" s="3"/>
      <c r="B99" s="3"/>
      <c r="C99" s="3"/>
      <c r="D99" s="3"/>
      <c r="E99" s="3"/>
      <c r="F99" s="3"/>
      <c r="G99" s="3"/>
      <c r="H99" s="3"/>
      <c r="I99" s="3"/>
      <c r="J99" s="3"/>
      <c r="K99" s="3"/>
      <c r="L99" s="3"/>
      <c r="S99" s="157"/>
    </row>
    <row r="100" spans="1:20" s="84" customFormat="1" ht="24.95" customHeight="1">
      <c r="A100" s="3"/>
      <c r="B100" s="3"/>
      <c r="C100" s="3"/>
      <c r="D100" s="19" t="s">
        <v>293</v>
      </c>
      <c r="E100" s="3"/>
      <c r="F100" s="3"/>
      <c r="G100" s="3"/>
      <c r="H100" s="3"/>
      <c r="I100" s="3"/>
      <c r="J100" s="3"/>
      <c r="K100" s="3"/>
      <c r="L100" s="3"/>
      <c r="S100" s="157"/>
    </row>
    <row r="101" spans="1:20" s="84" customFormat="1" ht="24.95" hidden="1" customHeight="1">
      <c r="A101" s="3"/>
      <c r="B101" s="3"/>
      <c r="C101" s="3"/>
      <c r="D101" s="19" t="s">
        <v>444</v>
      </c>
      <c r="E101" s="3"/>
      <c r="F101" s="3"/>
      <c r="G101" s="3"/>
      <c r="H101" s="3"/>
      <c r="I101" s="3"/>
      <c r="J101" s="3"/>
      <c r="K101" s="3"/>
      <c r="L101" s="3"/>
      <c r="S101" s="157"/>
    </row>
    <row r="102" spans="1:20" s="84" customFormat="1" ht="24.95" hidden="1" customHeight="1">
      <c r="A102" s="3" t="s">
        <v>295</v>
      </c>
      <c r="B102" s="3" t="s">
        <v>665</v>
      </c>
      <c r="C102" s="3"/>
      <c r="D102" s="3" t="s">
        <v>297</v>
      </c>
      <c r="E102" s="27">
        <v>0</v>
      </c>
      <c r="F102" s="27">
        <v>0</v>
      </c>
      <c r="G102" s="27">
        <v>0</v>
      </c>
      <c r="H102" s="27">
        <v>0</v>
      </c>
      <c r="I102" s="27">
        <v>0</v>
      </c>
      <c r="J102" s="27">
        <v>0</v>
      </c>
      <c r="K102" s="27">
        <v>0</v>
      </c>
      <c r="L102" s="27">
        <v>0</v>
      </c>
      <c r="M102" s="27">
        <v>0</v>
      </c>
      <c r="N102" s="27">
        <v>0</v>
      </c>
      <c r="O102" s="27">
        <v>0</v>
      </c>
      <c r="P102" s="27">
        <v>0</v>
      </c>
      <c r="Q102" s="142">
        <f>SUM(E102:P102)</f>
        <v>0</v>
      </c>
      <c r="R102" s="142"/>
      <c r="S102" s="157"/>
    </row>
    <row r="103" spans="1:20" s="84" customFormat="1" ht="24.95" hidden="1" customHeight="1">
      <c r="A103" s="50" t="s">
        <v>298</v>
      </c>
      <c r="B103" s="3" t="s">
        <v>665</v>
      </c>
      <c r="C103" s="3"/>
      <c r="D103" s="3" t="s">
        <v>447</v>
      </c>
      <c r="E103" s="27">
        <v>0</v>
      </c>
      <c r="F103" s="27">
        <v>0</v>
      </c>
      <c r="G103" s="27">
        <v>0</v>
      </c>
      <c r="H103" s="27">
        <v>0</v>
      </c>
      <c r="I103" s="27">
        <v>0</v>
      </c>
      <c r="J103" s="27">
        <v>0</v>
      </c>
      <c r="K103" s="27">
        <v>0</v>
      </c>
      <c r="L103" s="27">
        <v>0</v>
      </c>
      <c r="M103" s="27">
        <v>0</v>
      </c>
      <c r="N103" s="27">
        <v>0</v>
      </c>
      <c r="O103" s="27">
        <v>0</v>
      </c>
      <c r="P103" s="27">
        <v>0</v>
      </c>
      <c r="Q103" s="142">
        <f t="shared" ref="Q103:Q104" si="13">SUM(E103:P103)</f>
        <v>0</v>
      </c>
      <c r="R103" s="142"/>
      <c r="S103" s="157"/>
    </row>
    <row r="104" spans="1:20" s="84" customFormat="1" ht="24.95" hidden="1" customHeight="1">
      <c r="A104" s="50" t="s">
        <v>675</v>
      </c>
      <c r="B104" s="3"/>
      <c r="C104" s="3"/>
      <c r="D104" s="3" t="s">
        <v>449</v>
      </c>
      <c r="E104" s="27">
        <v>0</v>
      </c>
      <c r="F104" s="27">
        <v>0</v>
      </c>
      <c r="G104" s="27">
        <v>0</v>
      </c>
      <c r="H104" s="27">
        <v>0</v>
      </c>
      <c r="I104" s="27">
        <v>0</v>
      </c>
      <c r="J104" s="27">
        <v>0</v>
      </c>
      <c r="K104" s="27">
        <v>0</v>
      </c>
      <c r="L104" s="27">
        <v>0</v>
      </c>
      <c r="M104" s="27">
        <v>0</v>
      </c>
      <c r="N104" s="27">
        <v>0</v>
      </c>
      <c r="O104" s="27">
        <v>0</v>
      </c>
      <c r="P104" s="27">
        <v>0</v>
      </c>
      <c r="Q104" s="142">
        <f t="shared" si="13"/>
        <v>0</v>
      </c>
      <c r="R104" s="142"/>
      <c r="S104" s="157"/>
    </row>
    <row r="105" spans="1:20" s="84" customFormat="1" ht="24.95" hidden="1" customHeight="1">
      <c r="A105" s="3"/>
      <c r="B105" s="3"/>
      <c r="C105" s="3"/>
      <c r="D105" s="19" t="s">
        <v>450</v>
      </c>
      <c r="E105" s="160">
        <f>SUM(E102:E104)</f>
        <v>0</v>
      </c>
      <c r="F105" s="160">
        <f t="shared" ref="F105:P105" si="14">SUM(F102:F104)</f>
        <v>0</v>
      </c>
      <c r="G105" s="160">
        <f t="shared" si="14"/>
        <v>0</v>
      </c>
      <c r="H105" s="160">
        <f t="shared" si="14"/>
        <v>0</v>
      </c>
      <c r="I105" s="160">
        <f t="shared" si="14"/>
        <v>0</v>
      </c>
      <c r="J105" s="160">
        <f t="shared" si="14"/>
        <v>0</v>
      </c>
      <c r="K105" s="160">
        <f t="shared" si="14"/>
        <v>0</v>
      </c>
      <c r="L105" s="160">
        <f t="shared" si="14"/>
        <v>0</v>
      </c>
      <c r="M105" s="160">
        <f t="shared" si="14"/>
        <v>0</v>
      </c>
      <c r="N105" s="160">
        <f t="shared" si="14"/>
        <v>0</v>
      </c>
      <c r="O105" s="160">
        <f t="shared" si="14"/>
        <v>0</v>
      </c>
      <c r="P105" s="160">
        <f t="shared" si="14"/>
        <v>0</v>
      </c>
      <c r="Q105" s="160">
        <f t="shared" ref="Q105" si="15">SUM(Q102:Q104)</f>
        <v>0</v>
      </c>
      <c r="R105" s="160"/>
      <c r="S105" s="157"/>
    </row>
    <row r="106" spans="1:20" s="84" customFormat="1" ht="24.95" hidden="1" customHeight="1">
      <c r="A106" s="3"/>
      <c r="B106" s="3"/>
      <c r="C106" s="3"/>
      <c r="D106" s="3"/>
      <c r="E106" s="3"/>
      <c r="F106" s="3"/>
      <c r="G106" s="3"/>
      <c r="H106" s="3"/>
      <c r="I106" s="3"/>
      <c r="J106" s="3"/>
      <c r="K106" s="3"/>
      <c r="L106" s="3"/>
      <c r="M106" s="161"/>
      <c r="S106" s="157"/>
    </row>
    <row r="107" spans="1:20" s="84" customFormat="1" ht="24.95" hidden="1" customHeight="1">
      <c r="A107" s="3" t="s">
        <v>306</v>
      </c>
      <c r="B107" s="3" t="s">
        <v>665</v>
      </c>
      <c r="C107" s="3"/>
      <c r="D107" s="26" t="s">
        <v>307</v>
      </c>
      <c r="E107" s="27">
        <v>0</v>
      </c>
      <c r="F107" s="27">
        <v>0</v>
      </c>
      <c r="G107" s="27">
        <v>0</v>
      </c>
      <c r="H107" s="27">
        <v>0</v>
      </c>
      <c r="I107" s="27">
        <v>0</v>
      </c>
      <c r="J107" s="27">
        <v>0</v>
      </c>
      <c r="K107" s="27">
        <v>0</v>
      </c>
      <c r="L107" s="27">
        <v>0</v>
      </c>
      <c r="M107" s="27">
        <v>0</v>
      </c>
      <c r="N107" s="27">
        <v>0</v>
      </c>
      <c r="O107" s="27">
        <v>0</v>
      </c>
      <c r="P107" s="27">
        <v>0</v>
      </c>
      <c r="Q107" s="142">
        <f>SUM(E107:P107)</f>
        <v>0</v>
      </c>
      <c r="R107" s="142"/>
      <c r="S107" s="157"/>
    </row>
    <row r="108" spans="1:20" s="84" customFormat="1" ht="24.95" hidden="1" customHeight="1">
      <c r="A108" s="3" t="s">
        <v>308</v>
      </c>
      <c r="B108" s="3" t="s">
        <v>665</v>
      </c>
      <c r="C108" s="3"/>
      <c r="D108" s="26" t="s">
        <v>309</v>
      </c>
      <c r="E108" s="27">
        <v>0</v>
      </c>
      <c r="F108" s="27">
        <v>0</v>
      </c>
      <c r="G108" s="27">
        <v>0</v>
      </c>
      <c r="H108" s="27">
        <v>0</v>
      </c>
      <c r="I108" s="27">
        <v>0</v>
      </c>
      <c r="J108" s="27">
        <v>0</v>
      </c>
      <c r="K108" s="27">
        <v>0</v>
      </c>
      <c r="L108" s="27">
        <v>0</v>
      </c>
      <c r="M108" s="27">
        <v>0</v>
      </c>
      <c r="N108" s="27">
        <v>0</v>
      </c>
      <c r="O108" s="27">
        <v>0</v>
      </c>
      <c r="P108" s="27">
        <v>0</v>
      </c>
      <c r="Q108" s="142">
        <f t="shared" ref="Q108:Q111" si="16">SUM(E108:P108)</f>
        <v>0</v>
      </c>
      <c r="R108" s="142"/>
      <c r="S108" s="157"/>
    </row>
    <row r="109" spans="1:20" s="84" customFormat="1" ht="24.95" hidden="1" customHeight="1">
      <c r="A109" s="3" t="s">
        <v>310</v>
      </c>
      <c r="B109" s="3" t="s">
        <v>665</v>
      </c>
      <c r="C109" s="3"/>
      <c r="D109" s="26" t="s">
        <v>311</v>
      </c>
      <c r="E109" s="27">
        <v>0</v>
      </c>
      <c r="F109" s="27">
        <v>0</v>
      </c>
      <c r="G109" s="27">
        <v>0</v>
      </c>
      <c r="H109" s="27">
        <v>0</v>
      </c>
      <c r="I109" s="27">
        <v>0</v>
      </c>
      <c r="J109" s="27">
        <v>0</v>
      </c>
      <c r="K109" s="27">
        <v>0</v>
      </c>
      <c r="L109" s="27">
        <v>0</v>
      </c>
      <c r="M109" s="27">
        <v>0</v>
      </c>
      <c r="N109" s="27">
        <v>0</v>
      </c>
      <c r="O109" s="27">
        <v>0</v>
      </c>
      <c r="P109" s="27">
        <v>0</v>
      </c>
      <c r="Q109" s="142">
        <f t="shared" si="16"/>
        <v>0</v>
      </c>
      <c r="R109" s="142"/>
      <c r="S109" s="157"/>
    </row>
    <row r="110" spans="1:20" s="84" customFormat="1" ht="24.95" hidden="1" customHeight="1">
      <c r="A110" s="3" t="s">
        <v>312</v>
      </c>
      <c r="B110" s="3" t="s">
        <v>665</v>
      </c>
      <c r="C110" s="3"/>
      <c r="D110" s="26" t="s">
        <v>313</v>
      </c>
      <c r="E110" s="27">
        <v>0</v>
      </c>
      <c r="F110" s="27">
        <v>0</v>
      </c>
      <c r="G110" s="27">
        <v>0</v>
      </c>
      <c r="H110" s="27">
        <v>0</v>
      </c>
      <c r="I110" s="27">
        <v>0</v>
      </c>
      <c r="J110" s="27">
        <v>0</v>
      </c>
      <c r="K110" s="27">
        <v>0</v>
      </c>
      <c r="L110" s="27">
        <v>0</v>
      </c>
      <c r="M110" s="27">
        <v>0</v>
      </c>
      <c r="N110" s="27">
        <v>0</v>
      </c>
      <c r="O110" s="27">
        <v>0</v>
      </c>
      <c r="P110" s="27">
        <v>0</v>
      </c>
      <c r="Q110" s="142">
        <f t="shared" si="16"/>
        <v>0</v>
      </c>
      <c r="R110" s="142"/>
      <c r="S110" s="157"/>
    </row>
    <row r="111" spans="1:20" s="84" customFormat="1" ht="24.95" hidden="1" customHeight="1">
      <c r="A111" s="3" t="s">
        <v>314</v>
      </c>
      <c r="B111" s="3" t="s">
        <v>665</v>
      </c>
      <c r="C111" s="3"/>
      <c r="D111" s="26" t="s">
        <v>315</v>
      </c>
      <c r="E111" s="27">
        <v>0</v>
      </c>
      <c r="F111" s="27">
        <v>0</v>
      </c>
      <c r="G111" s="27">
        <v>0</v>
      </c>
      <c r="H111" s="27">
        <v>0</v>
      </c>
      <c r="I111" s="27">
        <v>0</v>
      </c>
      <c r="J111" s="27">
        <v>0</v>
      </c>
      <c r="K111" s="27">
        <v>0</v>
      </c>
      <c r="L111" s="27">
        <v>0</v>
      </c>
      <c r="M111" s="27">
        <v>0</v>
      </c>
      <c r="N111" s="27">
        <v>0</v>
      </c>
      <c r="O111" s="27">
        <v>0</v>
      </c>
      <c r="P111" s="27">
        <v>0</v>
      </c>
      <c r="Q111" s="142">
        <f t="shared" si="16"/>
        <v>0</v>
      </c>
      <c r="R111" s="142"/>
      <c r="S111" s="157"/>
    </row>
    <row r="112" spans="1:20" s="84" customFormat="1" ht="24.95" hidden="1" customHeight="1">
      <c r="A112" s="3"/>
      <c r="B112" s="3"/>
      <c r="C112" s="3"/>
      <c r="D112" s="19" t="s">
        <v>316</v>
      </c>
      <c r="E112" s="160">
        <f>SUM(E107:E111)</f>
        <v>0</v>
      </c>
      <c r="F112" s="160">
        <f t="shared" ref="F112:P112" si="17">SUM(F107:F111)</f>
        <v>0</v>
      </c>
      <c r="G112" s="160">
        <f t="shared" si="17"/>
        <v>0</v>
      </c>
      <c r="H112" s="160">
        <f t="shared" si="17"/>
        <v>0</v>
      </c>
      <c r="I112" s="160">
        <f t="shared" si="17"/>
        <v>0</v>
      </c>
      <c r="J112" s="160">
        <f t="shared" si="17"/>
        <v>0</v>
      </c>
      <c r="K112" s="160">
        <f t="shared" si="17"/>
        <v>0</v>
      </c>
      <c r="L112" s="160">
        <f t="shared" si="17"/>
        <v>0</v>
      </c>
      <c r="M112" s="160">
        <f t="shared" si="17"/>
        <v>0</v>
      </c>
      <c r="N112" s="160">
        <f t="shared" si="17"/>
        <v>0</v>
      </c>
      <c r="O112" s="160">
        <f t="shared" si="17"/>
        <v>0</v>
      </c>
      <c r="P112" s="160">
        <f t="shared" si="17"/>
        <v>0</v>
      </c>
      <c r="Q112" s="164">
        <f t="shared" ref="Q112" si="18">SUM(Q107:Q111)</f>
        <v>0</v>
      </c>
      <c r="R112" s="160"/>
      <c r="S112" s="157"/>
    </row>
    <row r="113" spans="1:19" s="84" customFormat="1" ht="24.95" hidden="1" customHeight="1">
      <c r="A113" s="3"/>
      <c r="B113" s="3"/>
      <c r="C113" s="3"/>
      <c r="D113" s="3"/>
      <c r="E113" s="3"/>
      <c r="F113" s="3"/>
      <c r="G113" s="3"/>
      <c r="H113" s="3"/>
      <c r="I113" s="3"/>
      <c r="J113" s="3"/>
      <c r="K113" s="3"/>
      <c r="L113" s="3"/>
      <c r="M113" s="161"/>
      <c r="S113" s="157"/>
    </row>
    <row r="114" spans="1:19" s="84" customFormat="1" ht="24.95" hidden="1" customHeight="1">
      <c r="A114" s="3" t="s">
        <v>317</v>
      </c>
      <c r="B114" s="3" t="s">
        <v>665</v>
      </c>
      <c r="C114" s="3"/>
      <c r="D114" s="26" t="s">
        <v>318</v>
      </c>
      <c r="E114" s="27">
        <v>0</v>
      </c>
      <c r="F114" s="27">
        <v>0</v>
      </c>
      <c r="G114" s="27">
        <v>0</v>
      </c>
      <c r="H114" s="27">
        <v>0</v>
      </c>
      <c r="I114" s="27">
        <v>0</v>
      </c>
      <c r="J114" s="27">
        <v>0</v>
      </c>
      <c r="K114" s="27">
        <v>0</v>
      </c>
      <c r="L114" s="27">
        <v>0</v>
      </c>
      <c r="M114" s="27">
        <v>0</v>
      </c>
      <c r="N114" s="27">
        <v>0</v>
      </c>
      <c r="O114" s="27">
        <v>0</v>
      </c>
      <c r="P114" s="27">
        <v>0</v>
      </c>
      <c r="Q114" s="142">
        <f>SUM(E114:P114)</f>
        <v>0</v>
      </c>
      <c r="R114" s="142"/>
      <c r="S114" s="157"/>
    </row>
    <row r="115" spans="1:19" s="84" customFormat="1" ht="24.95" hidden="1" customHeight="1">
      <c r="A115" s="3" t="s">
        <v>319</v>
      </c>
      <c r="B115" s="3" t="s">
        <v>665</v>
      </c>
      <c r="C115" s="3"/>
      <c r="D115" s="26" t="s">
        <v>320</v>
      </c>
      <c r="E115" s="27">
        <v>0</v>
      </c>
      <c r="F115" s="27">
        <v>0</v>
      </c>
      <c r="G115" s="27">
        <v>0</v>
      </c>
      <c r="H115" s="27">
        <v>0</v>
      </c>
      <c r="I115" s="27">
        <v>0</v>
      </c>
      <c r="J115" s="27">
        <v>0</v>
      </c>
      <c r="K115" s="27">
        <v>0</v>
      </c>
      <c r="L115" s="27">
        <v>0</v>
      </c>
      <c r="M115" s="27">
        <v>0</v>
      </c>
      <c r="N115" s="27">
        <v>0</v>
      </c>
      <c r="O115" s="27">
        <v>0</v>
      </c>
      <c r="P115" s="27">
        <v>0</v>
      </c>
      <c r="Q115" s="142">
        <f t="shared" ref="Q115:Q120" si="19">SUM(E115:P115)</f>
        <v>0</v>
      </c>
      <c r="R115" s="142"/>
      <c r="S115" s="157"/>
    </row>
    <row r="116" spans="1:19" s="84" customFormat="1" ht="24.95" hidden="1" customHeight="1">
      <c r="A116" s="3" t="s">
        <v>321</v>
      </c>
      <c r="B116" s="3" t="s">
        <v>665</v>
      </c>
      <c r="C116" s="3"/>
      <c r="D116" s="26" t="s">
        <v>322</v>
      </c>
      <c r="E116" s="27">
        <v>0</v>
      </c>
      <c r="F116" s="27">
        <v>0</v>
      </c>
      <c r="G116" s="27">
        <v>0</v>
      </c>
      <c r="H116" s="27">
        <v>0</v>
      </c>
      <c r="I116" s="27">
        <v>0</v>
      </c>
      <c r="J116" s="27">
        <v>0</v>
      </c>
      <c r="K116" s="27">
        <v>0</v>
      </c>
      <c r="L116" s="27">
        <v>0</v>
      </c>
      <c r="M116" s="27">
        <v>0</v>
      </c>
      <c r="N116" s="27">
        <v>0</v>
      </c>
      <c r="O116" s="27">
        <v>0</v>
      </c>
      <c r="P116" s="27">
        <v>0</v>
      </c>
      <c r="Q116" s="142">
        <f t="shared" si="19"/>
        <v>0</v>
      </c>
      <c r="R116" s="142"/>
      <c r="S116" s="157"/>
    </row>
    <row r="117" spans="1:19" s="84" customFormat="1" ht="24.95" hidden="1" customHeight="1">
      <c r="A117" s="3" t="s">
        <v>323</v>
      </c>
      <c r="B117" s="3" t="s">
        <v>665</v>
      </c>
      <c r="C117" s="3"/>
      <c r="D117" s="26" t="s">
        <v>324</v>
      </c>
      <c r="E117" s="27">
        <v>0</v>
      </c>
      <c r="F117" s="27">
        <v>0</v>
      </c>
      <c r="G117" s="27">
        <v>0</v>
      </c>
      <c r="H117" s="27">
        <v>0</v>
      </c>
      <c r="I117" s="27">
        <v>0</v>
      </c>
      <c r="J117" s="27">
        <v>0</v>
      </c>
      <c r="K117" s="27">
        <v>0</v>
      </c>
      <c r="L117" s="27">
        <v>0</v>
      </c>
      <c r="M117" s="27">
        <v>0</v>
      </c>
      <c r="N117" s="27">
        <v>0</v>
      </c>
      <c r="O117" s="27">
        <v>0</v>
      </c>
      <c r="P117" s="27">
        <v>0</v>
      </c>
      <c r="Q117" s="142">
        <f t="shared" si="19"/>
        <v>0</v>
      </c>
      <c r="R117" s="142"/>
      <c r="S117" s="157"/>
    </row>
    <row r="118" spans="1:19" s="84" customFormat="1" ht="24.95" hidden="1" customHeight="1">
      <c r="A118" s="3" t="s">
        <v>325</v>
      </c>
      <c r="B118" s="3" t="s">
        <v>665</v>
      </c>
      <c r="C118" s="3"/>
      <c r="D118" s="26" t="s">
        <v>326</v>
      </c>
      <c r="E118" s="27">
        <v>0</v>
      </c>
      <c r="F118" s="27">
        <v>0</v>
      </c>
      <c r="G118" s="27">
        <v>0</v>
      </c>
      <c r="H118" s="27">
        <v>0</v>
      </c>
      <c r="I118" s="27">
        <v>0</v>
      </c>
      <c r="J118" s="27">
        <v>0</v>
      </c>
      <c r="K118" s="27">
        <v>0</v>
      </c>
      <c r="L118" s="27">
        <v>0</v>
      </c>
      <c r="M118" s="27">
        <v>0</v>
      </c>
      <c r="N118" s="27">
        <v>0</v>
      </c>
      <c r="O118" s="27">
        <v>0</v>
      </c>
      <c r="P118" s="27">
        <v>0</v>
      </c>
      <c r="Q118" s="142">
        <f t="shared" si="19"/>
        <v>0</v>
      </c>
      <c r="R118" s="142"/>
      <c r="S118" s="157"/>
    </row>
    <row r="119" spans="1:19" s="84" customFormat="1" ht="24.95" hidden="1" customHeight="1">
      <c r="A119" s="3" t="s">
        <v>327</v>
      </c>
      <c r="B119" s="3" t="s">
        <v>665</v>
      </c>
      <c r="C119" s="3"/>
      <c r="D119" s="26" t="s">
        <v>328</v>
      </c>
      <c r="E119" s="27">
        <v>0</v>
      </c>
      <c r="F119" s="27">
        <v>0</v>
      </c>
      <c r="G119" s="27">
        <v>0</v>
      </c>
      <c r="H119" s="27">
        <v>0</v>
      </c>
      <c r="I119" s="27">
        <v>0</v>
      </c>
      <c r="J119" s="27">
        <v>0</v>
      </c>
      <c r="K119" s="27">
        <v>0</v>
      </c>
      <c r="L119" s="27">
        <v>0</v>
      </c>
      <c r="M119" s="27">
        <v>0</v>
      </c>
      <c r="N119" s="27">
        <v>0</v>
      </c>
      <c r="O119" s="27">
        <v>0</v>
      </c>
      <c r="P119" s="27">
        <v>0</v>
      </c>
      <c r="Q119" s="142">
        <f t="shared" si="19"/>
        <v>0</v>
      </c>
      <c r="R119" s="142"/>
      <c r="S119" s="157"/>
    </row>
    <row r="120" spans="1:19" s="84" customFormat="1" ht="24.95" hidden="1" customHeight="1">
      <c r="A120" s="3" t="s">
        <v>329</v>
      </c>
      <c r="B120" s="3" t="s">
        <v>665</v>
      </c>
      <c r="C120" s="3"/>
      <c r="D120" s="26" t="s">
        <v>330</v>
      </c>
      <c r="E120" s="27">
        <v>0</v>
      </c>
      <c r="F120" s="27">
        <v>0</v>
      </c>
      <c r="G120" s="27">
        <v>0</v>
      </c>
      <c r="H120" s="27">
        <v>0</v>
      </c>
      <c r="I120" s="27">
        <v>0</v>
      </c>
      <c r="J120" s="27">
        <v>0</v>
      </c>
      <c r="K120" s="27">
        <v>0</v>
      </c>
      <c r="L120" s="27">
        <v>0</v>
      </c>
      <c r="M120" s="27">
        <v>0</v>
      </c>
      <c r="N120" s="27">
        <v>0</v>
      </c>
      <c r="O120" s="27">
        <v>0</v>
      </c>
      <c r="P120" s="27">
        <v>0</v>
      </c>
      <c r="Q120" s="142">
        <f t="shared" si="19"/>
        <v>0</v>
      </c>
      <c r="R120" s="142"/>
      <c r="S120" s="157"/>
    </row>
    <row r="121" spans="1:19" s="84" customFormat="1" ht="24.95" hidden="1" customHeight="1">
      <c r="A121" s="3" t="s">
        <v>331</v>
      </c>
      <c r="B121" s="3" t="s">
        <v>665</v>
      </c>
      <c r="C121" s="3"/>
      <c r="D121" s="26" t="s">
        <v>332</v>
      </c>
      <c r="E121" s="27">
        <v>0</v>
      </c>
      <c r="F121" s="27">
        <v>0</v>
      </c>
      <c r="G121" s="27">
        <v>0</v>
      </c>
      <c r="H121" s="27">
        <v>0</v>
      </c>
      <c r="I121" s="27">
        <v>0</v>
      </c>
      <c r="J121" s="27">
        <v>0</v>
      </c>
      <c r="K121" s="27">
        <v>0</v>
      </c>
      <c r="L121" s="27">
        <v>0</v>
      </c>
      <c r="M121" s="27">
        <v>0</v>
      </c>
      <c r="N121" s="27">
        <v>0</v>
      </c>
      <c r="O121" s="27">
        <v>0</v>
      </c>
      <c r="P121" s="27">
        <v>0</v>
      </c>
      <c r="Q121" s="142">
        <f t="shared" ref="Q121" si="20">SUM(E121:P121)</f>
        <v>0</v>
      </c>
      <c r="R121" s="142"/>
      <c r="S121" s="157"/>
    </row>
    <row r="122" spans="1:19" s="84" customFormat="1" ht="24.95" hidden="1" customHeight="1">
      <c r="A122" s="3"/>
      <c r="B122" s="3"/>
      <c r="C122" s="3"/>
      <c r="D122" s="19" t="s">
        <v>333</v>
      </c>
      <c r="E122" s="160">
        <f>SUM(E114:E121)</f>
        <v>0</v>
      </c>
      <c r="F122" s="160">
        <f t="shared" ref="F122:Q122" si="21">SUM(F114:F121)</f>
        <v>0</v>
      </c>
      <c r="G122" s="160">
        <f t="shared" si="21"/>
        <v>0</v>
      </c>
      <c r="H122" s="160">
        <f t="shared" si="21"/>
        <v>0</v>
      </c>
      <c r="I122" s="160">
        <f t="shared" si="21"/>
        <v>0</v>
      </c>
      <c r="J122" s="160">
        <f t="shared" si="21"/>
        <v>0</v>
      </c>
      <c r="K122" s="160">
        <f t="shared" si="21"/>
        <v>0</v>
      </c>
      <c r="L122" s="160">
        <f t="shared" si="21"/>
        <v>0</v>
      </c>
      <c r="M122" s="160">
        <f t="shared" si="21"/>
        <v>0</v>
      </c>
      <c r="N122" s="160">
        <f t="shared" si="21"/>
        <v>0</v>
      </c>
      <c r="O122" s="160">
        <f t="shared" si="21"/>
        <v>0</v>
      </c>
      <c r="P122" s="160">
        <f t="shared" si="21"/>
        <v>0</v>
      </c>
      <c r="Q122" s="160">
        <f t="shared" si="21"/>
        <v>0</v>
      </c>
      <c r="R122" s="160"/>
      <c r="S122" s="157"/>
    </row>
    <row r="123" spans="1:19" s="84" customFormat="1" ht="24.95" hidden="1" customHeight="1">
      <c r="A123" s="3"/>
      <c r="B123" s="3"/>
      <c r="C123" s="3"/>
      <c r="D123" s="3"/>
      <c r="E123" s="3"/>
      <c r="F123" s="3"/>
      <c r="G123" s="3"/>
      <c r="H123" s="3"/>
      <c r="I123" s="3"/>
      <c r="J123" s="3"/>
      <c r="K123" s="3"/>
      <c r="L123" s="3"/>
      <c r="M123" s="161"/>
      <c r="S123" s="157"/>
    </row>
    <row r="124" spans="1:19" s="84" customFormat="1" ht="24.95" hidden="1" customHeight="1">
      <c r="A124" s="3" t="s">
        <v>334</v>
      </c>
      <c r="B124" s="3" t="s">
        <v>665</v>
      </c>
      <c r="C124" s="3"/>
      <c r="D124" s="26" t="s">
        <v>335</v>
      </c>
      <c r="E124" s="27">
        <v>0</v>
      </c>
      <c r="F124" s="27">
        <v>0</v>
      </c>
      <c r="G124" s="27">
        <v>0</v>
      </c>
      <c r="H124" s="27">
        <v>0</v>
      </c>
      <c r="I124" s="27">
        <v>0</v>
      </c>
      <c r="J124" s="27">
        <v>0</v>
      </c>
      <c r="K124" s="27">
        <v>0</v>
      </c>
      <c r="L124" s="27">
        <v>0</v>
      </c>
      <c r="M124" s="27">
        <v>0</v>
      </c>
      <c r="N124" s="27">
        <v>0</v>
      </c>
      <c r="O124" s="27">
        <v>0</v>
      </c>
      <c r="P124" s="27">
        <v>0</v>
      </c>
      <c r="Q124" s="142">
        <f>SUM(E124:P124)</f>
        <v>0</v>
      </c>
      <c r="R124" s="142"/>
      <c r="S124" s="157"/>
    </row>
    <row r="125" spans="1:19" s="84" customFormat="1" ht="24.95" hidden="1" customHeight="1">
      <c r="A125" s="3" t="s">
        <v>336</v>
      </c>
      <c r="B125" s="3" t="s">
        <v>665</v>
      </c>
      <c r="C125" s="3"/>
      <c r="D125" s="3" t="s">
        <v>337</v>
      </c>
      <c r="E125" s="27">
        <v>0</v>
      </c>
      <c r="F125" s="27">
        <v>0</v>
      </c>
      <c r="G125" s="27">
        <v>0</v>
      </c>
      <c r="H125" s="27">
        <v>0</v>
      </c>
      <c r="I125" s="27">
        <v>0</v>
      </c>
      <c r="J125" s="27">
        <v>0</v>
      </c>
      <c r="K125" s="27">
        <v>0</v>
      </c>
      <c r="L125" s="27">
        <v>0</v>
      </c>
      <c r="M125" s="27">
        <v>0</v>
      </c>
      <c r="N125" s="27">
        <v>0</v>
      </c>
      <c r="O125" s="27">
        <v>0</v>
      </c>
      <c r="P125" s="27">
        <v>0</v>
      </c>
      <c r="Q125" s="142">
        <f t="shared" ref="Q125:Q130" si="22">SUM(E125:P125)</f>
        <v>0</v>
      </c>
      <c r="R125" s="142"/>
      <c r="S125" s="157"/>
    </row>
    <row r="126" spans="1:19" s="84" customFormat="1" ht="24.95" hidden="1" customHeight="1">
      <c r="A126" s="3" t="s">
        <v>338</v>
      </c>
      <c r="B126" s="3" t="s">
        <v>665</v>
      </c>
      <c r="C126" s="3"/>
      <c r="D126" s="26" t="s">
        <v>339</v>
      </c>
      <c r="E126" s="27">
        <v>0</v>
      </c>
      <c r="F126" s="27">
        <v>0</v>
      </c>
      <c r="G126" s="27">
        <v>0</v>
      </c>
      <c r="H126" s="27">
        <v>0</v>
      </c>
      <c r="I126" s="27">
        <v>0</v>
      </c>
      <c r="J126" s="27">
        <v>0</v>
      </c>
      <c r="K126" s="27">
        <v>0</v>
      </c>
      <c r="L126" s="27">
        <v>0</v>
      </c>
      <c r="M126" s="27">
        <v>0</v>
      </c>
      <c r="N126" s="27">
        <v>0</v>
      </c>
      <c r="O126" s="27">
        <v>0</v>
      </c>
      <c r="P126" s="27">
        <v>0</v>
      </c>
      <c r="Q126" s="142">
        <f t="shared" si="22"/>
        <v>0</v>
      </c>
      <c r="R126" s="142"/>
      <c r="S126" s="157"/>
    </row>
    <row r="127" spans="1:19" s="84" customFormat="1" ht="24.95" hidden="1" customHeight="1">
      <c r="A127" s="3" t="s">
        <v>340</v>
      </c>
      <c r="B127" s="3" t="s">
        <v>665</v>
      </c>
      <c r="C127" s="3"/>
      <c r="D127" s="26" t="s">
        <v>341</v>
      </c>
      <c r="E127" s="27">
        <v>0</v>
      </c>
      <c r="F127" s="27">
        <v>0</v>
      </c>
      <c r="G127" s="27">
        <v>0</v>
      </c>
      <c r="H127" s="27">
        <v>0</v>
      </c>
      <c r="I127" s="27">
        <v>0</v>
      </c>
      <c r="J127" s="27">
        <v>0</v>
      </c>
      <c r="K127" s="27">
        <v>0</v>
      </c>
      <c r="L127" s="27">
        <v>0</v>
      </c>
      <c r="M127" s="27">
        <v>0</v>
      </c>
      <c r="N127" s="27">
        <v>0</v>
      </c>
      <c r="O127" s="27">
        <v>0</v>
      </c>
      <c r="P127" s="27">
        <v>0</v>
      </c>
      <c r="Q127" s="142">
        <f t="shared" si="22"/>
        <v>0</v>
      </c>
      <c r="R127" s="142"/>
      <c r="S127" s="157"/>
    </row>
    <row r="128" spans="1:19" s="84" customFormat="1" ht="24.95" hidden="1" customHeight="1">
      <c r="A128" s="3" t="s">
        <v>342</v>
      </c>
      <c r="B128" s="3" t="s">
        <v>665</v>
      </c>
      <c r="C128" s="3"/>
      <c r="D128" s="26" t="s">
        <v>343</v>
      </c>
      <c r="E128" s="27">
        <v>0</v>
      </c>
      <c r="F128" s="27">
        <v>0</v>
      </c>
      <c r="G128" s="27">
        <v>0</v>
      </c>
      <c r="H128" s="27">
        <v>0</v>
      </c>
      <c r="I128" s="27">
        <v>0</v>
      </c>
      <c r="J128" s="27">
        <v>0</v>
      </c>
      <c r="K128" s="27">
        <v>0</v>
      </c>
      <c r="L128" s="27">
        <v>0</v>
      </c>
      <c r="M128" s="27">
        <v>0</v>
      </c>
      <c r="N128" s="27">
        <v>0</v>
      </c>
      <c r="O128" s="27">
        <v>0</v>
      </c>
      <c r="P128" s="27">
        <v>0</v>
      </c>
      <c r="Q128" s="142">
        <f t="shared" si="22"/>
        <v>0</v>
      </c>
      <c r="R128" s="142"/>
      <c r="S128" s="157"/>
    </row>
    <row r="129" spans="1:19" s="84" customFormat="1" ht="24.95" hidden="1" customHeight="1">
      <c r="A129" s="3" t="s">
        <v>344</v>
      </c>
      <c r="B129" s="3" t="s">
        <v>665</v>
      </c>
      <c r="C129" s="3"/>
      <c r="D129" s="26" t="s">
        <v>345</v>
      </c>
      <c r="E129" s="27">
        <v>0</v>
      </c>
      <c r="F129" s="27">
        <v>0</v>
      </c>
      <c r="G129" s="27">
        <v>0</v>
      </c>
      <c r="H129" s="27">
        <v>0</v>
      </c>
      <c r="I129" s="27">
        <v>0</v>
      </c>
      <c r="J129" s="27">
        <v>0</v>
      </c>
      <c r="K129" s="27">
        <v>0</v>
      </c>
      <c r="L129" s="27">
        <v>0</v>
      </c>
      <c r="M129" s="27">
        <v>0</v>
      </c>
      <c r="N129" s="27">
        <v>0</v>
      </c>
      <c r="O129" s="27">
        <v>0</v>
      </c>
      <c r="P129" s="27">
        <v>0</v>
      </c>
      <c r="Q129" s="142">
        <f t="shared" si="22"/>
        <v>0</v>
      </c>
      <c r="R129" s="142"/>
      <c r="S129" s="157"/>
    </row>
    <row r="130" spans="1:19" s="84" customFormat="1" ht="24.95" hidden="1" customHeight="1">
      <c r="A130" s="3" t="s">
        <v>640</v>
      </c>
      <c r="B130" s="3" t="s">
        <v>665</v>
      </c>
      <c r="C130" s="3"/>
      <c r="D130" s="26" t="s">
        <v>347</v>
      </c>
      <c r="E130" s="27">
        <v>0</v>
      </c>
      <c r="F130" s="27">
        <v>0</v>
      </c>
      <c r="G130" s="27">
        <v>0</v>
      </c>
      <c r="H130" s="27">
        <v>0</v>
      </c>
      <c r="I130" s="27">
        <v>0</v>
      </c>
      <c r="J130" s="27">
        <v>0</v>
      </c>
      <c r="K130" s="27">
        <v>0</v>
      </c>
      <c r="L130" s="27">
        <v>0</v>
      </c>
      <c r="M130" s="27">
        <v>0</v>
      </c>
      <c r="N130" s="27">
        <v>0</v>
      </c>
      <c r="O130" s="27">
        <v>0</v>
      </c>
      <c r="P130" s="27">
        <v>0</v>
      </c>
      <c r="Q130" s="142">
        <f t="shared" si="22"/>
        <v>0</v>
      </c>
      <c r="R130" s="142"/>
      <c r="S130" s="157"/>
    </row>
    <row r="131" spans="1:19" s="84" customFormat="1" ht="24.95" hidden="1" customHeight="1">
      <c r="A131" s="3"/>
      <c r="B131" s="3"/>
      <c r="C131" s="3"/>
      <c r="D131" s="19" t="s">
        <v>348</v>
      </c>
      <c r="E131" s="160">
        <f>SUM(E124:E130)</f>
        <v>0</v>
      </c>
      <c r="F131" s="160">
        <f t="shared" ref="F131:Q131" si="23">SUM(F124:F130)</f>
        <v>0</v>
      </c>
      <c r="G131" s="160">
        <f t="shared" si="23"/>
        <v>0</v>
      </c>
      <c r="H131" s="160">
        <f t="shared" si="23"/>
        <v>0</v>
      </c>
      <c r="I131" s="160">
        <f t="shared" si="23"/>
        <v>0</v>
      </c>
      <c r="J131" s="160">
        <f t="shared" si="23"/>
        <v>0</v>
      </c>
      <c r="K131" s="160">
        <f t="shared" si="23"/>
        <v>0</v>
      </c>
      <c r="L131" s="160">
        <f t="shared" si="23"/>
        <v>0</v>
      </c>
      <c r="M131" s="160">
        <f t="shared" si="23"/>
        <v>0</v>
      </c>
      <c r="N131" s="160">
        <f t="shared" si="23"/>
        <v>0</v>
      </c>
      <c r="O131" s="160">
        <f t="shared" si="23"/>
        <v>0</v>
      </c>
      <c r="P131" s="160">
        <f t="shared" si="23"/>
        <v>0</v>
      </c>
      <c r="Q131" s="160">
        <f t="shared" si="23"/>
        <v>0</v>
      </c>
      <c r="R131" s="160"/>
      <c r="S131" s="157"/>
    </row>
    <row r="132" spans="1:19" s="84" customFormat="1" ht="24.95" hidden="1" customHeight="1">
      <c r="A132" s="3"/>
      <c r="B132" s="3"/>
      <c r="C132" s="3"/>
      <c r="D132" s="19" t="s">
        <v>349</v>
      </c>
      <c r="E132" s="160">
        <f>E105+E112+E122+E131</f>
        <v>0</v>
      </c>
      <c r="F132" s="160">
        <f t="shared" ref="F132:P132" si="24">F105+F112+F122+F131</f>
        <v>0</v>
      </c>
      <c r="G132" s="160">
        <f t="shared" si="24"/>
        <v>0</v>
      </c>
      <c r="H132" s="160">
        <f t="shared" si="24"/>
        <v>0</v>
      </c>
      <c r="I132" s="160">
        <f t="shared" si="24"/>
        <v>0</v>
      </c>
      <c r="J132" s="160">
        <f t="shared" si="24"/>
        <v>0</v>
      </c>
      <c r="K132" s="160">
        <f t="shared" si="24"/>
        <v>0</v>
      </c>
      <c r="L132" s="160">
        <f t="shared" si="24"/>
        <v>0</v>
      </c>
      <c r="M132" s="160">
        <f t="shared" si="24"/>
        <v>0</v>
      </c>
      <c r="N132" s="160">
        <f t="shared" si="24"/>
        <v>0</v>
      </c>
      <c r="O132" s="160">
        <f t="shared" si="24"/>
        <v>0</v>
      </c>
      <c r="P132" s="160">
        <f t="shared" si="24"/>
        <v>0</v>
      </c>
      <c r="Q132" s="160">
        <f t="shared" ref="Q132" si="25">Q105+Q112+Q122+Q131</f>
        <v>0</v>
      </c>
      <c r="R132" s="160"/>
      <c r="S132" s="157"/>
    </row>
    <row r="133" spans="1:19" s="42" customFormat="1" ht="24.95" hidden="1" customHeight="1">
      <c r="S133" s="165"/>
    </row>
    <row r="134" spans="1:19" s="84" customFormat="1" ht="24.95" hidden="1" customHeight="1">
      <c r="A134" s="3" t="s">
        <v>105</v>
      </c>
      <c r="B134" s="3" t="s">
        <v>665</v>
      </c>
      <c r="C134" s="3"/>
      <c r="D134" s="19" t="s">
        <v>352</v>
      </c>
      <c r="E134" s="27">
        <v>0</v>
      </c>
      <c r="F134" s="27">
        <v>0</v>
      </c>
      <c r="G134" s="27">
        <v>0</v>
      </c>
      <c r="H134" s="27">
        <v>0</v>
      </c>
      <c r="I134" s="27">
        <v>0</v>
      </c>
      <c r="J134" s="27">
        <v>0</v>
      </c>
      <c r="K134" s="27">
        <v>0</v>
      </c>
      <c r="L134" s="27">
        <v>0</v>
      </c>
      <c r="M134" s="27">
        <v>0</v>
      </c>
      <c r="N134" s="27">
        <v>0</v>
      </c>
      <c r="O134" s="27">
        <v>0</v>
      </c>
      <c r="P134" s="27">
        <v>0</v>
      </c>
      <c r="Q134" s="166">
        <f>SUM(E134:P134)/12</f>
        <v>0</v>
      </c>
      <c r="R134" s="167"/>
      <c r="S134" s="157"/>
    </row>
    <row r="135" spans="1:19" ht="26.25" hidden="1" customHeight="1"/>
  </sheetData>
  <phoneticPr fontId="57" type="noConversion"/>
  <dataValidations count="2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3695725_x000d__x000a_" sqref="Q15">
      <formula1>0</formula1>
      <formula2>300</formula2>
    </dataValidation>
    <dataValidation type="textLength" errorStyle="information" allowBlank="1" showInputMessage="1" showErrorMessage="1" error="XLBVal:6=13150.84_x000d__x000a_" sqref="E12:P12">
      <formula1>0</formula1>
      <formula2>300</formula2>
    </dataValidation>
    <dataValidation type="textLength" errorStyle="information" allowBlank="1" showInputMessage="1" showErrorMessage="1" error="XLBVal:6=28034847_x000d__x000a_" sqref="Q14">
      <formula1>0</formula1>
      <formula2>300</formula2>
    </dataValidation>
    <dataValidation type="textLength" errorStyle="information" allowBlank="1" showInputMessage="1" showErrorMessage="1" error="XLBVal:5=1285238.57_x000d__x000a_" sqref="F16:R16 E22:R22 E16:E17 R95:R97">
      <formula1>0</formula1>
      <formula2>300</formula2>
    </dataValidation>
    <dataValidation type="textLength" errorStyle="information" allowBlank="1" showInputMessage="1" showErrorMessage="1" error="XLBVal:5=2443234.73_x000d__x000a_" sqref="E18">
      <formula1>0</formula1>
      <formula2>300</formula2>
    </dataValidation>
    <dataValidation type="textLength" errorStyle="information" allowBlank="1" showInputMessage="1" showErrorMessage="1" error="XLBVal:5=1616616_x000d__x000a_" sqref="G17:L17">
      <formula1>0</formula1>
      <formula2>300</formula2>
    </dataValidation>
    <dataValidation type="textLength" errorStyle="information" allowBlank="1" showInputMessage="1" showErrorMessage="1" error="XLBVal:5=3384188.86_x000d__x000a_" sqref="G18:L18">
      <formula1>0</formula1>
      <formula2>300</formula2>
    </dataValidation>
    <dataValidation type="textLength" errorStyle="information" allowBlank="1" showInputMessage="1" showErrorMessage="1" error="XLBVal:6=976708_x000d__x000a_" sqref="Q20">
      <formula1>0</formula1>
      <formula2>300</formula2>
    </dataValidation>
    <dataValidation type="textLength" errorStyle="information" allowBlank="1" showInputMessage="1" showErrorMessage="1" error="XLBVal:6=-3797.66_x000d__x000a_" sqref="E19:P19">
      <formula1>0</formula1>
      <formula2>300</formula2>
    </dataValidation>
    <dataValidation type="textLength" errorStyle="information" allowBlank="1" showInputMessage="1" showErrorMessage="1" error="XLBVal:6=25196619_x000d__x000a_" sqref="Q19">
      <formula1>0</formula1>
      <formula2>300</formula2>
    </dataValidation>
    <dataValidation type="textLength" errorStyle="information" allowBlank="1" showInputMessage="1" showErrorMessage="1" error="XLBVal:2=0_x000d__x000a_" sqref="E20:P20 E21:Q21 E23:L23 R24 E96:Q96 E121:Q121 E134:P134 R134 E27:E94 F25:F94 Q12:Q13 Q27:Q95 R12:R15 R19:R21 R27:R94 R107:R111 R114:R121 R124:R130 G27:P94 E107:P111 E102:R104 E114:P120 E13:P15 E124:P130">
      <formula1>0</formula1>
      <formula2>300</formula2>
    </dataValidation>
    <dataValidation type="textLength" errorStyle="information" allowBlank="1" showInputMessage="1" showErrorMessage="1" error="XLBVal:6=1067901.23_x000d__x000a_" sqref="E24:P24">
      <formula1>0</formula1>
      <formula2>300</formula2>
    </dataValidation>
    <dataValidation type="textLength" errorStyle="information" allowBlank="1" showInputMessage="1" showErrorMessage="1" error="XLBVal:6=30983026_x000d__x000a_" sqref="Q24">
      <formula1>0</formula1>
      <formula2>300</formula2>
    </dataValidation>
    <dataValidation type="textLength" errorStyle="information" allowBlank="1" showInputMessage="1" showErrorMessage="1" error="XLBVal:6=108592.14_x000d__x000a_" sqref="E95:P95">
      <formula1>0</formula1>
      <formula2>300</formula2>
    </dataValidation>
    <dataValidation type="textLength" errorStyle="information" allowBlank="1" showInputMessage="1" showErrorMessage="1" error="XLBVal:6=0_x000d__x000a_" sqref="E97:Q97">
      <formula1>0</formula1>
      <formula2>300</formula2>
    </dataValidation>
    <dataValidation type="textLength" errorStyle="information" allowBlank="1" showInputMessage="1" showErrorMessage="1" error="XLBVal:6=3239.86_x000d__x000a_" sqref="E98:R98">
      <formula1>0</formula1>
      <formula2>300</formula2>
    </dataValidation>
    <dataValidation type="textLength" errorStyle="information" allowBlank="1" showInputMessage="1" showErrorMessage="1" error="XLBVal:6=3678_x000d__x000a_" sqref="E123:L123">
      <formula1>0</formula1>
      <formula2>300</formula2>
    </dataValidation>
    <dataValidation type="textLength" errorStyle="information" allowBlank="1" showInputMessage="1" showErrorMessage="1" sqref="E133:L133 E99:L101">
      <formula1>0</formula1>
      <formula2>300</formula2>
    </dataValidation>
    <dataValidation type="textLength" errorStyle="information" allowBlank="1" showInputMessage="1" showErrorMessage="1" error="XLBVal:6=3780_x000d__x000a_" sqref="Q134">
      <formula1>0</formula1>
      <formula2>300</formula2>
    </dataValidation>
    <dataValidation type="textLength" errorStyle="information" allowBlank="1" showInputMessage="1" showErrorMessage="1" error="XLBVal:6=6688509.16_x000d__x000a_" sqref="E25:E26">
      <formula1>0</formula1>
      <formula2>300</formula2>
    </dataValidation>
    <dataValidation type="textLength" errorStyle="information" allowBlank="1" showInputMessage="1" showErrorMessage="1" error="XLBVal:5=0_x000d__x000a_" sqref="F17:F18">
      <formula1>0</formula1>
      <formula2>300</formula2>
    </dataValidation>
    <dataValidation type="textLength" errorStyle="information" allowBlank="1" showInputMessage="1" showErrorMessage="1" error="XLBVal:6=995082_x000d__x000a_" sqref="Q107:Q111">
      <formula1>0</formula1>
      <formula2>300</formula2>
    </dataValidation>
    <dataValidation type="textLength" errorStyle="information" allowBlank="1" showInputMessage="1" showErrorMessage="1" error="XLBVal:6=2660698_x000d__x000a_" sqref="Q114:Q120 Q124:Q130">
      <formula1>0</formula1>
      <formula2>300</formula2>
    </dataValidation>
    <dataValidation type="textLength" errorStyle="information" allowBlank="1" showInputMessage="1" showErrorMessage="1" error="XLBVal:6=6595485.04_x000d__x000a_" sqref="G25:L26">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tabColor rgb="FF00B050"/>
    <pageSetUpPr fitToPage="1"/>
  </sheetPr>
  <dimension ref="A1:U138"/>
  <sheetViews>
    <sheetView zoomScale="50" zoomScaleNormal="50" zoomScaleSheetLayoutView="40" workbookViewId="0">
      <pane xSplit="4" ySplit="11" topLeftCell="E12" activePane="bottomRight" state="frozen"/>
      <selection activeCell="D1" sqref="D1"/>
      <selection pane="topRight" activeCell="E1" sqref="E1"/>
      <selection pane="bottomLeft" activeCell="D12" sqref="D12"/>
      <selection pane="bottomRight" activeCell="Z38" sqref="Z38"/>
    </sheetView>
  </sheetViews>
  <sheetFormatPr defaultColWidth="8.875" defaultRowHeight="26.25" customHeight="1" outlineLevelRow="1" outlineLevelCol="1"/>
  <cols>
    <col min="1" max="3" width="15.5" style="5" hidden="1" customWidth="1" outlineLevel="1"/>
    <col min="4" max="4" width="76.5" style="6" customWidth="1" collapsed="1"/>
    <col min="5" max="9" width="20.25" style="7" customWidth="1"/>
    <col min="10" max="16" width="20.25" style="5" customWidth="1"/>
    <col min="17" max="17" width="23.5" style="5" bestFit="1" customWidth="1"/>
    <col min="18" max="18" width="28.125" style="5" hidden="1" customWidth="1"/>
    <col min="19" max="19" width="14.125" style="5" customWidth="1"/>
    <col min="20" max="20" width="22.5" style="8" hidden="1" customWidth="1"/>
    <col min="21" max="21" width="22.5" style="5" hidden="1" customWidth="1"/>
    <col min="22" max="23" width="20.375" style="5" customWidth="1"/>
    <col min="24" max="16384" width="8.875" style="5"/>
  </cols>
  <sheetData>
    <row r="1" spans="1:21" s="1" customFormat="1" ht="15" customHeight="1" outlineLevel="1">
      <c r="E1" s="9"/>
      <c r="F1" s="9"/>
      <c r="G1" s="9"/>
      <c r="H1" s="9"/>
      <c r="I1" s="9"/>
      <c r="J1" s="9"/>
      <c r="K1" s="9"/>
      <c r="L1" s="9"/>
      <c r="M1" s="9"/>
      <c r="N1" s="9"/>
      <c r="O1" s="9"/>
      <c r="P1" s="9"/>
      <c r="Q1" s="9"/>
      <c r="R1" s="9" t="s">
        <v>14</v>
      </c>
      <c r="T1" s="32"/>
    </row>
    <row r="2" spans="1:21" s="1" customFormat="1" ht="15" customHeight="1" outlineLevel="1">
      <c r="E2" s="9"/>
      <c r="F2" s="9"/>
      <c r="G2" s="9"/>
      <c r="H2" s="9"/>
      <c r="I2" s="9"/>
      <c r="J2" s="9"/>
      <c r="K2" s="9"/>
      <c r="L2" s="9"/>
      <c r="M2" s="9"/>
      <c r="N2" s="9"/>
      <c r="O2" s="9"/>
      <c r="P2" s="9"/>
      <c r="Q2" s="9"/>
      <c r="R2" s="9" t="s">
        <v>15</v>
      </c>
      <c r="T2" s="32"/>
    </row>
    <row r="3" spans="1:21" s="1" customFormat="1" ht="15" customHeight="1" outlineLevel="1">
      <c r="E3" s="9"/>
      <c r="F3" s="9"/>
      <c r="G3" s="9"/>
      <c r="H3" s="9"/>
      <c r="I3" s="9"/>
      <c r="J3" s="9"/>
      <c r="K3" s="9"/>
      <c r="L3" s="9"/>
      <c r="M3" s="9"/>
      <c r="N3" s="9"/>
      <c r="O3" s="9"/>
      <c r="P3" s="9"/>
      <c r="Q3" s="9"/>
      <c r="R3" s="9" t="s">
        <v>375</v>
      </c>
      <c r="T3" s="32"/>
    </row>
    <row r="4" spans="1:21" s="2" customFormat="1" ht="24.6" customHeight="1">
      <c r="D4" s="10" t="str">
        <f>[6]Summary!$D$4</f>
        <v>Hotel Budget Report</v>
      </c>
      <c r="E4" s="11"/>
      <c r="F4" s="11"/>
      <c r="G4" s="12"/>
      <c r="H4" s="13"/>
      <c r="I4" s="13"/>
      <c r="T4" s="33"/>
    </row>
    <row r="5" spans="1:21" s="2" customFormat="1" ht="24.6" customHeight="1">
      <c r="D5" s="10" t="str">
        <f>[6]Summary!$D$5</f>
        <v>酒店预算报表</v>
      </c>
      <c r="E5" s="11"/>
      <c r="F5" s="11"/>
      <c r="G5" s="12"/>
      <c r="H5" s="13"/>
      <c r="I5" s="13"/>
      <c r="T5" s="33"/>
    </row>
    <row r="6" spans="1:21" s="2" customFormat="1" ht="24.6" customHeight="1">
      <c r="D6" s="14" t="s">
        <v>676</v>
      </c>
      <c r="E6" s="13"/>
      <c r="F6" s="13"/>
      <c r="G6" s="13"/>
      <c r="H6" s="13"/>
      <c r="I6" s="13"/>
      <c r="T6" s="33"/>
    </row>
    <row r="7" spans="1:21" s="2" customFormat="1" ht="24.6" customHeight="1">
      <c r="D7" s="15" t="s">
        <v>1188</v>
      </c>
      <c r="E7" s="13"/>
      <c r="F7" s="13"/>
      <c r="G7" s="13"/>
      <c r="H7" s="13"/>
      <c r="I7" s="13"/>
      <c r="J7" s="13"/>
      <c r="K7" s="13"/>
      <c r="L7" s="13"/>
      <c r="M7" s="13"/>
      <c r="N7" s="13"/>
      <c r="O7" s="13"/>
      <c r="P7" s="13"/>
      <c r="T7" s="33"/>
    </row>
    <row r="8" spans="1:21" ht="24.6"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R9" s="18">
        <v>2018</v>
      </c>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T10" s="36" t="s">
        <v>24</v>
      </c>
      <c r="U10" s="37" t="s">
        <v>25</v>
      </c>
    </row>
    <row r="11" spans="1:21" s="3" customFormat="1" ht="24.95" hidden="1" customHeight="1">
      <c r="D11" s="21"/>
      <c r="E11" s="22"/>
      <c r="F11" s="22"/>
      <c r="G11" s="22"/>
      <c r="H11" s="23"/>
      <c r="I11" s="23"/>
      <c r="T11" s="35"/>
    </row>
    <row r="12" spans="1:21" s="3" customFormat="1" ht="24.95" customHeight="1">
      <c r="A12" s="3" t="s">
        <v>482</v>
      </c>
      <c r="B12" s="3" t="s">
        <v>616</v>
      </c>
      <c r="D12" s="21" t="s">
        <v>137</v>
      </c>
      <c r="E12" s="43">
        <f>+E122</f>
        <v>58600.47</v>
      </c>
      <c r="F12" s="43">
        <f t="shared" ref="F12:P12" si="0">+F122</f>
        <v>51895.229999999996</v>
      </c>
      <c r="G12" s="43">
        <f t="shared" si="0"/>
        <v>51953.090000000004</v>
      </c>
      <c r="H12" s="43">
        <f t="shared" si="0"/>
        <v>58600.47</v>
      </c>
      <c r="I12" s="43">
        <f t="shared" si="0"/>
        <v>67600.47</v>
      </c>
      <c r="J12" s="43">
        <f t="shared" si="0"/>
        <v>58600.47</v>
      </c>
      <c r="K12" s="43">
        <f t="shared" si="0"/>
        <v>57948.62</v>
      </c>
      <c r="L12" s="43">
        <f t="shared" si="0"/>
        <v>57948.62</v>
      </c>
      <c r="M12" s="43">
        <f t="shared" si="0"/>
        <v>61610.86</v>
      </c>
      <c r="N12" s="43">
        <f t="shared" si="0"/>
        <v>62935.34</v>
      </c>
      <c r="O12" s="43">
        <f t="shared" si="0"/>
        <v>55948.62</v>
      </c>
      <c r="P12" s="43">
        <f t="shared" si="0"/>
        <v>53948.62</v>
      </c>
      <c r="Q12" s="43">
        <f>SUM(E12:P12)</f>
        <v>697590.87999999989</v>
      </c>
      <c r="R12" s="43">
        <v>8988613.5600000005</v>
      </c>
      <c r="S12" s="39">
        <f>Q12/'[6]F&amp;B Summary'!$Q$50</f>
        <v>0.13235875086541382</v>
      </c>
      <c r="T12" s="35"/>
      <c r="U12" s="40" t="e">
        <f>-IF(Q12-T12=0,0,(Q12-T12)/T12)</f>
        <v>#DIV/0!</v>
      </c>
    </row>
    <row r="13" spans="1:21" s="3" customFormat="1" ht="24.95" customHeight="1">
      <c r="D13" s="26"/>
      <c r="E13" s="24"/>
      <c r="F13" s="24"/>
      <c r="G13" s="24"/>
      <c r="H13" s="25"/>
      <c r="I13" s="25"/>
      <c r="J13" s="25"/>
      <c r="K13" s="25"/>
      <c r="L13" s="25"/>
      <c r="M13" s="25"/>
      <c r="N13" s="25"/>
      <c r="O13" s="25"/>
      <c r="P13" s="25"/>
      <c r="T13" s="35"/>
      <c r="U13" s="40"/>
    </row>
    <row r="14" spans="1:21" s="3" customFormat="1" ht="24.95" customHeight="1">
      <c r="D14" s="21" t="s">
        <v>138</v>
      </c>
      <c r="E14" s="24"/>
      <c r="F14" s="24"/>
      <c r="G14" s="24"/>
      <c r="H14" s="24"/>
      <c r="I14" s="24"/>
      <c r="J14" s="24"/>
      <c r="K14" s="24"/>
      <c r="L14" s="24"/>
      <c r="M14" s="24"/>
      <c r="N14" s="24"/>
      <c r="O14" s="24"/>
      <c r="P14" s="24"/>
      <c r="Q14" s="3">
        <f>SUM(E14:P14)</f>
        <v>0</v>
      </c>
      <c r="S14" s="34" t="s">
        <v>433</v>
      </c>
      <c r="T14" s="145"/>
      <c r="U14" s="40"/>
    </row>
    <row r="15" spans="1:21" s="3" customFormat="1" ht="24.95" hidden="1" customHeight="1">
      <c r="A15" s="3" t="s">
        <v>484</v>
      </c>
      <c r="B15" s="3" t="s">
        <v>616</v>
      </c>
      <c r="D15" s="26" t="s">
        <v>485</v>
      </c>
      <c r="E15" s="27">
        <v>0</v>
      </c>
      <c r="F15" s="27">
        <v>0</v>
      </c>
      <c r="G15" s="27">
        <v>0</v>
      </c>
      <c r="H15" s="27">
        <v>0</v>
      </c>
      <c r="I15" s="27">
        <v>0</v>
      </c>
      <c r="J15" s="27">
        <v>0</v>
      </c>
      <c r="K15" s="27">
        <v>0</v>
      </c>
      <c r="L15" s="27">
        <v>0</v>
      </c>
      <c r="M15" s="27">
        <v>0</v>
      </c>
      <c r="N15" s="27">
        <v>0</v>
      </c>
      <c r="O15" s="27">
        <v>0</v>
      </c>
      <c r="P15" s="27">
        <v>0</v>
      </c>
      <c r="Q15" s="3">
        <f>SUM(E15:P15)</f>
        <v>0</v>
      </c>
      <c r="R15" s="3">
        <v>0</v>
      </c>
      <c r="S15" s="142" t="e">
        <f>R15/#REF!</f>
        <v>#REF!</v>
      </c>
      <c r="T15" s="35"/>
      <c r="U15" s="40">
        <f t="shared" ref="U15:U22" si="1">IF(Q15-T15=0,0,(Q15-T15)/T15)</f>
        <v>0</v>
      </c>
    </row>
    <row r="16" spans="1:21" s="3" customFormat="1" ht="24.95" hidden="1" customHeight="1">
      <c r="A16" s="3" t="s">
        <v>486</v>
      </c>
      <c r="B16" s="3" t="s">
        <v>616</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R16" s="3">
        <v>0</v>
      </c>
      <c r="T16" s="35"/>
      <c r="U16" s="40">
        <f t="shared" si="1"/>
        <v>0</v>
      </c>
    </row>
    <row r="17" spans="1:21" s="3" customFormat="1" ht="24.95" hidden="1" customHeight="1">
      <c r="A17" s="3" t="s">
        <v>488</v>
      </c>
      <c r="B17" s="3" t="s">
        <v>616</v>
      </c>
      <c r="D17" s="26" t="s">
        <v>489</v>
      </c>
      <c r="E17" s="27">
        <v>0</v>
      </c>
      <c r="F17" s="27">
        <v>0</v>
      </c>
      <c r="G17" s="27">
        <v>0</v>
      </c>
      <c r="H17" s="27">
        <v>0</v>
      </c>
      <c r="I17" s="27">
        <v>0</v>
      </c>
      <c r="J17" s="27">
        <v>0</v>
      </c>
      <c r="K17" s="27">
        <v>0</v>
      </c>
      <c r="L17" s="27">
        <v>0</v>
      </c>
      <c r="M17" s="27">
        <v>0</v>
      </c>
      <c r="N17" s="27">
        <v>0</v>
      </c>
      <c r="O17" s="27">
        <v>0</v>
      </c>
      <c r="P17" s="27">
        <v>0</v>
      </c>
      <c r="Q17" s="3">
        <f t="shared" si="2"/>
        <v>0</v>
      </c>
      <c r="R17" s="3">
        <v>0</v>
      </c>
      <c r="T17" s="35"/>
      <c r="U17" s="40">
        <f t="shared" si="1"/>
        <v>0</v>
      </c>
    </row>
    <row r="18" spans="1:21" s="3" customFormat="1" ht="24.95" hidden="1" customHeight="1">
      <c r="A18" s="3" t="s">
        <v>490</v>
      </c>
      <c r="B18" s="3" t="s">
        <v>616</v>
      </c>
      <c r="D18" s="26" t="s">
        <v>491</v>
      </c>
      <c r="E18" s="27">
        <v>0</v>
      </c>
      <c r="F18" s="27">
        <v>0</v>
      </c>
      <c r="G18" s="27">
        <v>0</v>
      </c>
      <c r="H18" s="27">
        <v>0</v>
      </c>
      <c r="I18" s="27">
        <v>0</v>
      </c>
      <c r="J18" s="27">
        <v>0</v>
      </c>
      <c r="K18" s="27">
        <v>0</v>
      </c>
      <c r="L18" s="27">
        <v>0</v>
      </c>
      <c r="M18" s="27">
        <v>0</v>
      </c>
      <c r="N18" s="27">
        <v>0</v>
      </c>
      <c r="O18" s="27">
        <v>0</v>
      </c>
      <c r="P18" s="27">
        <v>0</v>
      </c>
      <c r="Q18" s="3">
        <f t="shared" si="2"/>
        <v>0</v>
      </c>
      <c r="R18" s="3">
        <v>0</v>
      </c>
      <c r="T18" s="35"/>
      <c r="U18" s="40">
        <f t="shared" si="1"/>
        <v>0</v>
      </c>
    </row>
    <row r="19" spans="1:21" s="3" customFormat="1" ht="24.95" hidden="1" customHeight="1">
      <c r="A19" s="3" t="s">
        <v>492</v>
      </c>
      <c r="B19" s="3" t="s">
        <v>616</v>
      </c>
      <c r="D19" s="29" t="s">
        <v>493</v>
      </c>
      <c r="E19" s="27">
        <v>0</v>
      </c>
      <c r="F19" s="27">
        <v>0</v>
      </c>
      <c r="G19" s="27">
        <v>0</v>
      </c>
      <c r="H19" s="27">
        <v>0</v>
      </c>
      <c r="I19" s="27">
        <v>0</v>
      </c>
      <c r="J19" s="27">
        <v>0</v>
      </c>
      <c r="K19" s="27">
        <v>0</v>
      </c>
      <c r="L19" s="27">
        <v>0</v>
      </c>
      <c r="M19" s="27">
        <v>0</v>
      </c>
      <c r="N19" s="27">
        <v>0</v>
      </c>
      <c r="O19" s="27">
        <v>0</v>
      </c>
      <c r="P19" s="27">
        <v>0</v>
      </c>
      <c r="Q19" s="3">
        <f t="shared" si="2"/>
        <v>0</v>
      </c>
      <c r="R19" s="3">
        <v>0</v>
      </c>
      <c r="T19" s="35"/>
      <c r="U19" s="40">
        <f t="shared" si="1"/>
        <v>0</v>
      </c>
    </row>
    <row r="20" spans="1:21" s="3" customFormat="1" ht="24.95" hidden="1" customHeight="1">
      <c r="A20" s="3" t="s">
        <v>494</v>
      </c>
      <c r="B20" s="3" t="s">
        <v>616</v>
      </c>
      <c r="D20" s="29" t="s">
        <v>495</v>
      </c>
      <c r="E20" s="27">
        <v>0</v>
      </c>
      <c r="F20" s="27">
        <v>0</v>
      </c>
      <c r="G20" s="27">
        <v>0</v>
      </c>
      <c r="H20" s="27">
        <v>0</v>
      </c>
      <c r="I20" s="27">
        <v>0</v>
      </c>
      <c r="J20" s="27">
        <v>0</v>
      </c>
      <c r="K20" s="27">
        <v>0</v>
      </c>
      <c r="L20" s="27">
        <v>0</v>
      </c>
      <c r="M20" s="27">
        <v>0</v>
      </c>
      <c r="N20" s="27">
        <v>0</v>
      </c>
      <c r="O20" s="27">
        <v>0</v>
      </c>
      <c r="P20" s="27">
        <v>0</v>
      </c>
      <c r="Q20" s="3">
        <f t="shared" si="2"/>
        <v>0</v>
      </c>
      <c r="R20" s="3">
        <v>0</v>
      </c>
      <c r="T20" s="35"/>
      <c r="U20" s="40">
        <f t="shared" si="1"/>
        <v>0</v>
      </c>
    </row>
    <row r="21" spans="1:21" s="3" customFormat="1" ht="24.95" hidden="1" customHeight="1">
      <c r="A21" s="3" t="s">
        <v>496</v>
      </c>
      <c r="B21" s="3" t="s">
        <v>616</v>
      </c>
      <c r="D21" s="26" t="s">
        <v>497</v>
      </c>
      <c r="E21" s="27">
        <v>0</v>
      </c>
      <c r="F21" s="27">
        <v>0</v>
      </c>
      <c r="G21" s="27">
        <v>0</v>
      </c>
      <c r="H21" s="27">
        <v>0</v>
      </c>
      <c r="I21" s="27">
        <v>0</v>
      </c>
      <c r="J21" s="27">
        <v>0</v>
      </c>
      <c r="K21" s="27">
        <v>0</v>
      </c>
      <c r="L21" s="27">
        <v>0</v>
      </c>
      <c r="M21" s="27">
        <v>0</v>
      </c>
      <c r="N21" s="27">
        <v>0</v>
      </c>
      <c r="O21" s="27">
        <v>0</v>
      </c>
      <c r="P21" s="27">
        <v>0</v>
      </c>
      <c r="Q21" s="3">
        <f t="shared" si="2"/>
        <v>0</v>
      </c>
      <c r="R21" s="3">
        <v>0</v>
      </c>
      <c r="T21" s="35"/>
      <c r="U21" s="40">
        <f t="shared" si="1"/>
        <v>0</v>
      </c>
    </row>
    <row r="22" spans="1:21" s="3" customFormat="1" ht="24.95" customHeight="1">
      <c r="A22" s="3" t="s">
        <v>498</v>
      </c>
      <c r="B22" s="3" t="s">
        <v>616</v>
      </c>
      <c r="D22" s="29" t="s">
        <v>499</v>
      </c>
      <c r="E22" s="27">
        <v>6000</v>
      </c>
      <c r="F22" s="27">
        <v>6000</v>
      </c>
      <c r="G22" s="27">
        <v>6000</v>
      </c>
      <c r="H22" s="27">
        <v>6000</v>
      </c>
      <c r="I22" s="27">
        <v>6000</v>
      </c>
      <c r="J22" s="27">
        <v>6000</v>
      </c>
      <c r="K22" s="27">
        <v>6000</v>
      </c>
      <c r="L22" s="27">
        <v>6000</v>
      </c>
      <c r="M22" s="27">
        <v>6000</v>
      </c>
      <c r="N22" s="27">
        <v>6000</v>
      </c>
      <c r="O22" s="27">
        <v>6000</v>
      </c>
      <c r="P22" s="27">
        <v>6000</v>
      </c>
      <c r="Q22" s="3">
        <f t="shared" si="2"/>
        <v>72000</v>
      </c>
      <c r="R22" s="3">
        <v>0</v>
      </c>
      <c r="T22" s="35"/>
      <c r="U22" s="40" t="e">
        <f t="shared" si="1"/>
        <v>#DIV/0!</v>
      </c>
    </row>
    <row r="23" spans="1:21" s="3" customFormat="1" ht="24.95" customHeight="1">
      <c r="A23" s="3" t="s">
        <v>500</v>
      </c>
      <c r="B23" s="3" t="s">
        <v>616</v>
      </c>
      <c r="D23" s="26" t="s">
        <v>501</v>
      </c>
      <c r="E23" s="27"/>
      <c r="F23" s="27"/>
      <c r="G23" s="27"/>
      <c r="H23" s="27"/>
      <c r="I23" s="27"/>
      <c r="J23" s="27"/>
      <c r="K23" s="27"/>
      <c r="L23" s="27"/>
      <c r="M23" s="27"/>
      <c r="N23" s="27"/>
      <c r="O23" s="27"/>
      <c r="P23" s="27"/>
      <c r="Q23" s="3">
        <f t="shared" si="2"/>
        <v>0</v>
      </c>
      <c r="R23" s="3">
        <v>719109.44</v>
      </c>
      <c r="S23" s="3">
        <f>Q23/'[6]F&amp;B Summary'!$Q$148</f>
        <v>0</v>
      </c>
      <c r="T23" s="146"/>
      <c r="U23" s="40">
        <f>-IF(Q23-T23=0,0,(Q23-T23)/T23)</f>
        <v>0</v>
      </c>
    </row>
    <row r="24" spans="1:21" s="3" customFormat="1" ht="24.95" hidden="1" customHeight="1">
      <c r="A24" s="3" t="s">
        <v>502</v>
      </c>
      <c r="B24" s="3" t="s">
        <v>616</v>
      </c>
      <c r="D24" s="26" t="s">
        <v>503</v>
      </c>
      <c r="E24" s="27"/>
      <c r="F24" s="27"/>
      <c r="G24" s="27"/>
      <c r="H24" s="27"/>
      <c r="I24" s="27"/>
      <c r="J24" s="27"/>
      <c r="K24" s="27"/>
      <c r="L24" s="27"/>
      <c r="M24" s="27"/>
      <c r="N24" s="27"/>
      <c r="O24" s="27"/>
      <c r="P24" s="27"/>
      <c r="Q24" s="3">
        <f t="shared" si="2"/>
        <v>0</v>
      </c>
      <c r="R24" s="3">
        <v>0</v>
      </c>
      <c r="T24" s="35"/>
      <c r="U24" s="40">
        <f t="shared" ref="U24:U86" si="3">-IF(Q24-T24=0,0,(Q24-T24)/T24)</f>
        <v>0</v>
      </c>
    </row>
    <row r="25" spans="1:21" s="3" customFormat="1" ht="24.95" hidden="1" customHeight="1">
      <c r="A25" s="3" t="s">
        <v>504</v>
      </c>
      <c r="B25" s="3" t="s">
        <v>616</v>
      </c>
      <c r="D25" s="26" t="s">
        <v>505</v>
      </c>
      <c r="E25" s="27"/>
      <c r="F25" s="27"/>
      <c r="G25" s="27"/>
      <c r="H25" s="27"/>
      <c r="I25" s="27"/>
      <c r="J25" s="27"/>
      <c r="K25" s="27"/>
      <c r="L25" s="27"/>
      <c r="M25" s="27"/>
      <c r="N25" s="27"/>
      <c r="O25" s="27"/>
      <c r="P25" s="27"/>
      <c r="Q25" s="3">
        <f t="shared" si="2"/>
        <v>0</v>
      </c>
      <c r="R25" s="3">
        <v>2000</v>
      </c>
      <c r="T25" s="35"/>
      <c r="U25" s="40">
        <f t="shared" si="3"/>
        <v>0</v>
      </c>
    </row>
    <row r="26" spans="1:21" s="3" customFormat="1" ht="24.95" hidden="1" customHeight="1">
      <c r="A26" s="3" t="s">
        <v>506</v>
      </c>
      <c r="B26" s="3" t="s">
        <v>616</v>
      </c>
      <c r="D26" s="26" t="s">
        <v>507</v>
      </c>
      <c r="E26" s="27"/>
      <c r="F26" s="27"/>
      <c r="G26" s="27"/>
      <c r="H26" s="27"/>
      <c r="I26" s="27"/>
      <c r="J26" s="27"/>
      <c r="K26" s="27"/>
      <c r="L26" s="27"/>
      <c r="M26" s="27"/>
      <c r="N26" s="27"/>
      <c r="O26" s="27"/>
      <c r="P26" s="27"/>
      <c r="Q26" s="3">
        <f t="shared" si="2"/>
        <v>0</v>
      </c>
      <c r="R26" s="3">
        <v>154046.97</v>
      </c>
      <c r="T26" s="35"/>
      <c r="U26" s="40">
        <f t="shared" si="3"/>
        <v>0</v>
      </c>
    </row>
    <row r="27" spans="1:21" s="3" customFormat="1" ht="24.95" hidden="1" customHeight="1">
      <c r="A27" s="3" t="s">
        <v>508</v>
      </c>
      <c r="B27" s="3" t="s">
        <v>616</v>
      </c>
      <c r="D27" s="26" t="s">
        <v>509</v>
      </c>
      <c r="E27" s="27"/>
      <c r="F27" s="27"/>
      <c r="G27" s="27"/>
      <c r="H27" s="27"/>
      <c r="I27" s="27"/>
      <c r="J27" s="27"/>
      <c r="K27" s="27"/>
      <c r="L27" s="27"/>
      <c r="M27" s="27"/>
      <c r="N27" s="27"/>
      <c r="O27" s="27"/>
      <c r="P27" s="27"/>
      <c r="Q27" s="3">
        <f t="shared" si="2"/>
        <v>0</v>
      </c>
      <c r="R27" s="3">
        <v>0</v>
      </c>
      <c r="T27" s="35"/>
      <c r="U27" s="40">
        <f t="shared" si="3"/>
        <v>0</v>
      </c>
    </row>
    <row r="28" spans="1:21" s="3" customFormat="1" ht="24.95" hidden="1" customHeight="1">
      <c r="A28" s="3" t="s">
        <v>510</v>
      </c>
      <c r="B28" s="3" t="s">
        <v>616</v>
      </c>
      <c r="D28" s="26" t="s">
        <v>511</v>
      </c>
      <c r="E28" s="27"/>
      <c r="F28" s="27"/>
      <c r="G28" s="27"/>
      <c r="H28" s="27"/>
      <c r="I28" s="27"/>
      <c r="J28" s="27"/>
      <c r="K28" s="27"/>
      <c r="L28" s="27"/>
      <c r="M28" s="27"/>
      <c r="N28" s="27"/>
      <c r="O28" s="27"/>
      <c r="P28" s="27"/>
      <c r="Q28" s="3">
        <f t="shared" si="2"/>
        <v>0</v>
      </c>
      <c r="R28" s="3">
        <v>0</v>
      </c>
      <c r="T28" s="35"/>
      <c r="U28" s="40">
        <f t="shared" si="3"/>
        <v>0</v>
      </c>
    </row>
    <row r="29" spans="1:21" s="3" customFormat="1" ht="24.95" hidden="1" customHeight="1">
      <c r="A29" s="3" t="s">
        <v>512</v>
      </c>
      <c r="B29" s="3" t="s">
        <v>616</v>
      </c>
      <c r="D29" s="26" t="s">
        <v>169</v>
      </c>
      <c r="E29" s="27"/>
      <c r="F29" s="27"/>
      <c r="G29" s="27"/>
      <c r="H29" s="27"/>
      <c r="I29" s="27"/>
      <c r="J29" s="27"/>
      <c r="K29" s="27"/>
      <c r="L29" s="27"/>
      <c r="M29" s="27"/>
      <c r="N29" s="27"/>
      <c r="O29" s="27"/>
      <c r="P29" s="27"/>
      <c r="Q29" s="3">
        <f t="shared" si="2"/>
        <v>0</v>
      </c>
      <c r="R29" s="3">
        <v>0</v>
      </c>
      <c r="T29" s="35"/>
      <c r="U29" s="40">
        <f t="shared" si="3"/>
        <v>0</v>
      </c>
    </row>
    <row r="30" spans="1:21" s="3" customFormat="1" ht="24.95" hidden="1" customHeight="1">
      <c r="A30" s="3" t="s">
        <v>513</v>
      </c>
      <c r="B30" s="3" t="s">
        <v>616</v>
      </c>
      <c r="D30" s="26" t="s">
        <v>171</v>
      </c>
      <c r="E30" s="27"/>
      <c r="F30" s="27"/>
      <c r="G30" s="27"/>
      <c r="H30" s="27"/>
      <c r="I30" s="27"/>
      <c r="J30" s="27"/>
      <c r="K30" s="27"/>
      <c r="L30" s="27"/>
      <c r="M30" s="27"/>
      <c r="N30" s="27"/>
      <c r="O30" s="27"/>
      <c r="P30" s="27"/>
      <c r="Q30" s="3">
        <f t="shared" si="2"/>
        <v>0</v>
      </c>
      <c r="R30" s="3">
        <v>0</v>
      </c>
      <c r="T30" s="35"/>
      <c r="U30" s="40">
        <f t="shared" si="3"/>
        <v>0</v>
      </c>
    </row>
    <row r="31" spans="1:21" s="3" customFormat="1" ht="24.95" hidden="1" customHeight="1">
      <c r="A31" s="3" t="s">
        <v>514</v>
      </c>
      <c r="B31" s="3" t="s">
        <v>616</v>
      </c>
      <c r="D31" s="26" t="s">
        <v>515</v>
      </c>
      <c r="E31" s="27"/>
      <c r="F31" s="27"/>
      <c r="G31" s="27"/>
      <c r="H31" s="27"/>
      <c r="I31" s="27"/>
      <c r="J31" s="27"/>
      <c r="K31" s="27"/>
      <c r="L31" s="27"/>
      <c r="M31" s="27"/>
      <c r="N31" s="27"/>
      <c r="O31" s="27"/>
      <c r="P31" s="27"/>
      <c r="Q31" s="3">
        <f t="shared" si="2"/>
        <v>0</v>
      </c>
      <c r="R31" s="3">
        <v>0</v>
      </c>
      <c r="T31" s="35"/>
      <c r="U31" s="40">
        <f t="shared" si="3"/>
        <v>0</v>
      </c>
    </row>
    <row r="32" spans="1:21" s="3" customFormat="1" ht="24.95" hidden="1" customHeight="1">
      <c r="A32" s="3" t="s">
        <v>516</v>
      </c>
      <c r="B32" s="3" t="s">
        <v>616</v>
      </c>
      <c r="D32" s="26" t="s">
        <v>517</v>
      </c>
      <c r="E32" s="27"/>
      <c r="F32" s="27"/>
      <c r="G32" s="27"/>
      <c r="H32" s="27"/>
      <c r="I32" s="27"/>
      <c r="J32" s="27"/>
      <c r="K32" s="27"/>
      <c r="L32" s="27"/>
      <c r="M32" s="27"/>
      <c r="N32" s="27"/>
      <c r="O32" s="27"/>
      <c r="P32" s="27"/>
      <c r="Q32" s="3">
        <f t="shared" si="2"/>
        <v>0</v>
      </c>
      <c r="R32" s="3">
        <v>0</v>
      </c>
      <c r="T32" s="35"/>
      <c r="U32" s="40">
        <f t="shared" si="3"/>
        <v>0</v>
      </c>
    </row>
    <row r="33" spans="1:21" s="3" customFormat="1" ht="24.95" hidden="1" customHeight="1">
      <c r="A33" s="3" t="s">
        <v>518</v>
      </c>
      <c r="B33" s="3" t="s">
        <v>616</v>
      </c>
      <c r="D33" s="26" t="s">
        <v>519</v>
      </c>
      <c r="E33" s="27"/>
      <c r="F33" s="27"/>
      <c r="G33" s="27"/>
      <c r="H33" s="27"/>
      <c r="I33" s="27"/>
      <c r="J33" s="27"/>
      <c r="K33" s="27"/>
      <c r="L33" s="27"/>
      <c r="M33" s="27"/>
      <c r="N33" s="27"/>
      <c r="O33" s="27"/>
      <c r="P33" s="27"/>
      <c r="Q33" s="3">
        <f t="shared" si="2"/>
        <v>0</v>
      </c>
      <c r="R33" s="3">
        <v>0</v>
      </c>
      <c r="T33" s="35"/>
      <c r="U33" s="40">
        <f t="shared" si="3"/>
        <v>0</v>
      </c>
    </row>
    <row r="34" spans="1:21" s="3" customFormat="1" ht="24.95" customHeight="1">
      <c r="A34" s="3" t="s">
        <v>520</v>
      </c>
      <c r="B34" s="3" t="s">
        <v>616</v>
      </c>
      <c r="D34" s="26" t="s">
        <v>521</v>
      </c>
      <c r="E34" s="27"/>
      <c r="F34" s="27"/>
      <c r="G34" s="27"/>
      <c r="H34" s="27"/>
      <c r="I34" s="27"/>
      <c r="J34" s="27"/>
      <c r="K34" s="27"/>
      <c r="L34" s="27"/>
      <c r="M34" s="27"/>
      <c r="N34" s="27"/>
      <c r="O34" s="27"/>
      <c r="P34" s="27"/>
      <c r="Q34" s="3">
        <f t="shared" si="2"/>
        <v>0</v>
      </c>
      <c r="R34" s="3">
        <v>0</v>
      </c>
      <c r="T34" s="35"/>
      <c r="U34" s="40">
        <f t="shared" si="3"/>
        <v>0</v>
      </c>
    </row>
    <row r="35" spans="1:21" s="3" customFormat="1" ht="24.95" customHeight="1">
      <c r="A35" s="3" t="s">
        <v>522</v>
      </c>
      <c r="B35" s="3" t="s">
        <v>616</v>
      </c>
      <c r="D35" s="26" t="s">
        <v>523</v>
      </c>
      <c r="E35" s="144">
        <v>2700</v>
      </c>
      <c r="F35" s="144">
        <v>1700</v>
      </c>
      <c r="G35" s="144">
        <v>2200</v>
      </c>
      <c r="H35" s="144">
        <v>3000</v>
      </c>
      <c r="I35" s="144">
        <v>3300</v>
      </c>
      <c r="J35" s="144">
        <v>2700</v>
      </c>
      <c r="K35" s="144">
        <v>3300</v>
      </c>
      <c r="L35" s="144">
        <v>3300</v>
      </c>
      <c r="M35" s="144">
        <v>3300</v>
      </c>
      <c r="N35" s="144">
        <v>3300</v>
      </c>
      <c r="O35" s="144">
        <v>3000</v>
      </c>
      <c r="P35" s="144">
        <v>3000</v>
      </c>
      <c r="Q35" s="3">
        <f t="shared" si="2"/>
        <v>34800</v>
      </c>
      <c r="R35" s="3">
        <v>0</v>
      </c>
      <c r="S35" s="3">
        <f>Q35/'[6]F&amp;B Summary'!$Q$148</f>
        <v>0.87121970759062684</v>
      </c>
      <c r="T35" s="35"/>
      <c r="U35" s="40" t="e">
        <f t="shared" si="3"/>
        <v>#DIV/0!</v>
      </c>
    </row>
    <row r="36" spans="1:21" s="3" customFormat="1" ht="24.95" customHeight="1">
      <c r="A36" s="3" t="s">
        <v>524</v>
      </c>
      <c r="B36" s="3" t="s">
        <v>616</v>
      </c>
      <c r="D36" s="26" t="s">
        <v>525</v>
      </c>
      <c r="E36" s="27"/>
      <c r="F36" s="27"/>
      <c r="G36" s="27"/>
      <c r="H36" s="27"/>
      <c r="I36" s="27"/>
      <c r="J36" s="27"/>
      <c r="K36" s="27"/>
      <c r="L36" s="27"/>
      <c r="M36" s="27"/>
      <c r="N36" s="27"/>
      <c r="O36" s="27"/>
      <c r="P36" s="27"/>
      <c r="Q36" s="3">
        <f t="shared" si="2"/>
        <v>0</v>
      </c>
      <c r="R36" s="3">
        <v>0</v>
      </c>
      <c r="S36" s="3">
        <f>Q36/'[6]F&amp;B Summary'!$Q$148</f>
        <v>0</v>
      </c>
      <c r="T36" s="35"/>
      <c r="U36" s="40">
        <f t="shared" si="3"/>
        <v>0</v>
      </c>
    </row>
    <row r="37" spans="1:21" s="3" customFormat="1" ht="24.95" customHeight="1">
      <c r="A37" s="3" t="s">
        <v>526</v>
      </c>
      <c r="B37" s="3" t="s">
        <v>616</v>
      </c>
      <c r="D37" s="26" t="s">
        <v>527</v>
      </c>
      <c r="E37" s="27"/>
      <c r="F37" s="27"/>
      <c r="G37" s="27"/>
      <c r="H37" s="27"/>
      <c r="I37" s="27"/>
      <c r="J37" s="27"/>
      <c r="K37" s="27"/>
      <c r="L37" s="27"/>
      <c r="M37" s="27"/>
      <c r="N37" s="27"/>
      <c r="O37" s="27"/>
      <c r="P37" s="27"/>
      <c r="Q37" s="3">
        <f t="shared" si="2"/>
        <v>0</v>
      </c>
      <c r="R37" s="3">
        <v>0</v>
      </c>
      <c r="S37" s="3">
        <f>Q37/'[6]F&amp;B Summary'!$Q$148</f>
        <v>0</v>
      </c>
      <c r="T37" s="35"/>
      <c r="U37" s="40">
        <f t="shared" si="3"/>
        <v>0</v>
      </c>
    </row>
    <row r="38" spans="1:21" s="3" customFormat="1" ht="24.95" customHeight="1">
      <c r="A38" s="3" t="s">
        <v>528</v>
      </c>
      <c r="B38" s="3" t="s">
        <v>616</v>
      </c>
      <c r="D38" s="26" t="s">
        <v>529</v>
      </c>
      <c r="E38" s="27"/>
      <c r="F38" s="27"/>
      <c r="G38" s="27"/>
      <c r="H38" s="27"/>
      <c r="I38" s="27"/>
      <c r="J38" s="27"/>
      <c r="K38" s="27"/>
      <c r="L38" s="27"/>
      <c r="M38" s="27"/>
      <c r="N38" s="27"/>
      <c r="O38" s="27"/>
      <c r="P38" s="27"/>
      <c r="Q38" s="3">
        <f t="shared" si="2"/>
        <v>0</v>
      </c>
      <c r="R38" s="3">
        <v>0</v>
      </c>
      <c r="S38" s="3">
        <f>Q38/'[6]F&amp;B Summary'!$Q$148</f>
        <v>0</v>
      </c>
      <c r="T38" s="35"/>
      <c r="U38" s="40">
        <f t="shared" si="3"/>
        <v>0</v>
      </c>
    </row>
    <row r="39" spans="1:21" s="3" customFormat="1" ht="24.95" customHeight="1">
      <c r="A39" s="3" t="s">
        <v>530</v>
      </c>
      <c r="B39" s="3" t="s">
        <v>616</v>
      </c>
      <c r="D39" s="26" t="s">
        <v>531</v>
      </c>
      <c r="E39" s="27"/>
      <c r="F39" s="27"/>
      <c r="G39" s="27"/>
      <c r="H39" s="27"/>
      <c r="I39" s="27"/>
      <c r="J39" s="27"/>
      <c r="K39" s="27"/>
      <c r="L39" s="27"/>
      <c r="M39" s="27"/>
      <c r="N39" s="27"/>
      <c r="O39" s="27"/>
      <c r="P39" s="27"/>
      <c r="Q39" s="3">
        <f t="shared" si="2"/>
        <v>0</v>
      </c>
      <c r="R39" s="3">
        <v>0</v>
      </c>
      <c r="S39" s="3">
        <f>Q39/'[6]F&amp;B Summary'!$Q$148</f>
        <v>0</v>
      </c>
      <c r="T39" s="35"/>
      <c r="U39" s="40">
        <f t="shared" si="3"/>
        <v>0</v>
      </c>
    </row>
    <row r="40" spans="1:21" s="3" customFormat="1" ht="24.95" customHeight="1">
      <c r="A40" s="3" t="s">
        <v>532</v>
      </c>
      <c r="B40" s="3" t="s">
        <v>616</v>
      </c>
      <c r="D40" s="26" t="s">
        <v>1182</v>
      </c>
      <c r="E40" s="27"/>
      <c r="F40" s="27"/>
      <c r="G40" s="27"/>
      <c r="H40" s="27"/>
      <c r="I40" s="27"/>
      <c r="J40" s="27"/>
      <c r="K40" s="27"/>
      <c r="L40" s="27"/>
      <c r="M40" s="27"/>
      <c r="N40" s="27"/>
      <c r="O40" s="27"/>
      <c r="P40" s="27"/>
      <c r="Q40" s="3">
        <f t="shared" si="2"/>
        <v>0</v>
      </c>
      <c r="R40" s="3">
        <v>0</v>
      </c>
      <c r="S40" s="3">
        <f>Q40/'[6]F&amp;B Summary'!$Q$148</f>
        <v>0</v>
      </c>
      <c r="T40" s="35"/>
      <c r="U40" s="40">
        <f t="shared" si="3"/>
        <v>0</v>
      </c>
    </row>
    <row r="41" spans="1:21" s="3" customFormat="1" ht="24.95" customHeight="1">
      <c r="A41" s="3" t="s">
        <v>534</v>
      </c>
      <c r="B41" s="3" t="s">
        <v>616</v>
      </c>
      <c r="D41" s="26" t="s">
        <v>535</v>
      </c>
      <c r="E41" s="144"/>
      <c r="F41" s="144"/>
      <c r="G41" s="144"/>
      <c r="H41" s="144"/>
      <c r="I41" s="144"/>
      <c r="J41" s="144"/>
      <c r="K41" s="144"/>
      <c r="L41" s="144"/>
      <c r="M41" s="144"/>
      <c r="N41" s="144"/>
      <c r="O41" s="144"/>
      <c r="P41" s="144"/>
      <c r="Q41" s="3">
        <f t="shared" si="2"/>
        <v>0</v>
      </c>
      <c r="R41" s="3">
        <v>0</v>
      </c>
      <c r="S41" s="3">
        <f>Q41/'[6]F&amp;B Summary'!$Q$148</f>
        <v>0</v>
      </c>
      <c r="T41" s="35"/>
      <c r="U41" s="40">
        <f t="shared" si="3"/>
        <v>0</v>
      </c>
    </row>
    <row r="42" spans="1:21" s="3" customFormat="1" ht="24.95" customHeight="1">
      <c r="A42" s="3" t="s">
        <v>536</v>
      </c>
      <c r="B42" s="3" t="s">
        <v>616</v>
      </c>
      <c r="D42" s="26" t="s">
        <v>537</v>
      </c>
      <c r="E42" s="27"/>
      <c r="F42" s="27"/>
      <c r="G42" s="27"/>
      <c r="H42" s="27"/>
      <c r="I42" s="27"/>
      <c r="J42" s="27"/>
      <c r="K42" s="27"/>
      <c r="L42" s="27"/>
      <c r="M42" s="27"/>
      <c r="N42" s="27"/>
      <c r="O42" s="27"/>
      <c r="P42" s="27"/>
      <c r="Q42" s="3">
        <f t="shared" si="2"/>
        <v>0</v>
      </c>
      <c r="R42" s="3">
        <v>0</v>
      </c>
      <c r="S42" s="3">
        <f>Q42/'[6]F&amp;B Summary'!$Q$148</f>
        <v>0</v>
      </c>
      <c r="T42" s="35"/>
      <c r="U42" s="40">
        <f t="shared" si="3"/>
        <v>0</v>
      </c>
    </row>
    <row r="43" spans="1:21" s="3" customFormat="1" ht="24.95" customHeight="1">
      <c r="A43" s="3" t="s">
        <v>538</v>
      </c>
      <c r="B43" s="3" t="s">
        <v>616</v>
      </c>
      <c r="D43" s="26" t="s">
        <v>539</v>
      </c>
      <c r="E43" s="27"/>
      <c r="F43" s="27"/>
      <c r="G43" s="27"/>
      <c r="H43" s="27"/>
      <c r="I43" s="27"/>
      <c r="J43" s="27"/>
      <c r="K43" s="27"/>
      <c r="L43" s="27"/>
      <c r="M43" s="27"/>
      <c r="N43" s="27"/>
      <c r="O43" s="27"/>
      <c r="P43" s="27"/>
      <c r="Q43" s="3">
        <f t="shared" si="2"/>
        <v>0</v>
      </c>
      <c r="R43" s="3">
        <v>29590.75</v>
      </c>
      <c r="S43" s="3">
        <f>Q43/'[6]F&amp;B Summary'!$Q$148</f>
        <v>0</v>
      </c>
      <c r="T43" s="35"/>
      <c r="U43" s="40">
        <f t="shared" si="3"/>
        <v>0</v>
      </c>
    </row>
    <row r="44" spans="1:21" s="3" customFormat="1" ht="24.75" hidden="1" customHeight="1">
      <c r="A44" s="3" t="s">
        <v>540</v>
      </c>
      <c r="B44" s="3" t="s">
        <v>616</v>
      </c>
      <c r="D44" s="26" t="s">
        <v>541</v>
      </c>
      <c r="E44" s="27"/>
      <c r="F44" s="27"/>
      <c r="G44" s="27"/>
      <c r="H44" s="27"/>
      <c r="I44" s="27"/>
      <c r="J44" s="27"/>
      <c r="K44" s="27"/>
      <c r="L44" s="27"/>
      <c r="M44" s="27"/>
      <c r="N44" s="27"/>
      <c r="O44" s="27"/>
      <c r="P44" s="27"/>
      <c r="Q44" s="3">
        <f t="shared" si="2"/>
        <v>0</v>
      </c>
      <c r="R44" s="3">
        <v>0</v>
      </c>
      <c r="S44" s="3">
        <f>Q44/'[6]F&amp;B Summary'!$Q$148</f>
        <v>0</v>
      </c>
      <c r="T44" s="35"/>
      <c r="U44" s="40">
        <f t="shared" si="3"/>
        <v>0</v>
      </c>
    </row>
    <row r="45" spans="1:21" s="3" customFormat="1" ht="24.95" hidden="1" customHeight="1">
      <c r="A45" s="3" t="s">
        <v>542</v>
      </c>
      <c r="B45" s="3" t="s">
        <v>616</v>
      </c>
      <c r="D45" s="26" t="s">
        <v>543</v>
      </c>
      <c r="E45" s="27"/>
      <c r="F45" s="27"/>
      <c r="G45" s="27"/>
      <c r="H45" s="27"/>
      <c r="I45" s="27"/>
      <c r="J45" s="27"/>
      <c r="K45" s="27"/>
      <c r="L45" s="27"/>
      <c r="M45" s="27"/>
      <c r="N45" s="27"/>
      <c r="O45" s="27"/>
      <c r="P45" s="27"/>
      <c r="Q45" s="3">
        <f t="shared" si="2"/>
        <v>0</v>
      </c>
      <c r="R45" s="3">
        <v>0</v>
      </c>
      <c r="S45" s="3">
        <f>Q45/'[6]F&amp;B Summary'!$Q$148</f>
        <v>0</v>
      </c>
      <c r="T45" s="35"/>
      <c r="U45" s="40">
        <f t="shared" si="3"/>
        <v>0</v>
      </c>
    </row>
    <row r="46" spans="1:21" s="3" customFormat="1" ht="24.95" hidden="1" customHeight="1">
      <c r="A46" s="3" t="s">
        <v>544</v>
      </c>
      <c r="B46" s="3" t="s">
        <v>616</v>
      </c>
      <c r="D46" s="29" t="s">
        <v>545</v>
      </c>
      <c r="E46" s="27"/>
      <c r="F46" s="27"/>
      <c r="G46" s="27"/>
      <c r="H46" s="27"/>
      <c r="I46" s="27"/>
      <c r="J46" s="27"/>
      <c r="K46" s="27"/>
      <c r="L46" s="27"/>
      <c r="M46" s="27"/>
      <c r="N46" s="27"/>
      <c r="O46" s="27"/>
      <c r="P46" s="27"/>
      <c r="Q46" s="3">
        <f t="shared" si="2"/>
        <v>0</v>
      </c>
      <c r="R46" s="3">
        <v>0</v>
      </c>
      <c r="S46" s="3">
        <f>Q46/'[6]F&amp;B Summary'!$Q$148</f>
        <v>0</v>
      </c>
      <c r="T46" s="35"/>
      <c r="U46" s="40">
        <f t="shared" si="3"/>
        <v>0</v>
      </c>
    </row>
    <row r="47" spans="1:21" s="3" customFormat="1" ht="24.95" hidden="1" customHeight="1">
      <c r="A47" s="3" t="s">
        <v>546</v>
      </c>
      <c r="B47" s="3" t="s">
        <v>616</v>
      </c>
      <c r="D47" s="26" t="s">
        <v>547</v>
      </c>
      <c r="E47" s="27"/>
      <c r="F47" s="27"/>
      <c r="G47" s="27"/>
      <c r="H47" s="27"/>
      <c r="I47" s="27"/>
      <c r="J47" s="27"/>
      <c r="K47" s="27"/>
      <c r="L47" s="27"/>
      <c r="M47" s="27"/>
      <c r="N47" s="27"/>
      <c r="O47" s="27"/>
      <c r="P47" s="27"/>
      <c r="Q47" s="3">
        <f t="shared" si="2"/>
        <v>0</v>
      </c>
      <c r="R47" s="3">
        <v>0</v>
      </c>
      <c r="S47" s="3">
        <f>Q47/'[6]F&amp;B Summary'!$Q$148</f>
        <v>0</v>
      </c>
      <c r="T47" s="35"/>
      <c r="U47" s="40">
        <f t="shared" si="3"/>
        <v>0</v>
      </c>
    </row>
    <row r="48" spans="1:21" s="3" customFormat="1" ht="24.95" hidden="1" customHeight="1">
      <c r="A48" s="3" t="s">
        <v>548</v>
      </c>
      <c r="B48" s="3" t="s">
        <v>616</v>
      </c>
      <c r="D48" s="26" t="s">
        <v>549</v>
      </c>
      <c r="E48" s="27"/>
      <c r="F48" s="27"/>
      <c r="G48" s="27"/>
      <c r="H48" s="27"/>
      <c r="I48" s="27"/>
      <c r="J48" s="27"/>
      <c r="K48" s="27"/>
      <c r="L48" s="27"/>
      <c r="M48" s="27"/>
      <c r="N48" s="27"/>
      <c r="O48" s="27"/>
      <c r="P48" s="27"/>
      <c r="Q48" s="3">
        <f t="shared" si="2"/>
        <v>0</v>
      </c>
      <c r="R48" s="3">
        <v>0</v>
      </c>
      <c r="S48" s="3">
        <f>Q48/'[6]F&amp;B Summary'!$Q$148</f>
        <v>0</v>
      </c>
      <c r="T48" s="35"/>
      <c r="U48" s="40">
        <f t="shared" si="3"/>
        <v>0</v>
      </c>
    </row>
    <row r="49" spans="1:21" s="3" customFormat="1" ht="24.95" hidden="1" customHeight="1">
      <c r="A49" s="3" t="s">
        <v>550</v>
      </c>
      <c r="B49" s="3" t="s">
        <v>616</v>
      </c>
      <c r="D49" s="26" t="s">
        <v>551</v>
      </c>
      <c r="E49" s="27"/>
      <c r="F49" s="27"/>
      <c r="G49" s="27"/>
      <c r="H49" s="27"/>
      <c r="I49" s="27"/>
      <c r="J49" s="27"/>
      <c r="K49" s="27"/>
      <c r="L49" s="27"/>
      <c r="M49" s="27"/>
      <c r="N49" s="27"/>
      <c r="O49" s="27"/>
      <c r="P49" s="27"/>
      <c r="Q49" s="3">
        <f t="shared" si="2"/>
        <v>0</v>
      </c>
      <c r="R49" s="3">
        <v>0</v>
      </c>
      <c r="S49" s="3">
        <f>Q49/'[6]F&amp;B Summary'!$Q$148</f>
        <v>0</v>
      </c>
      <c r="T49" s="35"/>
      <c r="U49" s="40">
        <f t="shared" si="3"/>
        <v>0</v>
      </c>
    </row>
    <row r="50" spans="1:21" s="3" customFormat="1" ht="24.95" hidden="1" customHeight="1">
      <c r="A50" s="3" t="s">
        <v>552</v>
      </c>
      <c r="B50" s="3" t="s">
        <v>616</v>
      </c>
      <c r="D50" s="26" t="s">
        <v>553</v>
      </c>
      <c r="E50" s="27"/>
      <c r="F50" s="27"/>
      <c r="G50" s="27"/>
      <c r="H50" s="27"/>
      <c r="I50" s="27"/>
      <c r="J50" s="27"/>
      <c r="K50" s="27"/>
      <c r="L50" s="27"/>
      <c r="M50" s="27"/>
      <c r="N50" s="27"/>
      <c r="O50" s="27"/>
      <c r="P50" s="27"/>
      <c r="Q50" s="3">
        <f t="shared" si="2"/>
        <v>0</v>
      </c>
      <c r="R50" s="3">
        <v>10710.05</v>
      </c>
      <c r="S50" s="3">
        <f>Q50/'[6]F&amp;B Summary'!$Q$148</f>
        <v>0</v>
      </c>
      <c r="T50" s="35"/>
      <c r="U50" s="40">
        <f t="shared" si="3"/>
        <v>0</v>
      </c>
    </row>
    <row r="51" spans="1:21" s="3" customFormat="1" ht="24.95" hidden="1" customHeight="1">
      <c r="A51" s="3" t="s">
        <v>554</v>
      </c>
      <c r="B51" s="3" t="s">
        <v>616</v>
      </c>
      <c r="D51" s="26" t="s">
        <v>555</v>
      </c>
      <c r="E51" s="27"/>
      <c r="F51" s="27"/>
      <c r="G51" s="27"/>
      <c r="H51" s="27"/>
      <c r="I51" s="27"/>
      <c r="J51" s="27"/>
      <c r="K51" s="27"/>
      <c r="L51" s="27"/>
      <c r="M51" s="27"/>
      <c r="N51" s="27"/>
      <c r="O51" s="27"/>
      <c r="P51" s="27"/>
      <c r="Q51" s="3">
        <f t="shared" si="2"/>
        <v>0</v>
      </c>
      <c r="R51" s="3">
        <v>0</v>
      </c>
      <c r="S51" s="3">
        <f>Q51/'[6]F&amp;B Summary'!$Q$148</f>
        <v>0</v>
      </c>
      <c r="T51" s="35"/>
      <c r="U51" s="40">
        <f t="shared" si="3"/>
        <v>0</v>
      </c>
    </row>
    <row r="52" spans="1:21" s="3" customFormat="1" ht="24.95" hidden="1" customHeight="1">
      <c r="A52" s="3" t="s">
        <v>556</v>
      </c>
      <c r="B52" s="3" t="s">
        <v>616</v>
      </c>
      <c r="D52" s="26" t="s">
        <v>557</v>
      </c>
      <c r="E52" s="27"/>
      <c r="F52" s="27"/>
      <c r="G52" s="27"/>
      <c r="H52" s="27"/>
      <c r="I52" s="27"/>
      <c r="J52" s="27"/>
      <c r="K52" s="27"/>
      <c r="L52" s="27"/>
      <c r="M52" s="27"/>
      <c r="N52" s="27"/>
      <c r="O52" s="27"/>
      <c r="P52" s="27"/>
      <c r="Q52" s="3">
        <f t="shared" si="2"/>
        <v>0</v>
      </c>
      <c r="R52" s="3">
        <v>0</v>
      </c>
      <c r="S52" s="3">
        <f>Q52/'[6]F&amp;B Summary'!$Q$148</f>
        <v>0</v>
      </c>
      <c r="T52" s="35"/>
      <c r="U52" s="40">
        <f t="shared" si="3"/>
        <v>0</v>
      </c>
    </row>
    <row r="53" spans="1:21" s="3" customFormat="1" ht="24.95" hidden="1" customHeight="1">
      <c r="A53" s="3" t="s">
        <v>558</v>
      </c>
      <c r="B53" s="3" t="s">
        <v>616</v>
      </c>
      <c r="D53" s="29" t="s">
        <v>559</v>
      </c>
      <c r="E53" s="27"/>
      <c r="F53" s="27"/>
      <c r="G53" s="27"/>
      <c r="H53" s="27"/>
      <c r="I53" s="27"/>
      <c r="J53" s="27"/>
      <c r="K53" s="27"/>
      <c r="L53" s="27"/>
      <c r="M53" s="27"/>
      <c r="N53" s="27"/>
      <c r="O53" s="27"/>
      <c r="P53" s="27"/>
      <c r="Q53" s="3">
        <f t="shared" si="2"/>
        <v>0</v>
      </c>
      <c r="R53" s="3">
        <v>0</v>
      </c>
      <c r="S53" s="3">
        <f>Q53/'[6]F&amp;B Summary'!$Q$148</f>
        <v>0</v>
      </c>
      <c r="T53" s="35"/>
      <c r="U53" s="40">
        <f t="shared" si="3"/>
        <v>0</v>
      </c>
    </row>
    <row r="54" spans="1:21" s="3" customFormat="1" ht="24.95" customHeight="1">
      <c r="A54" s="3" t="s">
        <v>560</v>
      </c>
      <c r="B54" s="3" t="s">
        <v>616</v>
      </c>
      <c r="D54" s="26" t="s">
        <v>561</v>
      </c>
      <c r="E54" s="27"/>
      <c r="F54" s="27"/>
      <c r="G54" s="27"/>
      <c r="H54" s="27"/>
      <c r="I54" s="27"/>
      <c r="J54" s="27"/>
      <c r="K54" s="27"/>
      <c r="L54" s="27"/>
      <c r="M54" s="27"/>
      <c r="N54" s="27"/>
      <c r="O54" s="27"/>
      <c r="P54" s="27"/>
      <c r="Q54" s="3">
        <f t="shared" si="2"/>
        <v>0</v>
      </c>
      <c r="R54" s="3">
        <v>0</v>
      </c>
      <c r="S54" s="3">
        <f>Q54/'[6]F&amp;B Summary'!$Q$148</f>
        <v>0</v>
      </c>
      <c r="T54" s="35"/>
      <c r="U54" s="40">
        <f t="shared" si="3"/>
        <v>0</v>
      </c>
    </row>
    <row r="55" spans="1:21" s="3" customFormat="1" ht="24.95" customHeight="1">
      <c r="A55" s="3" t="s">
        <v>562</v>
      </c>
      <c r="B55" s="3" t="s">
        <v>616</v>
      </c>
      <c r="D55" s="29" t="s">
        <v>563</v>
      </c>
      <c r="E55" s="27"/>
      <c r="F55" s="27"/>
      <c r="G55" s="27"/>
      <c r="H55" s="27"/>
      <c r="I55" s="27"/>
      <c r="J55" s="27"/>
      <c r="K55" s="27"/>
      <c r="L55" s="27"/>
      <c r="M55" s="27"/>
      <c r="N55" s="27"/>
      <c r="O55" s="27"/>
      <c r="P55" s="27"/>
      <c r="Q55" s="3">
        <f t="shared" si="2"/>
        <v>0</v>
      </c>
      <c r="R55" s="3">
        <v>20.6</v>
      </c>
      <c r="S55" s="3">
        <f>Q55/'[6]F&amp;B Summary'!$Q$148</f>
        <v>0</v>
      </c>
      <c r="T55" s="35"/>
      <c r="U55" s="40">
        <f t="shared" si="3"/>
        <v>0</v>
      </c>
    </row>
    <row r="56" spans="1:21" s="3" customFormat="1" ht="24.95" hidden="1" customHeight="1">
      <c r="A56" s="3" t="s">
        <v>564</v>
      </c>
      <c r="B56" s="3" t="s">
        <v>616</v>
      </c>
      <c r="D56" s="26" t="s">
        <v>565</v>
      </c>
      <c r="E56" s="27"/>
      <c r="F56" s="27"/>
      <c r="G56" s="27"/>
      <c r="H56" s="27"/>
      <c r="I56" s="27"/>
      <c r="J56" s="27"/>
      <c r="K56" s="27"/>
      <c r="L56" s="27"/>
      <c r="M56" s="27"/>
      <c r="N56" s="27"/>
      <c r="O56" s="27"/>
      <c r="P56" s="27"/>
      <c r="Q56" s="3">
        <f t="shared" si="2"/>
        <v>0</v>
      </c>
      <c r="R56" s="3">
        <v>0</v>
      </c>
      <c r="S56" s="3">
        <f>Q56/'[6]F&amp;B Summary'!$Q$148</f>
        <v>0</v>
      </c>
      <c r="T56" s="35"/>
      <c r="U56" s="40">
        <f t="shared" si="3"/>
        <v>0</v>
      </c>
    </row>
    <row r="57" spans="1:21" s="3" customFormat="1" ht="24.95" hidden="1" customHeight="1">
      <c r="A57" s="3" t="s">
        <v>566</v>
      </c>
      <c r="B57" s="3" t="s">
        <v>616</v>
      </c>
      <c r="D57" s="26" t="s">
        <v>567</v>
      </c>
      <c r="E57" s="27"/>
      <c r="F57" s="27"/>
      <c r="G57" s="27"/>
      <c r="H57" s="27"/>
      <c r="I57" s="27"/>
      <c r="J57" s="27"/>
      <c r="K57" s="27"/>
      <c r="L57" s="27"/>
      <c r="M57" s="27"/>
      <c r="N57" s="27"/>
      <c r="O57" s="27"/>
      <c r="P57" s="27"/>
      <c r="Q57" s="3">
        <f t="shared" si="2"/>
        <v>0</v>
      </c>
      <c r="R57" s="3">
        <v>0</v>
      </c>
      <c r="S57" s="3">
        <f>Q57/'[6]F&amp;B Summary'!$Q$148</f>
        <v>0</v>
      </c>
      <c r="T57" s="35"/>
      <c r="U57" s="40">
        <f t="shared" si="3"/>
        <v>0</v>
      </c>
    </row>
    <row r="58" spans="1:21" s="3" customFormat="1" ht="24.95" hidden="1" customHeight="1">
      <c r="A58" s="3" t="s">
        <v>568</v>
      </c>
      <c r="B58" s="3" t="s">
        <v>616</v>
      </c>
      <c r="D58" s="26" t="s">
        <v>569</v>
      </c>
      <c r="E58" s="27"/>
      <c r="F58" s="27"/>
      <c r="G58" s="27"/>
      <c r="H58" s="27"/>
      <c r="I58" s="27"/>
      <c r="J58" s="27"/>
      <c r="K58" s="27"/>
      <c r="L58" s="27"/>
      <c r="M58" s="27"/>
      <c r="N58" s="27"/>
      <c r="O58" s="27"/>
      <c r="P58" s="27"/>
      <c r="Q58" s="3">
        <f t="shared" si="2"/>
        <v>0</v>
      </c>
      <c r="R58" s="3">
        <v>0</v>
      </c>
      <c r="S58" s="3">
        <f>Q58/'[6]F&amp;B Summary'!$Q$148</f>
        <v>0</v>
      </c>
      <c r="T58" s="35"/>
      <c r="U58" s="40">
        <f t="shared" si="3"/>
        <v>0</v>
      </c>
    </row>
    <row r="59" spans="1:21" s="3" customFormat="1" ht="24.95" hidden="1" customHeight="1">
      <c r="A59" s="3" t="s">
        <v>570</v>
      </c>
      <c r="B59" s="3" t="s">
        <v>616</v>
      </c>
      <c r="D59" s="26" t="s">
        <v>571</v>
      </c>
      <c r="E59" s="27"/>
      <c r="F59" s="27"/>
      <c r="G59" s="27"/>
      <c r="H59" s="27"/>
      <c r="I59" s="27"/>
      <c r="J59" s="27"/>
      <c r="K59" s="27"/>
      <c r="L59" s="27"/>
      <c r="M59" s="27"/>
      <c r="N59" s="27"/>
      <c r="O59" s="27"/>
      <c r="P59" s="27"/>
      <c r="Q59" s="3">
        <f t="shared" si="2"/>
        <v>0</v>
      </c>
      <c r="R59" s="3">
        <v>0</v>
      </c>
      <c r="S59" s="3">
        <f>Q59/'[6]F&amp;B Summary'!$Q$148</f>
        <v>0</v>
      </c>
      <c r="T59" s="35"/>
      <c r="U59" s="40">
        <f t="shared" si="3"/>
        <v>0</v>
      </c>
    </row>
    <row r="60" spans="1:21" s="3" customFormat="1" ht="24.95" hidden="1" customHeight="1">
      <c r="A60" s="3" t="s">
        <v>572</v>
      </c>
      <c r="B60" s="3" t="s">
        <v>616</v>
      </c>
      <c r="D60" s="26" t="s">
        <v>573</v>
      </c>
      <c r="E60" s="27"/>
      <c r="F60" s="27"/>
      <c r="G60" s="27"/>
      <c r="H60" s="27"/>
      <c r="I60" s="27"/>
      <c r="J60" s="27"/>
      <c r="K60" s="27"/>
      <c r="L60" s="27"/>
      <c r="M60" s="27"/>
      <c r="N60" s="27"/>
      <c r="O60" s="27"/>
      <c r="P60" s="27"/>
      <c r="Q60" s="3">
        <f t="shared" si="2"/>
        <v>0</v>
      </c>
      <c r="R60" s="3">
        <v>0</v>
      </c>
      <c r="S60" s="3">
        <f>Q60/'[6]F&amp;B Summary'!$Q$148</f>
        <v>0</v>
      </c>
      <c r="T60" s="35"/>
      <c r="U60" s="40">
        <f t="shared" si="3"/>
        <v>0</v>
      </c>
    </row>
    <row r="61" spans="1:21" s="3" customFormat="1" ht="24.95" hidden="1" customHeight="1">
      <c r="A61" s="3" t="s">
        <v>574</v>
      </c>
      <c r="B61" s="3" t="s">
        <v>616</v>
      </c>
      <c r="D61" s="26" t="s">
        <v>575</v>
      </c>
      <c r="E61" s="27"/>
      <c r="F61" s="27"/>
      <c r="G61" s="27"/>
      <c r="H61" s="27"/>
      <c r="I61" s="27"/>
      <c r="J61" s="27"/>
      <c r="K61" s="27"/>
      <c r="L61" s="27"/>
      <c r="M61" s="27"/>
      <c r="N61" s="27"/>
      <c r="O61" s="27"/>
      <c r="P61" s="27"/>
      <c r="Q61" s="3">
        <f t="shared" si="2"/>
        <v>0</v>
      </c>
      <c r="R61" s="3">
        <v>0</v>
      </c>
      <c r="S61" s="3">
        <f>Q61/'[6]F&amp;B Summary'!$Q$148</f>
        <v>0</v>
      </c>
      <c r="T61" s="35"/>
      <c r="U61" s="40">
        <f t="shared" si="3"/>
        <v>0</v>
      </c>
    </row>
    <row r="62" spans="1:21" s="3" customFormat="1" ht="24.95" hidden="1" customHeight="1">
      <c r="A62" s="3" t="s">
        <v>434</v>
      </c>
      <c r="B62" s="3" t="s">
        <v>616</v>
      </c>
      <c r="D62" s="26" t="s">
        <v>435</v>
      </c>
      <c r="E62" s="27"/>
      <c r="F62" s="27"/>
      <c r="G62" s="27"/>
      <c r="H62" s="27"/>
      <c r="I62" s="27"/>
      <c r="J62" s="27"/>
      <c r="K62" s="27"/>
      <c r="L62" s="27"/>
      <c r="M62" s="27"/>
      <c r="N62" s="27"/>
      <c r="O62" s="27"/>
      <c r="P62" s="27"/>
      <c r="Q62" s="3">
        <f t="shared" si="2"/>
        <v>0</v>
      </c>
      <c r="T62" s="35"/>
      <c r="U62" s="40">
        <f t="shared" si="3"/>
        <v>0</v>
      </c>
    </row>
    <row r="63" spans="1:21" s="3" customFormat="1" ht="24.95" hidden="1" customHeight="1">
      <c r="A63" s="3" t="s">
        <v>576</v>
      </c>
      <c r="B63" s="3" t="s">
        <v>616</v>
      </c>
      <c r="D63" s="26" t="s">
        <v>577</v>
      </c>
      <c r="E63" s="27"/>
      <c r="F63" s="27"/>
      <c r="G63" s="27"/>
      <c r="H63" s="27"/>
      <c r="I63" s="27"/>
      <c r="J63" s="27"/>
      <c r="K63" s="27"/>
      <c r="L63" s="27"/>
      <c r="M63" s="27"/>
      <c r="N63" s="27"/>
      <c r="O63" s="27"/>
      <c r="P63" s="27"/>
      <c r="Q63" s="3">
        <f t="shared" si="2"/>
        <v>0</v>
      </c>
      <c r="R63" s="3">
        <v>0</v>
      </c>
      <c r="S63" s="3">
        <f>Q63/'[6]F&amp;B Summary'!$Q$148</f>
        <v>0</v>
      </c>
      <c r="T63" s="35"/>
      <c r="U63" s="40">
        <f t="shared" si="3"/>
        <v>0</v>
      </c>
    </row>
    <row r="64" spans="1:21" s="3" customFormat="1" ht="24.95" hidden="1" customHeight="1">
      <c r="A64" s="3" t="s">
        <v>578</v>
      </c>
      <c r="B64" s="3" t="s">
        <v>616</v>
      </c>
      <c r="D64" s="26" t="s">
        <v>579</v>
      </c>
      <c r="E64" s="27"/>
      <c r="F64" s="27"/>
      <c r="G64" s="27"/>
      <c r="H64" s="27"/>
      <c r="I64" s="27"/>
      <c r="J64" s="27"/>
      <c r="K64" s="27"/>
      <c r="L64" s="27"/>
      <c r="M64" s="27"/>
      <c r="N64" s="27"/>
      <c r="O64" s="27"/>
      <c r="P64" s="27"/>
      <c r="Q64" s="3">
        <f t="shared" si="2"/>
        <v>0</v>
      </c>
      <c r="R64" s="3">
        <v>0</v>
      </c>
      <c r="S64" s="3">
        <f>Q64/'[6]F&amp;B Summary'!$Q$148</f>
        <v>0</v>
      </c>
      <c r="T64" s="35"/>
      <c r="U64" s="40">
        <f t="shared" si="3"/>
        <v>0</v>
      </c>
    </row>
    <row r="65" spans="1:21" s="3" customFormat="1" ht="24.95" hidden="1" customHeight="1">
      <c r="A65" s="3" t="s">
        <v>580</v>
      </c>
      <c r="B65" s="3" t="s">
        <v>616</v>
      </c>
      <c r="D65" s="26" t="s">
        <v>581</v>
      </c>
      <c r="E65" s="27"/>
      <c r="F65" s="27"/>
      <c r="G65" s="27"/>
      <c r="H65" s="27"/>
      <c r="I65" s="27"/>
      <c r="J65" s="27"/>
      <c r="K65" s="27"/>
      <c r="L65" s="27"/>
      <c r="M65" s="27"/>
      <c r="N65" s="27"/>
      <c r="O65" s="27"/>
      <c r="P65" s="27"/>
      <c r="Q65" s="3">
        <f t="shared" si="2"/>
        <v>0</v>
      </c>
      <c r="R65" s="3">
        <v>0</v>
      </c>
      <c r="S65" s="3">
        <f>Q65/'[6]F&amp;B Summary'!$Q$148</f>
        <v>0</v>
      </c>
      <c r="T65" s="35"/>
      <c r="U65" s="40">
        <f t="shared" si="3"/>
        <v>0</v>
      </c>
    </row>
    <row r="66" spans="1:21" s="3" customFormat="1" ht="24.95" hidden="1" customHeight="1">
      <c r="A66" s="3" t="s">
        <v>582</v>
      </c>
      <c r="B66" s="3" t="s">
        <v>616</v>
      </c>
      <c r="D66" s="26" t="s">
        <v>583</v>
      </c>
      <c r="E66" s="27"/>
      <c r="F66" s="27"/>
      <c r="G66" s="27"/>
      <c r="H66" s="27"/>
      <c r="I66" s="27"/>
      <c r="J66" s="27"/>
      <c r="K66" s="27"/>
      <c r="L66" s="27"/>
      <c r="M66" s="27"/>
      <c r="N66" s="27"/>
      <c r="O66" s="27"/>
      <c r="P66" s="27"/>
      <c r="Q66" s="3">
        <f t="shared" si="2"/>
        <v>0</v>
      </c>
      <c r="R66" s="3">
        <v>0</v>
      </c>
      <c r="S66" s="3">
        <f>Q66/'[6]F&amp;B Summary'!$Q$148</f>
        <v>0</v>
      </c>
      <c r="T66" s="35"/>
      <c r="U66" s="40">
        <f t="shared" si="3"/>
        <v>0</v>
      </c>
    </row>
    <row r="67" spans="1:21" s="3" customFormat="1" ht="24.95" hidden="1" customHeight="1">
      <c r="A67" s="3" t="s">
        <v>584</v>
      </c>
      <c r="B67" s="3" t="s">
        <v>616</v>
      </c>
      <c r="D67" s="26" t="s">
        <v>585</v>
      </c>
      <c r="E67" s="27"/>
      <c r="F67" s="27"/>
      <c r="G67" s="27"/>
      <c r="H67" s="27"/>
      <c r="I67" s="27"/>
      <c r="J67" s="27"/>
      <c r="K67" s="27"/>
      <c r="L67" s="27"/>
      <c r="M67" s="27"/>
      <c r="N67" s="27"/>
      <c r="O67" s="27"/>
      <c r="P67" s="27"/>
      <c r="Q67" s="3">
        <f t="shared" si="2"/>
        <v>0</v>
      </c>
      <c r="R67" s="3">
        <v>0</v>
      </c>
      <c r="S67" s="3">
        <f>Q67/'[6]F&amp;B Summary'!$Q$148</f>
        <v>0</v>
      </c>
      <c r="T67" s="35"/>
      <c r="U67" s="40">
        <f t="shared" si="3"/>
        <v>0</v>
      </c>
    </row>
    <row r="68" spans="1:21" s="3" customFormat="1" ht="24.95" hidden="1" customHeight="1">
      <c r="A68" s="3" t="s">
        <v>586</v>
      </c>
      <c r="B68" s="3" t="s">
        <v>616</v>
      </c>
      <c r="D68" s="26" t="s">
        <v>587</v>
      </c>
      <c r="E68" s="27"/>
      <c r="F68" s="27"/>
      <c r="G68" s="27"/>
      <c r="H68" s="27"/>
      <c r="I68" s="27"/>
      <c r="J68" s="27"/>
      <c r="K68" s="27"/>
      <c r="L68" s="27"/>
      <c r="M68" s="27"/>
      <c r="N68" s="27"/>
      <c r="O68" s="27"/>
      <c r="P68" s="27"/>
      <c r="Q68" s="3">
        <f t="shared" si="2"/>
        <v>0</v>
      </c>
      <c r="R68" s="3">
        <v>0</v>
      </c>
      <c r="S68" s="3">
        <f>Q68/'[6]F&amp;B Summary'!$Q$148</f>
        <v>0</v>
      </c>
      <c r="T68" s="35"/>
      <c r="U68" s="40">
        <f t="shared" si="3"/>
        <v>0</v>
      </c>
    </row>
    <row r="69" spans="1:21" s="3" customFormat="1" ht="24.95" hidden="1" customHeight="1">
      <c r="A69" s="3" t="s">
        <v>588</v>
      </c>
      <c r="B69" s="3" t="s">
        <v>616</v>
      </c>
      <c r="D69" s="26" t="s">
        <v>589</v>
      </c>
      <c r="E69" s="27"/>
      <c r="F69" s="27"/>
      <c r="G69" s="27"/>
      <c r="H69" s="27"/>
      <c r="I69" s="27"/>
      <c r="J69" s="27"/>
      <c r="K69" s="27"/>
      <c r="L69" s="27"/>
      <c r="M69" s="27"/>
      <c r="N69" s="27"/>
      <c r="O69" s="27"/>
      <c r="P69" s="27"/>
      <c r="Q69" s="3">
        <f t="shared" si="2"/>
        <v>0</v>
      </c>
      <c r="R69" s="3">
        <v>4626.67</v>
      </c>
      <c r="S69" s="3">
        <f>Q69/'[6]F&amp;B Summary'!$Q$148</f>
        <v>0</v>
      </c>
      <c r="T69" s="35"/>
      <c r="U69" s="40">
        <f t="shared" si="3"/>
        <v>0</v>
      </c>
    </row>
    <row r="70" spans="1:21" s="3" customFormat="1" ht="24.95" customHeight="1">
      <c r="A70" s="3" t="s">
        <v>590</v>
      </c>
      <c r="B70" s="3" t="s">
        <v>616</v>
      </c>
      <c r="D70" s="26" t="s">
        <v>591</v>
      </c>
      <c r="E70" s="27"/>
      <c r="F70" s="27"/>
      <c r="G70" s="27"/>
      <c r="H70" s="27"/>
      <c r="I70" s="27"/>
      <c r="J70" s="27"/>
      <c r="K70" s="27"/>
      <c r="L70" s="27"/>
      <c r="M70" s="27"/>
      <c r="N70" s="27"/>
      <c r="O70" s="27"/>
      <c r="P70" s="27"/>
      <c r="Q70" s="3">
        <f t="shared" si="2"/>
        <v>0</v>
      </c>
      <c r="R70" s="3">
        <v>118770.64</v>
      </c>
      <c r="S70" s="3">
        <f>Q70/'[6]F&amp;B Summary'!$Q$148</f>
        <v>0</v>
      </c>
      <c r="T70" s="35"/>
      <c r="U70" s="40">
        <f t="shared" si="3"/>
        <v>0</v>
      </c>
    </row>
    <row r="71" spans="1:21" s="3" customFormat="1" ht="24.95" customHeight="1">
      <c r="A71" s="3" t="s">
        <v>592</v>
      </c>
      <c r="B71" s="3" t="s">
        <v>616</v>
      </c>
      <c r="D71" s="26" t="s">
        <v>593</v>
      </c>
      <c r="E71" s="27">
        <f>Laundry!E207</f>
        <v>4011.69</v>
      </c>
      <c r="F71" s="27">
        <f>Laundry!F207</f>
        <v>4302.78</v>
      </c>
      <c r="G71" s="27">
        <f>Laundry!G207</f>
        <v>4000.93</v>
      </c>
      <c r="H71" s="27">
        <f>Laundry!H207</f>
        <v>4327.74</v>
      </c>
      <c r="I71" s="27">
        <f>Laundry!I207</f>
        <v>4368.0200000000004</v>
      </c>
      <c r="J71" s="27">
        <f>Laundry!J207</f>
        <v>4397.46</v>
      </c>
      <c r="K71" s="27">
        <f>Laundry!K207</f>
        <v>4365.01</v>
      </c>
      <c r="L71" s="27">
        <f>Laundry!L207</f>
        <v>4380.5</v>
      </c>
      <c r="M71" s="27">
        <f>Laundry!M207</f>
        <v>4583.37</v>
      </c>
      <c r="N71" s="27">
        <f>Laundry!N207</f>
        <v>4874.47</v>
      </c>
      <c r="O71" s="27">
        <f>Laundry!O207</f>
        <v>4245.72</v>
      </c>
      <c r="P71" s="27">
        <f>Laundry!P207</f>
        <v>4186.84</v>
      </c>
      <c r="Q71" s="3">
        <f t="shared" si="2"/>
        <v>52044.53</v>
      </c>
      <c r="R71" s="3">
        <v>31732.28</v>
      </c>
      <c r="S71" s="3">
        <f>Q71/'[6]F&amp;B Summary'!$Q$148</f>
        <v>1.30293736230723</v>
      </c>
      <c r="T71" s="35"/>
      <c r="U71" s="40" t="e">
        <f t="shared" si="3"/>
        <v>#DIV/0!</v>
      </c>
    </row>
    <row r="72" spans="1:21" s="3" customFormat="1" ht="24.95" customHeight="1">
      <c r="A72" s="3" t="s">
        <v>594</v>
      </c>
      <c r="B72" s="3" t="s">
        <v>616</v>
      </c>
      <c r="D72" s="26" t="s">
        <v>595</v>
      </c>
      <c r="E72" s="27"/>
      <c r="F72" s="27"/>
      <c r="G72" s="27"/>
      <c r="H72" s="27"/>
      <c r="I72" s="27"/>
      <c r="J72" s="27"/>
      <c r="K72" s="27"/>
      <c r="L72" s="27"/>
      <c r="M72" s="27"/>
      <c r="N72" s="27"/>
      <c r="O72" s="27"/>
      <c r="P72" s="27"/>
      <c r="Q72" s="3">
        <f t="shared" si="2"/>
        <v>0</v>
      </c>
      <c r="R72" s="3">
        <v>38048.019999999997</v>
      </c>
      <c r="S72" s="3">
        <f>Q72/'[6]F&amp;B Summary'!$Q$148</f>
        <v>0</v>
      </c>
      <c r="T72" s="35"/>
      <c r="U72" s="40">
        <f t="shared" si="3"/>
        <v>0</v>
      </c>
    </row>
    <row r="73" spans="1:21" s="3" customFormat="1" ht="24.95" customHeight="1">
      <c r="A73" s="3" t="s">
        <v>596</v>
      </c>
      <c r="B73" s="3" t="s">
        <v>616</v>
      </c>
      <c r="D73" s="26" t="s">
        <v>597</v>
      </c>
      <c r="E73" s="27"/>
      <c r="F73" s="27"/>
      <c r="G73" s="27"/>
      <c r="H73" s="27"/>
      <c r="I73" s="27"/>
      <c r="J73" s="27"/>
      <c r="K73" s="27"/>
      <c r="L73" s="27"/>
      <c r="M73" s="27"/>
      <c r="N73" s="27"/>
      <c r="O73" s="27"/>
      <c r="P73" s="27"/>
      <c r="Q73" s="3">
        <f t="shared" si="2"/>
        <v>0</v>
      </c>
      <c r="R73" s="3">
        <v>67396.899999999994</v>
      </c>
      <c r="S73" s="3">
        <f>Q73/'[6]F&amp;B Summary'!$Q$148</f>
        <v>0</v>
      </c>
      <c r="T73" s="35"/>
      <c r="U73" s="40">
        <f t="shared" si="3"/>
        <v>0</v>
      </c>
    </row>
    <row r="74" spans="1:21" s="3" customFormat="1" ht="24.95" customHeight="1">
      <c r="A74" s="3" t="s">
        <v>598</v>
      </c>
      <c r="B74" s="3" t="s">
        <v>616</v>
      </c>
      <c r="D74" s="26" t="s">
        <v>599</v>
      </c>
      <c r="E74" s="27"/>
      <c r="F74" s="27"/>
      <c r="G74" s="27"/>
      <c r="H74" s="27"/>
      <c r="I74" s="27"/>
      <c r="J74" s="27"/>
      <c r="K74" s="27"/>
      <c r="L74" s="27"/>
      <c r="M74" s="27"/>
      <c r="N74" s="27"/>
      <c r="O74" s="27"/>
      <c r="P74" s="27"/>
      <c r="Q74" s="3">
        <f t="shared" si="2"/>
        <v>0</v>
      </c>
      <c r="R74" s="3">
        <v>0</v>
      </c>
      <c r="S74" s="3">
        <f>Q74/'[6]F&amp;B Summary'!$Q$148</f>
        <v>0</v>
      </c>
      <c r="T74" s="35"/>
      <c r="U74" s="40">
        <f t="shared" si="3"/>
        <v>0</v>
      </c>
    </row>
    <row r="75" spans="1:21" s="3" customFormat="1" ht="24.95" customHeight="1">
      <c r="A75" s="3" t="s">
        <v>600</v>
      </c>
      <c r="B75" s="3" t="s">
        <v>616</v>
      </c>
      <c r="D75" s="26" t="s">
        <v>601</v>
      </c>
      <c r="E75" s="27"/>
      <c r="F75" s="27"/>
      <c r="G75" s="27"/>
      <c r="H75" s="27"/>
      <c r="I75" s="27"/>
      <c r="J75" s="27"/>
      <c r="K75" s="27"/>
      <c r="L75" s="27"/>
      <c r="M75" s="27"/>
      <c r="N75" s="27"/>
      <c r="O75" s="27"/>
      <c r="P75" s="27"/>
      <c r="Q75" s="3">
        <f t="shared" si="2"/>
        <v>0</v>
      </c>
      <c r="R75" s="3">
        <v>199955.88</v>
      </c>
      <c r="S75" s="3">
        <f>Q75/'[6]F&amp;B Summary'!$Q$148</f>
        <v>0</v>
      </c>
      <c r="T75" s="35"/>
      <c r="U75" s="40">
        <f t="shared" si="3"/>
        <v>0</v>
      </c>
    </row>
    <row r="76" spans="1:21" s="3" customFormat="1" ht="24.95" customHeight="1">
      <c r="A76" s="3" t="s">
        <v>602</v>
      </c>
      <c r="B76" s="3" t="s">
        <v>616</v>
      </c>
      <c r="D76" s="26" t="s">
        <v>603</v>
      </c>
      <c r="E76" s="27"/>
      <c r="F76" s="27"/>
      <c r="G76" s="27"/>
      <c r="H76" s="27"/>
      <c r="I76" s="27"/>
      <c r="J76" s="27">
        <v>10000</v>
      </c>
      <c r="K76" s="27"/>
      <c r="L76" s="27"/>
      <c r="M76" s="27"/>
      <c r="N76" s="27"/>
      <c r="O76" s="27"/>
      <c r="P76" s="27"/>
      <c r="Q76" s="3">
        <f t="shared" si="2"/>
        <v>10000</v>
      </c>
      <c r="R76" s="3">
        <v>60789.32</v>
      </c>
      <c r="S76" s="3">
        <f>Q76/'[6]F&amp;B Summary'!$Q$148</f>
        <v>0.25035049068696175</v>
      </c>
      <c r="T76" s="35"/>
      <c r="U76" s="40" t="e">
        <f t="shared" si="3"/>
        <v>#DIV/0!</v>
      </c>
    </row>
    <row r="77" spans="1:21" s="3" customFormat="1" ht="24.95" customHeight="1">
      <c r="A77" s="3" t="s">
        <v>604</v>
      </c>
      <c r="B77" s="3" t="s">
        <v>616</v>
      </c>
      <c r="D77" s="26" t="s">
        <v>605</v>
      </c>
      <c r="E77" s="27"/>
      <c r="F77" s="27"/>
      <c r="G77" s="27"/>
      <c r="H77" s="27"/>
      <c r="I77" s="27"/>
      <c r="J77" s="27"/>
      <c r="K77" s="27"/>
      <c r="L77" s="27"/>
      <c r="M77" s="27"/>
      <c r="N77" s="27"/>
      <c r="O77" s="27"/>
      <c r="P77" s="27"/>
      <c r="Q77" s="3">
        <f t="shared" si="2"/>
        <v>0</v>
      </c>
      <c r="R77" s="3">
        <v>0</v>
      </c>
      <c r="S77" s="3">
        <f>Q77/'[6]F&amp;B Summary'!$Q$148</f>
        <v>0</v>
      </c>
      <c r="T77" s="35"/>
      <c r="U77" s="40">
        <f t="shared" si="3"/>
        <v>0</v>
      </c>
    </row>
    <row r="78" spans="1:21" s="3" customFormat="1" ht="24.95" hidden="1" customHeight="1">
      <c r="A78" s="3" t="s">
        <v>606</v>
      </c>
      <c r="B78" s="3" t="s">
        <v>616</v>
      </c>
      <c r="D78" s="26" t="s">
        <v>607</v>
      </c>
      <c r="E78" s="27"/>
      <c r="F78" s="27"/>
      <c r="G78" s="27"/>
      <c r="H78" s="27"/>
      <c r="I78" s="27"/>
      <c r="J78" s="27"/>
      <c r="K78" s="27"/>
      <c r="L78" s="27"/>
      <c r="M78" s="27"/>
      <c r="N78" s="27"/>
      <c r="O78" s="27"/>
      <c r="P78" s="27"/>
      <c r="Q78" s="3">
        <f t="shared" si="2"/>
        <v>0</v>
      </c>
      <c r="R78" s="3">
        <v>0</v>
      </c>
      <c r="S78" s="3">
        <f>Q78/'[6]F&amp;B Summary'!$Q$148</f>
        <v>0</v>
      </c>
      <c r="T78" s="35"/>
      <c r="U78" s="40">
        <f t="shared" si="3"/>
        <v>0</v>
      </c>
    </row>
    <row r="79" spans="1:21" s="3" customFormat="1" ht="24.95" hidden="1" customHeight="1">
      <c r="A79" s="3" t="s">
        <v>608</v>
      </c>
      <c r="B79" s="3" t="s">
        <v>616</v>
      </c>
      <c r="D79" s="26" t="s">
        <v>609</v>
      </c>
      <c r="E79" s="27"/>
      <c r="F79" s="27"/>
      <c r="G79" s="27"/>
      <c r="H79" s="27"/>
      <c r="I79" s="27"/>
      <c r="J79" s="27"/>
      <c r="K79" s="27"/>
      <c r="L79" s="27"/>
      <c r="M79" s="27"/>
      <c r="N79" s="27"/>
      <c r="O79" s="27"/>
      <c r="P79" s="27"/>
      <c r="Q79" s="3">
        <f t="shared" si="2"/>
        <v>0</v>
      </c>
      <c r="R79" s="3">
        <v>0</v>
      </c>
      <c r="S79" s="3">
        <f>Q79/'[6]F&amp;B Summary'!$Q$148</f>
        <v>0</v>
      </c>
      <c r="T79" s="35"/>
      <c r="U79" s="40">
        <f t="shared" si="3"/>
        <v>0</v>
      </c>
    </row>
    <row r="80" spans="1:21" s="3" customFormat="1" ht="24.95" hidden="1" customHeight="1">
      <c r="A80" s="3" t="s">
        <v>268</v>
      </c>
      <c r="B80" s="3" t="s">
        <v>616</v>
      </c>
      <c r="D80" s="26" t="s">
        <v>610</v>
      </c>
      <c r="E80" s="27"/>
      <c r="F80" s="27"/>
      <c r="G80" s="27"/>
      <c r="H80" s="27"/>
      <c r="I80" s="27"/>
      <c r="J80" s="27"/>
      <c r="K80" s="27"/>
      <c r="L80" s="27"/>
      <c r="M80" s="27"/>
      <c r="N80" s="27"/>
      <c r="O80" s="27"/>
      <c r="P80" s="27"/>
      <c r="Q80" s="3">
        <f t="shared" ref="Q80:Q82" si="4">SUM(E80:P80)</f>
        <v>0</v>
      </c>
      <c r="R80" s="3">
        <v>0</v>
      </c>
      <c r="S80" s="3">
        <f>Q80/'[6]F&amp;B Summary'!$Q$148</f>
        <v>0</v>
      </c>
      <c r="T80" s="35"/>
      <c r="U80" s="40">
        <f t="shared" si="3"/>
        <v>0</v>
      </c>
    </row>
    <row r="81" spans="1:21" s="3" customFormat="1" ht="24.95" hidden="1" customHeight="1">
      <c r="A81" s="3" t="s">
        <v>270</v>
      </c>
      <c r="B81" s="3" t="s">
        <v>616</v>
      </c>
      <c r="D81" s="26" t="s">
        <v>271</v>
      </c>
      <c r="E81" s="27"/>
      <c r="F81" s="27"/>
      <c r="G81" s="27"/>
      <c r="H81" s="27"/>
      <c r="I81" s="27"/>
      <c r="J81" s="27"/>
      <c r="K81" s="27"/>
      <c r="L81" s="27"/>
      <c r="M81" s="27"/>
      <c r="N81" s="27"/>
      <c r="O81" s="27"/>
      <c r="P81" s="27"/>
      <c r="Q81" s="3">
        <f t="shared" si="4"/>
        <v>0</v>
      </c>
      <c r="R81" s="3">
        <v>0</v>
      </c>
      <c r="S81" s="3">
        <f>Q81/'[6]F&amp;B Summary'!$Q$148</f>
        <v>0</v>
      </c>
      <c r="T81" s="35"/>
      <c r="U81" s="40">
        <f t="shared" si="3"/>
        <v>0</v>
      </c>
    </row>
    <row r="82" spans="1:21" s="3" customFormat="1" ht="24.95" customHeight="1">
      <c r="A82" s="3" t="s">
        <v>611</v>
      </c>
      <c r="B82" s="3" t="s">
        <v>616</v>
      </c>
      <c r="D82" s="26" t="s">
        <v>612</v>
      </c>
      <c r="E82" s="27"/>
      <c r="F82" s="27"/>
      <c r="G82" s="27"/>
      <c r="H82" s="27"/>
      <c r="I82" s="27">
        <v>1200</v>
      </c>
      <c r="J82" s="27"/>
      <c r="K82" s="27">
        <v>5500</v>
      </c>
      <c r="L82" s="27"/>
      <c r="M82" s="27"/>
      <c r="N82" s="27"/>
      <c r="O82" s="27"/>
      <c r="P82" s="27"/>
      <c r="Q82" s="3">
        <f t="shared" si="4"/>
        <v>6700</v>
      </c>
      <c r="R82" s="3">
        <v>1206413.77</v>
      </c>
      <c r="S82" s="3">
        <f>Q82/'[6]F&amp;B Summary'!$Q$148</f>
        <v>0.16773482876026438</v>
      </c>
      <c r="T82" s="35"/>
      <c r="U82" s="40" t="e">
        <f t="shared" si="3"/>
        <v>#DIV/0!</v>
      </c>
    </row>
    <row r="83" spans="1:21" s="19" customFormat="1" ht="24.95" customHeight="1">
      <c r="D83" s="21" t="s">
        <v>613</v>
      </c>
      <c r="E83" s="45">
        <f>SUM(E15:E82)</f>
        <v>12711.69</v>
      </c>
      <c r="F83" s="45">
        <f t="shared" ref="F83:Q83" si="5">SUM(F15:F82)</f>
        <v>12002.779999999999</v>
      </c>
      <c r="G83" s="45">
        <f t="shared" si="5"/>
        <v>12200.93</v>
      </c>
      <c r="H83" s="45">
        <f t="shared" si="5"/>
        <v>13327.74</v>
      </c>
      <c r="I83" s="45">
        <f t="shared" si="5"/>
        <v>14868.02</v>
      </c>
      <c r="J83" s="45">
        <f t="shared" si="5"/>
        <v>23097.46</v>
      </c>
      <c r="K83" s="45">
        <f t="shared" si="5"/>
        <v>19165.010000000002</v>
      </c>
      <c r="L83" s="45">
        <f t="shared" si="5"/>
        <v>13680.5</v>
      </c>
      <c r="M83" s="45">
        <f t="shared" si="5"/>
        <v>13883.369999999999</v>
      </c>
      <c r="N83" s="45">
        <f t="shared" si="5"/>
        <v>14174.470000000001</v>
      </c>
      <c r="O83" s="45">
        <f t="shared" si="5"/>
        <v>13245.720000000001</v>
      </c>
      <c r="P83" s="45">
        <f t="shared" si="5"/>
        <v>13186.84</v>
      </c>
      <c r="Q83" s="45">
        <f t="shared" si="5"/>
        <v>175544.53</v>
      </c>
      <c r="R83" s="45">
        <v>3775081.91</v>
      </c>
      <c r="S83" s="3">
        <f>Q83/'[6]F&amp;B Summary'!$Q$148</f>
        <v>4.3947659222912074</v>
      </c>
      <c r="T83" s="35"/>
      <c r="U83" s="40" t="e">
        <f t="shared" si="3"/>
        <v>#DIV/0!</v>
      </c>
    </row>
    <row r="84" spans="1:21" s="19" customFormat="1" ht="24.95" customHeight="1">
      <c r="D84" s="21" t="s">
        <v>614</v>
      </c>
      <c r="E84" s="45">
        <f t="shared" ref="E84:Q84" si="6">+E12+E83</f>
        <v>71312.160000000003</v>
      </c>
      <c r="F84" s="45">
        <f t="shared" si="6"/>
        <v>63898.009999999995</v>
      </c>
      <c r="G84" s="45">
        <f t="shared" si="6"/>
        <v>64154.020000000004</v>
      </c>
      <c r="H84" s="45">
        <f t="shared" si="6"/>
        <v>71928.210000000006</v>
      </c>
      <c r="I84" s="45">
        <f t="shared" si="6"/>
        <v>82468.490000000005</v>
      </c>
      <c r="J84" s="45">
        <f t="shared" si="6"/>
        <v>81697.929999999993</v>
      </c>
      <c r="K84" s="45">
        <f t="shared" si="6"/>
        <v>77113.63</v>
      </c>
      <c r="L84" s="45">
        <f t="shared" si="6"/>
        <v>71629.119999999995</v>
      </c>
      <c r="M84" s="45">
        <f t="shared" si="6"/>
        <v>75494.23</v>
      </c>
      <c r="N84" s="45">
        <f t="shared" si="6"/>
        <v>77109.81</v>
      </c>
      <c r="O84" s="45">
        <f t="shared" si="6"/>
        <v>69194.34</v>
      </c>
      <c r="P84" s="45">
        <f t="shared" si="6"/>
        <v>67135.460000000006</v>
      </c>
      <c r="Q84" s="45">
        <f t="shared" si="6"/>
        <v>873135.40999999992</v>
      </c>
      <c r="R84" s="45">
        <v>12763695.470000001</v>
      </c>
      <c r="S84" s="3">
        <f>Q84/'[6]F&amp;B Summary'!$Q$148</f>
        <v>21.85898783296615</v>
      </c>
      <c r="T84" s="35"/>
      <c r="U84" s="40" t="e">
        <f t="shared" si="3"/>
        <v>#DIV/0!</v>
      </c>
    </row>
    <row r="85" spans="1:21" s="3" customFormat="1" ht="24.95" customHeight="1">
      <c r="A85" s="84" t="s">
        <v>615</v>
      </c>
      <c r="B85" s="3" t="s">
        <v>616</v>
      </c>
      <c r="D85" s="42" t="s">
        <v>351</v>
      </c>
      <c r="E85" s="74"/>
      <c r="F85" s="74"/>
      <c r="G85" s="74"/>
      <c r="H85" s="74"/>
      <c r="I85" s="74"/>
      <c r="J85" s="74"/>
      <c r="K85" s="74"/>
      <c r="L85" s="74"/>
      <c r="M85" s="74"/>
      <c r="N85" s="74"/>
      <c r="O85" s="74"/>
      <c r="P85" s="74"/>
      <c r="Q85" s="3">
        <f>+Q84</f>
        <v>873135.40999999992</v>
      </c>
      <c r="R85" s="3">
        <v>12763695.470000001</v>
      </c>
      <c r="T85" s="35"/>
      <c r="U85" s="40" t="e">
        <f t="shared" si="3"/>
        <v>#DIV/0!</v>
      </c>
    </row>
    <row r="86" spans="1:21" s="3" customFormat="1" ht="24.95" customHeight="1">
      <c r="A86" s="84" t="s">
        <v>468</v>
      </c>
      <c r="B86" s="3" t="s">
        <v>616</v>
      </c>
      <c r="D86" s="42" t="s">
        <v>617</v>
      </c>
      <c r="E86" s="27">
        <f>-E84</f>
        <v>-71312.160000000003</v>
      </c>
      <c r="F86" s="27">
        <f t="shared" ref="F86:P86" si="7">-F84</f>
        <v>-63898.009999999995</v>
      </c>
      <c r="G86" s="27">
        <f t="shared" si="7"/>
        <v>-64154.020000000004</v>
      </c>
      <c r="H86" s="27">
        <f t="shared" si="7"/>
        <v>-71928.210000000006</v>
      </c>
      <c r="I86" s="27">
        <f t="shared" si="7"/>
        <v>-82468.490000000005</v>
      </c>
      <c r="J86" s="27">
        <f t="shared" si="7"/>
        <v>-81697.929999999993</v>
      </c>
      <c r="K86" s="27">
        <f t="shared" si="7"/>
        <v>-77113.63</v>
      </c>
      <c r="L86" s="27">
        <f t="shared" si="7"/>
        <v>-71629.119999999995</v>
      </c>
      <c r="M86" s="27">
        <f t="shared" si="7"/>
        <v>-75494.23</v>
      </c>
      <c r="N86" s="27">
        <f t="shared" si="7"/>
        <v>-77109.81</v>
      </c>
      <c r="O86" s="27">
        <f t="shared" si="7"/>
        <v>-69194.34</v>
      </c>
      <c r="P86" s="27">
        <f t="shared" si="7"/>
        <v>-67135.460000000006</v>
      </c>
      <c r="Q86" s="3">
        <f>SUM(E86:P86)</f>
        <v>-873135.41</v>
      </c>
      <c r="T86" s="35"/>
      <c r="U86" s="40" t="e">
        <f t="shared" si="3"/>
        <v>#DIV/0!</v>
      </c>
    </row>
    <row r="87" spans="1:21" s="3" customFormat="1" ht="24.95" customHeight="1">
      <c r="D87" s="42"/>
      <c r="E87" s="74"/>
      <c r="F87" s="74"/>
      <c r="G87" s="74"/>
      <c r="H87" s="74"/>
      <c r="I87" s="74"/>
      <c r="T87" s="35"/>
      <c r="U87" s="40"/>
    </row>
    <row r="88" spans="1:21" s="3" customFormat="1" ht="24.95" customHeight="1">
      <c r="B88" s="51"/>
      <c r="D88" s="19" t="s">
        <v>618</v>
      </c>
      <c r="E88" s="48"/>
      <c r="F88" s="48"/>
      <c r="G88" s="48"/>
      <c r="H88" s="48"/>
      <c r="I88" s="48"/>
      <c r="T88" s="35"/>
      <c r="U88" s="40"/>
    </row>
    <row r="89" spans="1:21" s="3" customFormat="1" ht="24.6" customHeight="1">
      <c r="B89" s="51"/>
      <c r="D89" s="19" t="s">
        <v>444</v>
      </c>
      <c r="E89" s="48"/>
      <c r="F89" s="48"/>
      <c r="G89" s="48"/>
      <c r="H89" s="48"/>
      <c r="I89" s="48"/>
      <c r="T89" s="35"/>
      <c r="U89" s="40"/>
    </row>
    <row r="90" spans="1:21" s="3" customFormat="1" ht="24.95" customHeight="1">
      <c r="A90" s="270" t="s">
        <v>295</v>
      </c>
      <c r="B90" s="3" t="s">
        <v>616</v>
      </c>
      <c r="D90" s="26" t="s">
        <v>297</v>
      </c>
      <c r="E90" s="27">
        <v>9700</v>
      </c>
      <c r="F90" s="27">
        <v>9700</v>
      </c>
      <c r="G90" s="27">
        <v>9700</v>
      </c>
      <c r="H90" s="27">
        <v>9700</v>
      </c>
      <c r="I90" s="27">
        <v>9700</v>
      </c>
      <c r="J90" s="27">
        <v>9700</v>
      </c>
      <c r="K90" s="27">
        <v>9700</v>
      </c>
      <c r="L90" s="27">
        <v>9700</v>
      </c>
      <c r="M90" s="27">
        <v>9700</v>
      </c>
      <c r="N90" s="27">
        <v>9700</v>
      </c>
      <c r="O90" s="27">
        <v>9700</v>
      </c>
      <c r="P90" s="27">
        <v>9700</v>
      </c>
      <c r="Q90" s="3">
        <f>SUM(E90:P90)</f>
        <v>116400</v>
      </c>
      <c r="R90" s="3">
        <v>3618344.18</v>
      </c>
      <c r="S90" s="3">
        <f>Q90/'[6]F&amp;B Summary'!$Q$148</f>
        <v>2.9140797115962349</v>
      </c>
      <c r="T90" s="35"/>
      <c r="U90" s="40" t="e">
        <f>-IF(Q90-T90=0,0,(Q90-T90)/T90)</f>
        <v>#DIV/0!</v>
      </c>
    </row>
    <row r="91" spans="1:21" s="3" customFormat="1" ht="24.95" customHeight="1">
      <c r="A91" s="50" t="s">
        <v>298</v>
      </c>
      <c r="B91" s="3" t="s">
        <v>616</v>
      </c>
      <c r="D91" s="26" t="s">
        <v>447</v>
      </c>
      <c r="E91" s="27">
        <v>8700</v>
      </c>
      <c r="F91" s="27">
        <v>8700</v>
      </c>
      <c r="G91" s="27">
        <v>8700</v>
      </c>
      <c r="H91" s="27">
        <v>8700</v>
      </c>
      <c r="I91" s="27">
        <v>8700</v>
      </c>
      <c r="J91" s="27">
        <v>8700</v>
      </c>
      <c r="K91" s="27">
        <v>4820</v>
      </c>
      <c r="L91" s="27">
        <v>4820</v>
      </c>
      <c r="M91" s="27">
        <v>4820</v>
      </c>
      <c r="N91" s="27">
        <v>4820</v>
      </c>
      <c r="O91" s="27">
        <v>4820</v>
      </c>
      <c r="P91" s="27">
        <v>4820</v>
      </c>
      <c r="Q91" s="3">
        <f>SUM(E91:P91)</f>
        <v>81120</v>
      </c>
      <c r="R91" s="3">
        <v>1159791.6399999999</v>
      </c>
      <c r="S91" s="3">
        <f>Q91/'[6]F&amp;B Summary'!$Q$148</f>
        <v>2.0308431804526337</v>
      </c>
      <c r="T91" s="35"/>
      <c r="U91" s="40" t="e">
        <f t="shared" ref="U91:U121" si="8">-IF(Q91-T91=0,0,(Q91-T91)/T91)</f>
        <v>#DIV/0!</v>
      </c>
    </row>
    <row r="92" spans="1:21" s="3" customFormat="1" ht="24.95" customHeight="1">
      <c r="B92" s="51"/>
      <c r="D92" s="21" t="s">
        <v>450</v>
      </c>
      <c r="E92" s="52">
        <f>SUM(E90:E91)</f>
        <v>18400</v>
      </c>
      <c r="F92" s="52">
        <f t="shared" ref="F92:P92" si="9">SUM(F90:F91)</f>
        <v>18400</v>
      </c>
      <c r="G92" s="52">
        <f t="shared" si="9"/>
        <v>18400</v>
      </c>
      <c r="H92" s="52">
        <f t="shared" si="9"/>
        <v>18400</v>
      </c>
      <c r="I92" s="52">
        <f t="shared" si="9"/>
        <v>18400</v>
      </c>
      <c r="J92" s="52">
        <f t="shared" si="9"/>
        <v>18400</v>
      </c>
      <c r="K92" s="52">
        <f t="shared" si="9"/>
        <v>14520</v>
      </c>
      <c r="L92" s="52">
        <f t="shared" si="9"/>
        <v>14520</v>
      </c>
      <c r="M92" s="52">
        <f t="shared" si="9"/>
        <v>14520</v>
      </c>
      <c r="N92" s="52">
        <f t="shared" si="9"/>
        <v>14520</v>
      </c>
      <c r="O92" s="52">
        <f t="shared" si="9"/>
        <v>14520</v>
      </c>
      <c r="P92" s="52">
        <f t="shared" si="9"/>
        <v>14520</v>
      </c>
      <c r="Q92" s="52">
        <f t="shared" ref="Q92" si="10">SUM(Q90:Q91)</f>
        <v>197520</v>
      </c>
      <c r="R92" s="52">
        <v>4778135.82</v>
      </c>
      <c r="S92" s="3">
        <f>Q92/'[6]F&amp;B Summary'!$Q$148</f>
        <v>4.9449228920488686</v>
      </c>
      <c r="T92" s="35"/>
      <c r="U92" s="40" t="e">
        <f t="shared" si="8"/>
        <v>#DIV/0!</v>
      </c>
    </row>
    <row r="93" spans="1:21" s="3" customFormat="1" ht="24.95" customHeight="1">
      <c r="B93" s="51"/>
      <c r="E93" s="53"/>
      <c r="F93" s="53"/>
      <c r="G93" s="53"/>
      <c r="H93" s="53"/>
      <c r="I93" s="53"/>
      <c r="J93" s="53"/>
      <c r="K93" s="53"/>
      <c r="L93" s="53"/>
      <c r="M93" s="53"/>
      <c r="N93" s="53"/>
      <c r="O93" s="53"/>
      <c r="P93" s="53"/>
      <c r="T93" s="35"/>
      <c r="U93" s="40"/>
    </row>
    <row r="94" spans="1:21" s="3" customFormat="1" ht="24.95" customHeight="1">
      <c r="A94" s="50" t="s">
        <v>619</v>
      </c>
      <c r="B94" s="3" t="s">
        <v>616</v>
      </c>
      <c r="D94" s="26" t="s">
        <v>307</v>
      </c>
      <c r="E94" s="27">
        <v>594.48</v>
      </c>
      <c r="F94" s="27">
        <v>1783.45</v>
      </c>
      <c r="G94" s="27">
        <v>0</v>
      </c>
      <c r="H94" s="27">
        <v>594.48</v>
      </c>
      <c r="I94" s="27">
        <v>594.48</v>
      </c>
      <c r="J94" s="27">
        <v>594.48</v>
      </c>
      <c r="K94" s="27">
        <v>0</v>
      </c>
      <c r="L94" s="27">
        <v>0</v>
      </c>
      <c r="M94" s="27">
        <v>609.34</v>
      </c>
      <c r="N94" s="27">
        <v>1828.03</v>
      </c>
      <c r="O94" s="27">
        <v>0</v>
      </c>
      <c r="P94" s="27">
        <v>0</v>
      </c>
      <c r="Q94" s="3">
        <f>SUM(E94:P94)</f>
        <v>6598.7400000000007</v>
      </c>
      <c r="R94" s="3">
        <v>148934.06</v>
      </c>
      <c r="S94" s="3">
        <f>Q94/'[6]F&amp;B Summary'!$Q$148</f>
        <v>0.16519977969156821</v>
      </c>
      <c r="T94" s="35"/>
      <c r="U94" s="40" t="e">
        <f t="shared" si="8"/>
        <v>#DIV/0!</v>
      </c>
    </row>
    <row r="95" spans="1:21" s="3" customFormat="1" ht="24.95" customHeight="1">
      <c r="A95" s="50" t="s">
        <v>308</v>
      </c>
      <c r="B95" s="3" t="s">
        <v>616</v>
      </c>
      <c r="D95" s="26" t="s">
        <v>309</v>
      </c>
      <c r="E95" s="27">
        <f>ROUND(E92/12*1.5,2)</f>
        <v>2300</v>
      </c>
      <c r="F95" s="27">
        <f t="shared" ref="F95:P95" si="11">ROUND(F92/12*1.5,2)</f>
        <v>2300</v>
      </c>
      <c r="G95" s="27">
        <f t="shared" si="11"/>
        <v>2300</v>
      </c>
      <c r="H95" s="27">
        <f t="shared" si="11"/>
        <v>2300</v>
      </c>
      <c r="I95" s="27">
        <f t="shared" si="11"/>
        <v>2300</v>
      </c>
      <c r="J95" s="27">
        <f t="shared" si="11"/>
        <v>2300</v>
      </c>
      <c r="K95" s="27">
        <f t="shared" si="11"/>
        <v>1815</v>
      </c>
      <c r="L95" s="27">
        <f t="shared" si="11"/>
        <v>1815</v>
      </c>
      <c r="M95" s="27">
        <f t="shared" si="11"/>
        <v>1815</v>
      </c>
      <c r="N95" s="27">
        <f t="shared" si="11"/>
        <v>1815</v>
      </c>
      <c r="O95" s="27">
        <f t="shared" si="11"/>
        <v>1815</v>
      </c>
      <c r="P95" s="27">
        <f t="shared" si="11"/>
        <v>1815</v>
      </c>
      <c r="Q95" s="3">
        <f>SUM(E95:P95)</f>
        <v>24690</v>
      </c>
      <c r="R95" s="3">
        <v>678215.17</v>
      </c>
      <c r="S95" s="3">
        <f>Q95/'[6]F&amp;B Summary'!$Q$148</f>
        <v>0.61811536150610857</v>
      </c>
      <c r="T95" s="35"/>
      <c r="U95" s="40" t="e">
        <f t="shared" si="8"/>
        <v>#DIV/0!</v>
      </c>
    </row>
    <row r="96" spans="1:21" s="3" customFormat="1" ht="24.95" customHeight="1">
      <c r="A96" s="50" t="s">
        <v>620</v>
      </c>
      <c r="B96" s="3" t="s">
        <v>616</v>
      </c>
      <c r="D96" s="26" t="s">
        <v>311</v>
      </c>
      <c r="E96" s="27"/>
      <c r="F96" s="27"/>
      <c r="G96" s="27"/>
      <c r="H96" s="27"/>
      <c r="I96" s="27"/>
      <c r="J96" s="27"/>
      <c r="K96" s="27"/>
      <c r="L96" s="27"/>
      <c r="M96" s="27"/>
      <c r="N96" s="27"/>
      <c r="O96" s="27"/>
      <c r="P96" s="27"/>
      <c r="Q96" s="3">
        <f t="shared" ref="Q96:Q100" si="12">SUM(E96:P96)</f>
        <v>0</v>
      </c>
      <c r="R96" s="3">
        <v>16190</v>
      </c>
      <c r="S96" s="3">
        <f>Q96/'[6]F&amp;B Summary'!$Q$148</f>
        <v>0</v>
      </c>
      <c r="T96" s="35"/>
      <c r="U96" s="40"/>
    </row>
    <row r="97" spans="1:21" s="3" customFormat="1" ht="24.95" customHeight="1">
      <c r="A97" s="50" t="s">
        <v>621</v>
      </c>
      <c r="B97" s="3" t="s">
        <v>616</v>
      </c>
      <c r="D97" s="26" t="s">
        <v>313</v>
      </c>
      <c r="E97" s="27"/>
      <c r="F97" s="27"/>
      <c r="G97" s="27"/>
      <c r="H97" s="27"/>
      <c r="I97" s="27"/>
      <c r="J97" s="27"/>
      <c r="K97" s="27"/>
      <c r="L97" s="27"/>
      <c r="M97" s="27"/>
      <c r="N97" s="27"/>
      <c r="O97" s="27"/>
      <c r="P97" s="27"/>
      <c r="Q97" s="3">
        <f t="shared" si="12"/>
        <v>0</v>
      </c>
      <c r="R97" s="3">
        <v>33600</v>
      </c>
      <c r="S97" s="3">
        <f>Q97/'[6]F&amp;B Summary'!$Q$148</f>
        <v>0</v>
      </c>
      <c r="T97" s="35"/>
      <c r="U97" s="40">
        <f t="shared" si="8"/>
        <v>0</v>
      </c>
    </row>
    <row r="98" spans="1:21" s="3" customFormat="1" ht="24.95" customHeight="1">
      <c r="A98" s="50" t="s">
        <v>622</v>
      </c>
      <c r="B98" s="3" t="s">
        <v>616</v>
      </c>
      <c r="D98" s="26" t="s">
        <v>315</v>
      </c>
      <c r="E98" s="27"/>
      <c r="F98" s="27"/>
      <c r="G98" s="27"/>
      <c r="H98" s="27"/>
      <c r="I98" s="27"/>
      <c r="J98" s="27"/>
      <c r="K98" s="27"/>
      <c r="L98" s="27"/>
      <c r="M98" s="27"/>
      <c r="N98" s="27"/>
      <c r="O98" s="27"/>
      <c r="P98" s="27"/>
      <c r="Q98" s="3">
        <f t="shared" ref="Q98" si="13">SUM(E98:P98)</f>
        <v>0</v>
      </c>
      <c r="R98" s="3">
        <v>0</v>
      </c>
      <c r="S98" s="3">
        <f>Q98/'[6]F&amp;B Summary'!$Q$148</f>
        <v>0</v>
      </c>
      <c r="T98" s="35"/>
      <c r="U98" s="40">
        <f t="shared" ref="U98" si="14">-IF(Q98-T98=0,0,(Q98-T98)/T98)</f>
        <v>0</v>
      </c>
    </row>
    <row r="99" spans="1:21" s="3" customFormat="1" ht="24.95" customHeight="1">
      <c r="A99" s="50" t="s">
        <v>1109</v>
      </c>
      <c r="B99" s="3" t="s">
        <v>616</v>
      </c>
      <c r="D99" s="26" t="s">
        <v>1113</v>
      </c>
      <c r="E99" s="27"/>
      <c r="F99" s="27"/>
      <c r="G99" s="27"/>
      <c r="H99" s="27"/>
      <c r="I99" s="27"/>
      <c r="J99" s="27"/>
      <c r="K99" s="27"/>
      <c r="L99" s="27"/>
      <c r="M99" s="27"/>
      <c r="N99" s="27"/>
      <c r="O99" s="27"/>
      <c r="P99" s="27"/>
      <c r="Q99" s="3">
        <f t="shared" si="12"/>
        <v>0</v>
      </c>
      <c r="R99" s="3">
        <v>0</v>
      </c>
      <c r="S99" s="3">
        <f>Q99/'[6]F&amp;B Summary'!$Q$148</f>
        <v>0</v>
      </c>
      <c r="T99" s="35"/>
      <c r="U99" s="40">
        <f t="shared" si="8"/>
        <v>0</v>
      </c>
    </row>
    <row r="100" spans="1:21" s="3" customFormat="1" ht="24.95" customHeight="1">
      <c r="A100" s="50" t="s">
        <v>1109</v>
      </c>
      <c r="B100" s="3" t="s">
        <v>616</v>
      </c>
      <c r="D100" s="26" t="s">
        <v>1114</v>
      </c>
      <c r="E100" s="27">
        <v>28000</v>
      </c>
      <c r="F100" s="27">
        <v>20000</v>
      </c>
      <c r="G100" s="27">
        <v>22000</v>
      </c>
      <c r="H100" s="27">
        <v>28000</v>
      </c>
      <c r="I100" s="27">
        <v>37000</v>
      </c>
      <c r="J100" s="27">
        <v>28000</v>
      </c>
      <c r="K100" s="27">
        <v>34000</v>
      </c>
      <c r="L100" s="27">
        <v>34000</v>
      </c>
      <c r="M100" s="27">
        <v>37000</v>
      </c>
      <c r="N100" s="27">
        <v>37000</v>
      </c>
      <c r="O100" s="27">
        <v>32000</v>
      </c>
      <c r="P100" s="27">
        <v>30000</v>
      </c>
      <c r="Q100" s="3">
        <f t="shared" si="12"/>
        <v>367000</v>
      </c>
      <c r="R100" s="3">
        <v>0</v>
      </c>
      <c r="S100" s="3">
        <f>Q100/'[6]F&amp;B Summary'!$Q$148</f>
        <v>9.1878630082114956</v>
      </c>
      <c r="T100" s="35"/>
      <c r="U100" s="40" t="e">
        <f t="shared" si="8"/>
        <v>#DIV/0!</v>
      </c>
    </row>
    <row r="101" spans="1:21" s="19" customFormat="1" ht="24.95" customHeight="1">
      <c r="A101" s="54"/>
      <c r="B101" s="51"/>
      <c r="D101" s="19" t="s">
        <v>316</v>
      </c>
      <c r="E101" s="52">
        <f t="shared" ref="E101:Q101" si="15">SUM(E94:E100)</f>
        <v>30894.48</v>
      </c>
      <c r="F101" s="52">
        <f t="shared" si="15"/>
        <v>24083.45</v>
      </c>
      <c r="G101" s="52">
        <f t="shared" si="15"/>
        <v>24300</v>
      </c>
      <c r="H101" s="52">
        <f t="shared" si="15"/>
        <v>30894.48</v>
      </c>
      <c r="I101" s="52">
        <f t="shared" si="15"/>
        <v>39894.480000000003</v>
      </c>
      <c r="J101" s="52">
        <f t="shared" si="15"/>
        <v>30894.48</v>
      </c>
      <c r="K101" s="52">
        <f t="shared" si="15"/>
        <v>35815</v>
      </c>
      <c r="L101" s="52">
        <f t="shared" si="15"/>
        <v>35815</v>
      </c>
      <c r="M101" s="52">
        <f t="shared" si="15"/>
        <v>39424.339999999997</v>
      </c>
      <c r="N101" s="52">
        <f t="shared" si="15"/>
        <v>40643.03</v>
      </c>
      <c r="O101" s="52">
        <f t="shared" si="15"/>
        <v>33815</v>
      </c>
      <c r="P101" s="52">
        <f t="shared" si="15"/>
        <v>31815</v>
      </c>
      <c r="Q101" s="52">
        <f t="shared" si="15"/>
        <v>398288.74</v>
      </c>
      <c r="R101" s="52">
        <v>876939.23</v>
      </c>
      <c r="S101" s="3">
        <f>Q101/'[6]F&amp;B Summary'!$Q$148</f>
        <v>9.9711781494091731</v>
      </c>
      <c r="T101" s="35"/>
      <c r="U101" s="40" t="e">
        <f t="shared" si="8"/>
        <v>#DIV/0!</v>
      </c>
    </row>
    <row r="102" spans="1:21" s="3" customFormat="1" ht="24.95" customHeight="1">
      <c r="A102" s="50"/>
      <c r="D102" s="19"/>
      <c r="E102" s="53"/>
      <c r="F102" s="53"/>
      <c r="G102" s="53"/>
      <c r="H102" s="53"/>
      <c r="I102" s="53"/>
      <c r="J102" s="53"/>
      <c r="K102" s="53"/>
      <c r="L102" s="53"/>
      <c r="M102" s="53"/>
      <c r="N102" s="53"/>
      <c r="O102" s="53"/>
      <c r="P102" s="53"/>
      <c r="T102" s="35"/>
      <c r="U102" s="40"/>
    </row>
    <row r="103" spans="1:21" s="3" customFormat="1" ht="24.95" customHeight="1">
      <c r="A103" s="271" t="s">
        <v>625</v>
      </c>
      <c r="B103" s="3" t="s">
        <v>616</v>
      </c>
      <c r="D103" s="26" t="s">
        <v>318</v>
      </c>
      <c r="E103" s="27">
        <v>3089.2799999999997</v>
      </c>
      <c r="F103" s="27">
        <v>3089.2799999999997</v>
      </c>
      <c r="G103" s="27">
        <v>3089.2799999999997</v>
      </c>
      <c r="H103" s="27">
        <v>3089.2799999999997</v>
      </c>
      <c r="I103" s="27">
        <v>3089.2799999999997</v>
      </c>
      <c r="J103" s="27">
        <v>3089.2799999999997</v>
      </c>
      <c r="K103" s="27">
        <v>2322</v>
      </c>
      <c r="L103" s="27">
        <v>2322</v>
      </c>
      <c r="M103" s="27">
        <v>2322</v>
      </c>
      <c r="N103" s="27">
        <v>2322</v>
      </c>
      <c r="O103" s="27">
        <v>2322</v>
      </c>
      <c r="P103" s="27">
        <v>2322</v>
      </c>
      <c r="Q103" s="3">
        <f>SUM(E103:P103)</f>
        <v>32467.679999999997</v>
      </c>
      <c r="R103" s="3">
        <v>451796</v>
      </c>
      <c r="S103" s="3">
        <f>Q103/'[6]F&amp;B Summary'!$Q$148</f>
        <v>0.8128299619467253</v>
      </c>
      <c r="T103" s="35"/>
      <c r="U103" s="40" t="e">
        <f t="shared" si="8"/>
        <v>#DIV/0!</v>
      </c>
    </row>
    <row r="104" spans="1:21" s="3" customFormat="1" ht="24.95" customHeight="1">
      <c r="A104" s="271" t="s">
        <v>626</v>
      </c>
      <c r="B104" s="3" t="s">
        <v>616</v>
      </c>
      <c r="D104" s="26" t="s">
        <v>320</v>
      </c>
      <c r="E104" s="27">
        <v>1351.56</v>
      </c>
      <c r="F104" s="27">
        <v>1351.56</v>
      </c>
      <c r="G104" s="27">
        <v>1351.56</v>
      </c>
      <c r="H104" s="27">
        <v>1351.56</v>
      </c>
      <c r="I104" s="27">
        <v>1351.56</v>
      </c>
      <c r="J104" s="27">
        <v>1351.56</v>
      </c>
      <c r="K104" s="27">
        <v>1016</v>
      </c>
      <c r="L104" s="27">
        <v>1016</v>
      </c>
      <c r="M104" s="27">
        <v>1016</v>
      </c>
      <c r="N104" s="27">
        <v>1016</v>
      </c>
      <c r="O104" s="27">
        <v>1016</v>
      </c>
      <c r="P104" s="27">
        <v>1016</v>
      </c>
      <c r="Q104" s="3">
        <f t="shared" ref="Q104:Q110" si="16">SUM(E104:P104)</f>
        <v>14205.359999999999</v>
      </c>
      <c r="R104" s="3">
        <v>306116.28000000003</v>
      </c>
      <c r="S104" s="3">
        <f>Q104/'[6]F&amp;B Summary'!$Q$148</f>
        <v>0.35563188463849388</v>
      </c>
      <c r="T104" s="35"/>
      <c r="U104" s="40" t="e">
        <f t="shared" si="8"/>
        <v>#DIV/0!</v>
      </c>
    </row>
    <row r="105" spans="1:21" s="3" customFormat="1" ht="24.95" customHeight="1">
      <c r="A105" s="271" t="s">
        <v>627</v>
      </c>
      <c r="B105" s="3" t="s">
        <v>616</v>
      </c>
      <c r="D105" s="26" t="s">
        <v>322</v>
      </c>
      <c r="E105" s="27">
        <v>96.539999999999992</v>
      </c>
      <c r="F105" s="27">
        <v>96.539999999999992</v>
      </c>
      <c r="G105" s="27">
        <v>96.539999999999992</v>
      </c>
      <c r="H105" s="27">
        <v>96.539999999999992</v>
      </c>
      <c r="I105" s="27">
        <v>96.539999999999992</v>
      </c>
      <c r="J105" s="27">
        <v>96.539999999999992</v>
      </c>
      <c r="K105" s="27">
        <v>73</v>
      </c>
      <c r="L105" s="27">
        <v>73</v>
      </c>
      <c r="M105" s="27">
        <v>73</v>
      </c>
      <c r="N105" s="27">
        <v>73</v>
      </c>
      <c r="O105" s="27">
        <v>73</v>
      </c>
      <c r="P105" s="27">
        <v>73</v>
      </c>
      <c r="Q105" s="3">
        <f t="shared" si="16"/>
        <v>1017.2399999999999</v>
      </c>
      <c r="R105" s="3">
        <v>15840.48</v>
      </c>
      <c r="S105" s="3">
        <f>Q105/'[6]F&amp;B Summary'!$Q$148</f>
        <v>2.5466653314640493E-2</v>
      </c>
      <c r="T105" s="35"/>
      <c r="U105" s="40" t="e">
        <f t="shared" si="8"/>
        <v>#DIV/0!</v>
      </c>
    </row>
    <row r="106" spans="1:21" s="3" customFormat="1" ht="24.95" customHeight="1">
      <c r="A106" s="271" t="s">
        <v>628</v>
      </c>
      <c r="B106" s="3" t="s">
        <v>616</v>
      </c>
      <c r="D106" s="26" t="s">
        <v>324</v>
      </c>
      <c r="E106" s="27">
        <v>77.23</v>
      </c>
      <c r="F106" s="27">
        <v>77.23</v>
      </c>
      <c r="G106" s="27">
        <v>77.23</v>
      </c>
      <c r="H106" s="27">
        <v>77.23</v>
      </c>
      <c r="I106" s="27">
        <v>77.23</v>
      </c>
      <c r="J106" s="27">
        <v>77.23</v>
      </c>
      <c r="K106" s="27">
        <v>59</v>
      </c>
      <c r="L106" s="27">
        <v>59</v>
      </c>
      <c r="M106" s="27">
        <v>59</v>
      </c>
      <c r="N106" s="27">
        <v>59</v>
      </c>
      <c r="O106" s="27">
        <v>59</v>
      </c>
      <c r="P106" s="27">
        <v>59</v>
      </c>
      <c r="Q106" s="3">
        <f t="shared" si="16"/>
        <v>817.38000000000011</v>
      </c>
      <c r="R106" s="3">
        <v>7884.16</v>
      </c>
      <c r="S106" s="3">
        <f>Q106/'[6]F&amp;B Summary'!$Q$148</f>
        <v>2.0463148407770883E-2</v>
      </c>
      <c r="T106" s="35"/>
      <c r="U106" s="40" t="e">
        <f t="shared" si="8"/>
        <v>#DIV/0!</v>
      </c>
    </row>
    <row r="107" spans="1:21" s="3" customFormat="1" ht="24.95" customHeight="1">
      <c r="A107" s="271" t="s">
        <v>629</v>
      </c>
      <c r="B107" s="3" t="s">
        <v>616</v>
      </c>
      <c r="D107" s="26" t="s">
        <v>326</v>
      </c>
      <c r="E107" s="27">
        <v>154.46</v>
      </c>
      <c r="F107" s="27">
        <v>154.46</v>
      </c>
      <c r="G107" s="27">
        <v>154.46</v>
      </c>
      <c r="H107" s="27">
        <v>154.46</v>
      </c>
      <c r="I107" s="27">
        <v>154.46</v>
      </c>
      <c r="J107" s="27">
        <v>154.46</v>
      </c>
      <c r="K107" s="27">
        <v>117</v>
      </c>
      <c r="L107" s="27">
        <v>117</v>
      </c>
      <c r="M107" s="27">
        <v>117</v>
      </c>
      <c r="N107" s="27">
        <v>117</v>
      </c>
      <c r="O107" s="27">
        <v>117</v>
      </c>
      <c r="P107" s="27">
        <v>117</v>
      </c>
      <c r="Q107" s="3">
        <f t="shared" si="16"/>
        <v>1628.7600000000002</v>
      </c>
      <c r="R107" s="3">
        <v>36851.85</v>
      </c>
      <c r="S107" s="3">
        <f>Q107/'[6]F&amp;B Summary'!$Q$148</f>
        <v>4.0776086521129587E-2</v>
      </c>
      <c r="T107" s="35"/>
      <c r="U107" s="40" t="e">
        <f t="shared" si="8"/>
        <v>#DIV/0!</v>
      </c>
    </row>
    <row r="108" spans="1:21" s="3" customFormat="1" ht="24.95" customHeight="1">
      <c r="A108" s="271" t="s">
        <v>630</v>
      </c>
      <c r="B108" s="3" t="s">
        <v>616</v>
      </c>
      <c r="D108" s="26" t="s">
        <v>328</v>
      </c>
      <c r="E108" s="27">
        <v>1830.8</v>
      </c>
      <c r="F108" s="27">
        <v>1830.8</v>
      </c>
      <c r="G108" s="27">
        <v>1830.8</v>
      </c>
      <c r="H108" s="27">
        <v>1830.8</v>
      </c>
      <c r="I108" s="27">
        <v>1830.8</v>
      </c>
      <c r="J108" s="27">
        <v>1830.8</v>
      </c>
      <c r="K108" s="27">
        <v>1451</v>
      </c>
      <c r="L108" s="27">
        <v>1451</v>
      </c>
      <c r="M108" s="27">
        <v>1451</v>
      </c>
      <c r="N108" s="27">
        <v>1451</v>
      </c>
      <c r="O108" s="27">
        <v>1451</v>
      </c>
      <c r="P108" s="27">
        <v>1451</v>
      </c>
      <c r="Q108" s="3">
        <f t="shared" si="16"/>
        <v>19690.8</v>
      </c>
      <c r="R108" s="3">
        <v>425126.40000000002</v>
      </c>
      <c r="S108" s="3">
        <f>Q108/'[6]F&amp;B Summary'!$Q$148</f>
        <v>0.49296014420188261</v>
      </c>
      <c r="T108" s="35"/>
      <c r="U108" s="40" t="e">
        <f t="shared" si="8"/>
        <v>#DIV/0!</v>
      </c>
    </row>
    <row r="109" spans="1:21" s="3" customFormat="1" ht="24.95" customHeight="1">
      <c r="A109" s="271" t="s">
        <v>631</v>
      </c>
      <c r="B109" s="3" t="s">
        <v>616</v>
      </c>
      <c r="D109" s="26" t="s">
        <v>330</v>
      </c>
      <c r="E109" s="27">
        <f>ROUND(E92*0.02,2)</f>
        <v>368</v>
      </c>
      <c r="F109" s="27">
        <f t="shared" ref="F109:K109" si="17">ROUND(F92*0.02,2)</f>
        <v>368</v>
      </c>
      <c r="G109" s="27">
        <f t="shared" si="17"/>
        <v>368</v>
      </c>
      <c r="H109" s="27">
        <f t="shared" si="17"/>
        <v>368</v>
      </c>
      <c r="I109" s="27">
        <f t="shared" si="17"/>
        <v>368</v>
      </c>
      <c r="J109" s="27">
        <f t="shared" si="17"/>
        <v>368</v>
      </c>
      <c r="K109" s="27">
        <f t="shared" si="17"/>
        <v>290.39999999999998</v>
      </c>
      <c r="L109" s="27">
        <f t="shared" ref="L109:P109" si="18">ROUND(L92*0.02,2)</f>
        <v>290.39999999999998</v>
      </c>
      <c r="M109" s="27">
        <f t="shared" si="18"/>
        <v>290.39999999999998</v>
      </c>
      <c r="N109" s="27">
        <f t="shared" si="18"/>
        <v>290.39999999999998</v>
      </c>
      <c r="O109" s="27">
        <f t="shared" si="18"/>
        <v>290.39999999999998</v>
      </c>
      <c r="P109" s="27">
        <f t="shared" si="18"/>
        <v>290.39999999999998</v>
      </c>
      <c r="Q109" s="3">
        <f t="shared" si="16"/>
        <v>3950.4000000000005</v>
      </c>
      <c r="R109" s="3">
        <v>0</v>
      </c>
      <c r="S109" s="3">
        <f>Q109/'[6]F&amp;B Summary'!$Q$148</f>
        <v>9.889845784097738E-2</v>
      </c>
      <c r="T109" s="35"/>
      <c r="U109" s="40" t="e">
        <f t="shared" si="8"/>
        <v>#DIV/0!</v>
      </c>
    </row>
    <row r="110" spans="1:21" s="3" customFormat="1" ht="24.95" customHeight="1">
      <c r="A110" s="271" t="s">
        <v>632</v>
      </c>
      <c r="B110" s="3" t="s">
        <v>616</v>
      </c>
      <c r="D110" s="26" t="s">
        <v>332</v>
      </c>
      <c r="E110" s="27"/>
      <c r="F110" s="27"/>
      <c r="G110" s="27"/>
      <c r="H110" s="27"/>
      <c r="I110" s="27"/>
      <c r="J110" s="27"/>
      <c r="K110" s="27"/>
      <c r="L110" s="27"/>
      <c r="M110" s="27"/>
      <c r="N110" s="27"/>
      <c r="O110" s="27"/>
      <c r="P110" s="27"/>
      <c r="Q110" s="3">
        <f t="shared" si="16"/>
        <v>0</v>
      </c>
      <c r="R110" s="3">
        <v>0</v>
      </c>
      <c r="S110" s="3">
        <f>Q110/'[6]F&amp;B Summary'!$Q$148</f>
        <v>0</v>
      </c>
      <c r="T110" s="35"/>
      <c r="U110" s="40">
        <f t="shared" si="8"/>
        <v>0</v>
      </c>
    </row>
    <row r="111" spans="1:21" s="19" customFormat="1" ht="24.95" customHeight="1">
      <c r="A111" s="54"/>
      <c r="B111" s="51"/>
      <c r="D111" s="19" t="s">
        <v>333</v>
      </c>
      <c r="E111" s="45">
        <f>SUM(E103:E110)</f>
        <v>6967.87</v>
      </c>
      <c r="F111" s="45">
        <f t="shared" ref="F111:P111" si="19">SUM(F103:F110)</f>
        <v>6967.87</v>
      </c>
      <c r="G111" s="45">
        <f t="shared" si="19"/>
        <v>6967.87</v>
      </c>
      <c r="H111" s="45">
        <f t="shared" si="19"/>
        <v>6967.87</v>
      </c>
      <c r="I111" s="45">
        <f t="shared" si="19"/>
        <v>6967.87</v>
      </c>
      <c r="J111" s="45">
        <f t="shared" si="19"/>
        <v>6967.87</v>
      </c>
      <c r="K111" s="45">
        <f t="shared" si="19"/>
        <v>5328.4</v>
      </c>
      <c r="L111" s="45">
        <f t="shared" si="19"/>
        <v>5328.4</v>
      </c>
      <c r="M111" s="45">
        <f t="shared" si="19"/>
        <v>5328.4</v>
      </c>
      <c r="N111" s="45">
        <f t="shared" si="19"/>
        <v>5328.4</v>
      </c>
      <c r="O111" s="45">
        <f t="shared" si="19"/>
        <v>5328.4</v>
      </c>
      <c r="P111" s="45">
        <f t="shared" si="19"/>
        <v>5328.4</v>
      </c>
      <c r="Q111" s="45">
        <f t="shared" ref="Q111" si="20">SUM(Q103:Q110)</f>
        <v>73777.619999999981</v>
      </c>
      <c r="R111" s="45">
        <v>1243615.17</v>
      </c>
      <c r="S111" s="3">
        <f>Q111/'[6]F&amp;B Summary'!$Q$148</f>
        <v>1.8470263368716198</v>
      </c>
      <c r="T111" s="35"/>
      <c r="U111" s="40" t="e">
        <f t="shared" si="8"/>
        <v>#DIV/0!</v>
      </c>
    </row>
    <row r="112" spans="1:21" s="19" customFormat="1" ht="24.95" customHeight="1">
      <c r="A112" s="54"/>
      <c r="B112" s="51"/>
      <c r="D112" s="21"/>
      <c r="E112" s="55"/>
      <c r="F112" s="55"/>
      <c r="G112" s="55"/>
      <c r="H112" s="57"/>
      <c r="I112" s="57"/>
      <c r="T112" s="35"/>
      <c r="U112" s="40"/>
    </row>
    <row r="113" spans="1:21" s="3" customFormat="1" ht="24.95" customHeight="1">
      <c r="A113" s="271" t="s">
        <v>633</v>
      </c>
      <c r="B113" s="3" t="s">
        <v>616</v>
      </c>
      <c r="D113" s="26" t="s">
        <v>335</v>
      </c>
      <c r="E113" s="27">
        <v>0</v>
      </c>
      <c r="F113" s="27">
        <v>0</v>
      </c>
      <c r="G113" s="27">
        <v>0</v>
      </c>
      <c r="H113" s="27">
        <v>0</v>
      </c>
      <c r="I113" s="27">
        <v>0</v>
      </c>
      <c r="J113" s="27">
        <v>0</v>
      </c>
      <c r="K113" s="27">
        <v>0</v>
      </c>
      <c r="L113" s="27">
        <v>0</v>
      </c>
      <c r="M113" s="27">
        <v>0</v>
      </c>
      <c r="N113" s="27">
        <v>0</v>
      </c>
      <c r="O113" s="27">
        <v>0</v>
      </c>
      <c r="P113" s="27">
        <v>0</v>
      </c>
      <c r="Q113" s="3">
        <f>SUM(E113:P113)</f>
        <v>0</v>
      </c>
      <c r="R113" s="3">
        <v>0</v>
      </c>
      <c r="T113" s="35"/>
      <c r="U113" s="40">
        <f t="shared" si="8"/>
        <v>0</v>
      </c>
    </row>
    <row r="114" spans="1:21" s="3" customFormat="1" ht="24.95" customHeight="1">
      <c r="A114" s="271" t="s">
        <v>634</v>
      </c>
      <c r="B114" s="3" t="s">
        <v>616</v>
      </c>
      <c r="D114" s="3" t="s">
        <v>337</v>
      </c>
      <c r="E114" s="27">
        <v>0</v>
      </c>
      <c r="F114" s="27">
        <v>0</v>
      </c>
      <c r="G114" s="27">
        <v>0</v>
      </c>
      <c r="H114" s="27">
        <v>0</v>
      </c>
      <c r="I114" s="27">
        <v>0</v>
      </c>
      <c r="J114" s="27">
        <v>0</v>
      </c>
      <c r="K114" s="27">
        <v>0</v>
      </c>
      <c r="L114" s="27">
        <v>0</v>
      </c>
      <c r="M114" s="27">
        <v>0</v>
      </c>
      <c r="N114" s="27">
        <v>0</v>
      </c>
      <c r="O114" s="27">
        <v>0</v>
      </c>
      <c r="P114" s="27">
        <v>0</v>
      </c>
      <c r="Q114" s="3">
        <f t="shared" ref="Q114:Q120" si="21">SUM(E114:P114)</f>
        <v>0</v>
      </c>
      <c r="R114" s="3">
        <v>0</v>
      </c>
      <c r="T114" s="35"/>
      <c r="U114" s="40">
        <f t="shared" si="8"/>
        <v>0</v>
      </c>
    </row>
    <row r="115" spans="1:21" s="3" customFormat="1" ht="24.95" customHeight="1">
      <c r="A115" s="271" t="s">
        <v>635</v>
      </c>
      <c r="B115" s="3" t="s">
        <v>616</v>
      </c>
      <c r="D115" s="26" t="s">
        <v>339</v>
      </c>
      <c r="E115" s="27">
        <v>0</v>
      </c>
      <c r="F115" s="27">
        <v>0</v>
      </c>
      <c r="G115" s="27">
        <v>0</v>
      </c>
      <c r="H115" s="27">
        <v>0</v>
      </c>
      <c r="I115" s="27">
        <v>0</v>
      </c>
      <c r="J115" s="27">
        <v>0</v>
      </c>
      <c r="K115" s="27">
        <v>0</v>
      </c>
      <c r="L115" s="27">
        <v>0</v>
      </c>
      <c r="M115" s="27">
        <v>0</v>
      </c>
      <c r="N115" s="27">
        <v>0</v>
      </c>
      <c r="O115" s="27">
        <v>0</v>
      </c>
      <c r="P115" s="27">
        <v>0</v>
      </c>
      <c r="Q115" s="3">
        <f t="shared" si="21"/>
        <v>0</v>
      </c>
      <c r="R115" s="3">
        <v>0</v>
      </c>
      <c r="T115" s="35"/>
      <c r="U115" s="40">
        <f t="shared" si="8"/>
        <v>0</v>
      </c>
    </row>
    <row r="116" spans="1:21" s="3" customFormat="1" ht="24.95" customHeight="1">
      <c r="A116" s="271" t="s">
        <v>636</v>
      </c>
      <c r="B116" s="3" t="s">
        <v>616</v>
      </c>
      <c r="D116" s="26" t="s">
        <v>341</v>
      </c>
      <c r="E116" s="27">
        <v>0</v>
      </c>
      <c r="F116" s="27">
        <v>0</v>
      </c>
      <c r="G116" s="27">
        <v>0</v>
      </c>
      <c r="H116" s="27">
        <v>0</v>
      </c>
      <c r="I116" s="27">
        <v>0</v>
      </c>
      <c r="J116" s="27">
        <v>0</v>
      </c>
      <c r="K116" s="27">
        <v>0</v>
      </c>
      <c r="L116" s="27">
        <v>0</v>
      </c>
      <c r="M116" s="27">
        <v>0</v>
      </c>
      <c r="N116" s="27">
        <v>0</v>
      </c>
      <c r="O116" s="27">
        <v>0</v>
      </c>
      <c r="P116" s="27">
        <v>0</v>
      </c>
      <c r="Q116" s="3">
        <f t="shared" si="21"/>
        <v>0</v>
      </c>
      <c r="R116" s="3">
        <v>0</v>
      </c>
      <c r="T116" s="35"/>
      <c r="U116" s="40">
        <f t="shared" si="8"/>
        <v>0</v>
      </c>
    </row>
    <row r="117" spans="1:21" s="3" customFormat="1" ht="24.95" customHeight="1">
      <c r="A117" s="271" t="s">
        <v>637</v>
      </c>
      <c r="B117" s="3" t="s">
        <v>616</v>
      </c>
      <c r="D117" s="26" t="s">
        <v>343</v>
      </c>
      <c r="E117" s="27"/>
      <c r="F117" s="27"/>
      <c r="G117" s="27"/>
      <c r="H117" s="27"/>
      <c r="I117" s="27"/>
      <c r="J117" s="27"/>
      <c r="K117" s="27"/>
      <c r="L117" s="27"/>
      <c r="M117" s="27"/>
      <c r="N117" s="27"/>
      <c r="O117" s="27"/>
      <c r="P117" s="27"/>
      <c r="Q117" s="3">
        <f t="shared" si="21"/>
        <v>0</v>
      </c>
      <c r="R117" s="3">
        <v>154372.09</v>
      </c>
      <c r="S117" s="3">
        <f>Q117/'[6]F&amp;B Summary'!$Q$148</f>
        <v>0</v>
      </c>
      <c r="T117" s="35"/>
      <c r="U117" s="40">
        <f t="shared" si="8"/>
        <v>0</v>
      </c>
    </row>
    <row r="118" spans="1:21" s="3" customFormat="1" ht="24.95" customHeight="1">
      <c r="A118" s="50" t="s">
        <v>638</v>
      </c>
      <c r="B118" s="3" t="s">
        <v>616</v>
      </c>
      <c r="D118" s="26" t="s">
        <v>639</v>
      </c>
      <c r="E118" s="27">
        <v>0</v>
      </c>
      <c r="F118" s="27">
        <v>0</v>
      </c>
      <c r="G118" s="27">
        <v>0</v>
      </c>
      <c r="H118" s="27">
        <v>0</v>
      </c>
      <c r="I118" s="27">
        <v>0</v>
      </c>
      <c r="J118" s="27">
        <v>0</v>
      </c>
      <c r="K118" s="27">
        <v>0</v>
      </c>
      <c r="L118" s="27">
        <v>0</v>
      </c>
      <c r="M118" s="27">
        <v>0</v>
      </c>
      <c r="N118" s="27">
        <v>0</v>
      </c>
      <c r="O118" s="27">
        <v>0</v>
      </c>
      <c r="P118" s="27">
        <v>0</v>
      </c>
      <c r="Q118" s="3">
        <f t="shared" si="21"/>
        <v>0</v>
      </c>
      <c r="R118" s="3">
        <v>147047.38</v>
      </c>
      <c r="S118" s="3">
        <f>Q118/'[6]F&amp;B Summary'!$Q$148</f>
        <v>0</v>
      </c>
      <c r="T118" s="35"/>
      <c r="U118" s="40">
        <f t="shared" si="8"/>
        <v>0</v>
      </c>
    </row>
    <row r="119" spans="1:21" s="3" customFormat="1" ht="24.95" customHeight="1">
      <c r="A119" s="271" t="s">
        <v>344</v>
      </c>
      <c r="B119" s="3" t="s">
        <v>616</v>
      </c>
      <c r="D119" s="26" t="s">
        <v>345</v>
      </c>
      <c r="E119" s="27">
        <v>0</v>
      </c>
      <c r="F119" s="27">
        <v>0</v>
      </c>
      <c r="G119" s="27">
        <v>0</v>
      </c>
      <c r="H119" s="27">
        <v>0</v>
      </c>
      <c r="I119" s="27">
        <v>0</v>
      </c>
      <c r="J119" s="27">
        <v>0</v>
      </c>
      <c r="K119" s="27">
        <v>0</v>
      </c>
      <c r="L119" s="27">
        <v>0</v>
      </c>
      <c r="M119" s="27">
        <v>0</v>
      </c>
      <c r="N119" s="27">
        <v>0</v>
      </c>
      <c r="O119" s="27">
        <v>0</v>
      </c>
      <c r="P119" s="27">
        <v>0</v>
      </c>
      <c r="Q119" s="3">
        <f t="shared" si="21"/>
        <v>0</v>
      </c>
      <c r="R119" s="3">
        <v>1327709.98</v>
      </c>
      <c r="S119" s="3">
        <f>Q119/'[6]F&amp;B Summary'!$Q$148</f>
        <v>0</v>
      </c>
      <c r="T119" s="35"/>
      <c r="U119" s="40"/>
    </row>
    <row r="120" spans="1:21" s="3" customFormat="1" ht="24.95" customHeight="1">
      <c r="A120" s="3" t="s">
        <v>640</v>
      </c>
      <c r="B120" s="3" t="s">
        <v>616</v>
      </c>
      <c r="D120" s="26" t="s">
        <v>347</v>
      </c>
      <c r="E120" s="27">
        <f>'Staff Canteen'!E206</f>
        <v>2338.12</v>
      </c>
      <c r="F120" s="27">
        <f>'Staff Canteen'!F206</f>
        <v>2443.91</v>
      </c>
      <c r="G120" s="27">
        <f>'Staff Canteen'!G206</f>
        <v>2285.2199999999998</v>
      </c>
      <c r="H120" s="27">
        <f>'Staff Canteen'!H206</f>
        <v>2338.12</v>
      </c>
      <c r="I120" s="27">
        <f>'Staff Canteen'!I206</f>
        <v>2338.12</v>
      </c>
      <c r="J120" s="27">
        <f>'Staff Canteen'!J206</f>
        <v>2338.12</v>
      </c>
      <c r="K120" s="27">
        <f>'Staff Canteen'!K206</f>
        <v>2285.2199999999998</v>
      </c>
      <c r="L120" s="27">
        <f>'Staff Canteen'!L206</f>
        <v>2285.2199999999998</v>
      </c>
      <c r="M120" s="27">
        <f>'Staff Canteen'!M206</f>
        <v>2338.12</v>
      </c>
      <c r="N120" s="27">
        <f>'Staff Canteen'!N206</f>
        <v>2443.91</v>
      </c>
      <c r="O120" s="27">
        <f>'Staff Canteen'!O206</f>
        <v>2285.2199999999998</v>
      </c>
      <c r="P120" s="27">
        <f>'Staff Canteen'!P206</f>
        <v>2285.2199999999998</v>
      </c>
      <c r="Q120" s="3">
        <f t="shared" si="21"/>
        <v>28004.519999999997</v>
      </c>
      <c r="R120" s="3">
        <v>460793.89</v>
      </c>
      <c r="S120" s="3">
        <f>Q120/'[6]F&amp;B Summary'!$Q$148</f>
        <v>0.70109453234528329</v>
      </c>
      <c r="T120" s="35"/>
      <c r="U120" s="40" t="e">
        <f t="shared" si="8"/>
        <v>#DIV/0!</v>
      </c>
    </row>
    <row r="121" spans="1:21" s="3" customFormat="1" ht="24.95" customHeight="1">
      <c r="A121" s="54"/>
      <c r="B121" s="51"/>
      <c r="D121" s="19" t="s">
        <v>348</v>
      </c>
      <c r="E121" s="52">
        <f>SUM(E113:E120)</f>
        <v>2338.12</v>
      </c>
      <c r="F121" s="52">
        <f t="shared" ref="F121:Q121" si="22">SUM(F113:F120)</f>
        <v>2443.91</v>
      </c>
      <c r="G121" s="52">
        <f t="shared" si="22"/>
        <v>2285.2199999999998</v>
      </c>
      <c r="H121" s="52">
        <f t="shared" si="22"/>
        <v>2338.12</v>
      </c>
      <c r="I121" s="52">
        <f t="shared" si="22"/>
        <v>2338.12</v>
      </c>
      <c r="J121" s="52">
        <f t="shared" si="22"/>
        <v>2338.12</v>
      </c>
      <c r="K121" s="52">
        <f t="shared" si="22"/>
        <v>2285.2199999999998</v>
      </c>
      <c r="L121" s="52">
        <f t="shared" si="22"/>
        <v>2285.2199999999998</v>
      </c>
      <c r="M121" s="52">
        <f t="shared" si="22"/>
        <v>2338.12</v>
      </c>
      <c r="N121" s="52">
        <f t="shared" si="22"/>
        <v>2443.91</v>
      </c>
      <c r="O121" s="52">
        <f t="shared" si="22"/>
        <v>2285.2199999999998</v>
      </c>
      <c r="P121" s="52">
        <f t="shared" si="22"/>
        <v>2285.2199999999998</v>
      </c>
      <c r="Q121" s="52">
        <f t="shared" si="22"/>
        <v>28004.519999999997</v>
      </c>
      <c r="R121" s="52">
        <v>2089923.34</v>
      </c>
      <c r="S121" s="3">
        <f>Q121/'[6]F&amp;B Summary'!$Q$148</f>
        <v>0.70109453234528329</v>
      </c>
      <c r="T121" s="35"/>
      <c r="U121" s="40" t="e">
        <f t="shared" si="8"/>
        <v>#DIV/0!</v>
      </c>
    </row>
    <row r="122" spans="1:21" s="3" customFormat="1" ht="24.95" customHeight="1">
      <c r="A122" s="54"/>
      <c r="B122" s="51"/>
      <c r="D122" s="19" t="s">
        <v>349</v>
      </c>
      <c r="E122" s="52">
        <f t="shared" ref="E122:Q122" si="23">E92+E101+E111+E121</f>
        <v>58600.47</v>
      </c>
      <c r="F122" s="52">
        <f t="shared" si="23"/>
        <v>51895.229999999996</v>
      </c>
      <c r="G122" s="52">
        <f t="shared" si="23"/>
        <v>51953.090000000004</v>
      </c>
      <c r="H122" s="52">
        <f t="shared" si="23"/>
        <v>58600.47</v>
      </c>
      <c r="I122" s="52">
        <f t="shared" si="23"/>
        <v>67600.47</v>
      </c>
      <c r="J122" s="52">
        <f t="shared" si="23"/>
        <v>58600.47</v>
      </c>
      <c r="K122" s="52">
        <f t="shared" si="23"/>
        <v>57948.62</v>
      </c>
      <c r="L122" s="52">
        <f t="shared" si="23"/>
        <v>57948.62</v>
      </c>
      <c r="M122" s="52">
        <f t="shared" si="23"/>
        <v>61610.86</v>
      </c>
      <c r="N122" s="52">
        <f t="shared" si="23"/>
        <v>62935.34</v>
      </c>
      <c r="O122" s="52">
        <f t="shared" si="23"/>
        <v>55948.62</v>
      </c>
      <c r="P122" s="52">
        <f t="shared" si="23"/>
        <v>53948.62</v>
      </c>
      <c r="Q122" s="350">
        <f t="shared" si="23"/>
        <v>697590.88</v>
      </c>
      <c r="R122" s="52">
        <v>8988613.5600000005</v>
      </c>
      <c r="S122" s="3">
        <f>Q122/'[6]F&amp;B Summary'!$Q$148</f>
        <v>17.464221910674944</v>
      </c>
      <c r="T122" s="35"/>
      <c r="U122" s="40"/>
    </row>
    <row r="123" spans="1:21" s="3" customFormat="1" ht="24.95" customHeight="1">
      <c r="A123" s="54"/>
      <c r="B123" s="51"/>
      <c r="D123" s="21"/>
      <c r="E123" s="53"/>
      <c r="F123" s="53"/>
      <c r="G123" s="53"/>
      <c r="H123" s="53"/>
      <c r="I123" s="53"/>
      <c r="Q123" s="3">
        <f>Q122-Q99-Q100</f>
        <v>330590.88</v>
      </c>
      <c r="T123" s="35"/>
      <c r="U123" s="40"/>
    </row>
    <row r="124" spans="1:21" s="3" customFormat="1" ht="24.95" customHeight="1">
      <c r="A124" s="3" t="s">
        <v>105</v>
      </c>
      <c r="B124" s="51" t="s">
        <v>49</v>
      </c>
      <c r="D124" s="19" t="s">
        <v>352</v>
      </c>
      <c r="E124" s="289">
        <v>3</v>
      </c>
      <c r="F124" s="289">
        <v>3</v>
      </c>
      <c r="G124" s="289">
        <v>3</v>
      </c>
      <c r="H124" s="289">
        <v>3</v>
      </c>
      <c r="I124" s="289">
        <v>3</v>
      </c>
      <c r="J124" s="289">
        <v>3</v>
      </c>
      <c r="K124" s="289">
        <v>2</v>
      </c>
      <c r="L124" s="289">
        <v>2</v>
      </c>
      <c r="M124" s="289">
        <v>2</v>
      </c>
      <c r="N124" s="289">
        <v>2</v>
      </c>
      <c r="O124" s="289">
        <v>2</v>
      </c>
      <c r="P124" s="289">
        <v>2</v>
      </c>
      <c r="Q124" s="85">
        <v>3</v>
      </c>
      <c r="R124" s="86">
        <v>43</v>
      </c>
      <c r="T124" s="35"/>
      <c r="U124" s="40" t="e">
        <f t="shared" ref="U124" si="24">-IF(Q124-T124=0,0,(Q124-T124)/T124)</f>
        <v>#DIV/0!</v>
      </c>
    </row>
    <row r="129" spans="4:20" ht="26.25" customHeight="1">
      <c r="D129" s="317" t="s">
        <v>677</v>
      </c>
      <c r="E129" s="322">
        <f>E130+E131</f>
        <v>822696</v>
      </c>
      <c r="F129" s="322">
        <f t="shared" ref="F129:I129" si="25">F130+F131</f>
        <v>547052</v>
      </c>
      <c r="G129" s="322">
        <f t="shared" si="25"/>
        <v>666028</v>
      </c>
      <c r="H129" s="322">
        <f t="shared" si="25"/>
        <v>872788</v>
      </c>
      <c r="I129" s="322">
        <f t="shared" si="25"/>
        <v>1098624</v>
      </c>
      <c r="J129" s="322">
        <f t="shared" ref="J129:P129" si="26">J130+J131</f>
        <v>827168</v>
      </c>
      <c r="K129" s="322">
        <f t="shared" si="26"/>
        <v>934568</v>
      </c>
      <c r="L129" s="322">
        <f t="shared" si="26"/>
        <v>957208</v>
      </c>
      <c r="M129" s="322">
        <f t="shared" si="26"/>
        <v>1019848</v>
      </c>
      <c r="N129" s="322">
        <f t="shared" si="26"/>
        <v>1264508</v>
      </c>
      <c r="O129" s="322">
        <f t="shared" si="26"/>
        <v>849568</v>
      </c>
      <c r="P129" s="322">
        <f t="shared" si="26"/>
        <v>790008</v>
      </c>
      <c r="Q129" s="334">
        <f>SUM(E129:P129)</f>
        <v>10650064</v>
      </c>
    </row>
    <row r="130" spans="4:20" ht="26.25" customHeight="1">
      <c r="D130" s="317" t="s">
        <v>642</v>
      </c>
      <c r="E130" s="322">
        <f>'ADD-Mhub lounge'!E28</f>
        <v>472696</v>
      </c>
      <c r="F130" s="322">
        <f>'ADD-Mhub lounge'!F28</f>
        <v>317052</v>
      </c>
      <c r="G130" s="322">
        <f>'ADD-Mhub lounge'!G28</f>
        <v>386028</v>
      </c>
      <c r="H130" s="322">
        <f>'ADD-Mhub lounge'!H28</f>
        <v>452788</v>
      </c>
      <c r="I130" s="322">
        <f>'ADD-Mhub lounge'!I28</f>
        <v>658624</v>
      </c>
      <c r="J130" s="322">
        <f>'ADD-Mhub lounge'!J28</f>
        <v>457168</v>
      </c>
      <c r="K130" s="322">
        <f>'ADD-Mhub lounge'!K28</f>
        <v>484568</v>
      </c>
      <c r="L130" s="322">
        <f>'ADD-Mhub lounge'!L28</f>
        <v>487208</v>
      </c>
      <c r="M130" s="322">
        <f>'ADD-Mhub lounge'!M28</f>
        <v>499848</v>
      </c>
      <c r="N130" s="322">
        <f>'ADD-Mhub lounge'!N28</f>
        <v>784508</v>
      </c>
      <c r="O130" s="322">
        <f>'ADD-Mhub lounge'!O28</f>
        <v>499568</v>
      </c>
      <c r="P130" s="322">
        <f>'ADD-Mhub lounge'!P28</f>
        <v>500008</v>
      </c>
      <c r="Q130" s="334">
        <f t="shared" ref="Q130:Q137" si="27">SUM(E130:P130)</f>
        <v>6000064</v>
      </c>
    </row>
    <row r="131" spans="4:20" ht="26.25" customHeight="1">
      <c r="D131" s="317" t="s">
        <v>643</v>
      </c>
      <c r="E131" s="322">
        <f>Banquet!E29</f>
        <v>350000</v>
      </c>
      <c r="F131" s="322">
        <f>Banquet!F29</f>
        <v>230000</v>
      </c>
      <c r="G131" s="322">
        <f>Banquet!G29</f>
        <v>280000</v>
      </c>
      <c r="H131" s="322">
        <f>Banquet!H29</f>
        <v>420000</v>
      </c>
      <c r="I131" s="322">
        <f>Banquet!I29</f>
        <v>440000</v>
      </c>
      <c r="J131" s="322">
        <f>Banquet!J29</f>
        <v>370000</v>
      </c>
      <c r="K131" s="322">
        <f>Banquet!K29</f>
        <v>450000</v>
      </c>
      <c r="L131" s="322">
        <f>Banquet!L29</f>
        <v>470000</v>
      </c>
      <c r="M131" s="322">
        <f>Banquet!M29</f>
        <v>520000</v>
      </c>
      <c r="N131" s="322">
        <f>Banquet!N29</f>
        <v>480000</v>
      </c>
      <c r="O131" s="322">
        <f>Banquet!O29</f>
        <v>350000</v>
      </c>
      <c r="P131" s="322">
        <f>Banquet!P29</f>
        <v>290000</v>
      </c>
      <c r="Q131" s="334">
        <f t="shared" si="27"/>
        <v>4650000</v>
      </c>
    </row>
    <row r="132" spans="4:20" ht="26.25" customHeight="1">
      <c r="D132" s="317"/>
      <c r="E132" s="322"/>
      <c r="F132" s="322"/>
      <c r="G132" s="322"/>
      <c r="H132" s="322"/>
      <c r="I132" s="322"/>
      <c r="J132" s="335"/>
      <c r="K132" s="335"/>
      <c r="L132" s="335"/>
      <c r="M132" s="335"/>
      <c r="N132" s="335"/>
      <c r="O132" s="335"/>
      <c r="P132" s="335"/>
      <c r="Q132" s="334">
        <f t="shared" si="27"/>
        <v>0</v>
      </c>
    </row>
    <row r="133" spans="4:20" ht="26.25" customHeight="1">
      <c r="D133" s="317" t="s">
        <v>644</v>
      </c>
      <c r="E133" s="322">
        <f t="shared" ref="E133:P133" si="28">-E86</f>
        <v>71312.160000000003</v>
      </c>
      <c r="F133" s="322">
        <f t="shared" si="28"/>
        <v>63898.009999999995</v>
      </c>
      <c r="G133" s="322">
        <f t="shared" si="28"/>
        <v>64154.020000000004</v>
      </c>
      <c r="H133" s="322">
        <f t="shared" si="28"/>
        <v>71928.210000000006</v>
      </c>
      <c r="I133" s="322">
        <f t="shared" si="28"/>
        <v>82468.490000000005</v>
      </c>
      <c r="J133" s="322">
        <f t="shared" si="28"/>
        <v>81697.929999999993</v>
      </c>
      <c r="K133" s="322">
        <f t="shared" si="28"/>
        <v>77113.63</v>
      </c>
      <c r="L133" s="322">
        <f t="shared" si="28"/>
        <v>71629.119999999995</v>
      </c>
      <c r="M133" s="322">
        <f t="shared" si="28"/>
        <v>75494.23</v>
      </c>
      <c r="N133" s="322">
        <f t="shared" si="28"/>
        <v>77109.81</v>
      </c>
      <c r="O133" s="322">
        <f t="shared" si="28"/>
        <v>69194.34</v>
      </c>
      <c r="P133" s="322">
        <f t="shared" si="28"/>
        <v>67135.460000000006</v>
      </c>
      <c r="Q133" s="334">
        <f t="shared" si="27"/>
        <v>873135.41</v>
      </c>
    </row>
    <row r="134" spans="4:20" s="407" customFormat="1" ht="26.25" customHeight="1">
      <c r="D134" s="405" t="s">
        <v>642</v>
      </c>
      <c r="E134" s="322">
        <f>ROUND((E130/E129)*E133,2)</f>
        <v>40973.79</v>
      </c>
      <c r="F134" s="322">
        <f t="shared" ref="F134:P134" si="29">ROUND((F130/F129)*F133,2)</f>
        <v>37033.03</v>
      </c>
      <c r="G134" s="322">
        <f t="shared" si="29"/>
        <v>37183.49</v>
      </c>
      <c r="H134" s="322">
        <f t="shared" si="29"/>
        <v>37315.17</v>
      </c>
      <c r="I134" s="322">
        <f t="shared" si="29"/>
        <v>49439.78</v>
      </c>
      <c r="J134" s="322">
        <f t="shared" si="29"/>
        <v>45153.68</v>
      </c>
      <c r="K134" s="322">
        <f t="shared" si="29"/>
        <v>39982.959999999999</v>
      </c>
      <c r="L134" s="322">
        <f t="shared" si="29"/>
        <v>36458.410000000003</v>
      </c>
      <c r="M134" s="322">
        <f t="shared" si="29"/>
        <v>37001.24</v>
      </c>
      <c r="N134" s="322">
        <f t="shared" si="29"/>
        <v>47839.37</v>
      </c>
      <c r="O134" s="322">
        <f t="shared" si="29"/>
        <v>40688.07</v>
      </c>
      <c r="P134" s="322">
        <f t="shared" si="29"/>
        <v>42491.05</v>
      </c>
      <c r="Q134" s="409">
        <f t="shared" si="27"/>
        <v>491560.03999999992</v>
      </c>
      <c r="T134" s="408"/>
    </row>
    <row r="135" spans="4:20" s="407" customFormat="1" ht="26.25" customHeight="1">
      <c r="D135" s="405" t="s">
        <v>643</v>
      </c>
      <c r="E135" s="322">
        <f>ROUND((E131/E129)*E133,2)</f>
        <v>30338.37</v>
      </c>
      <c r="F135" s="322">
        <f t="shared" ref="F135:P135" si="30">ROUND((F131/F129)*F133,2)</f>
        <v>26864.98</v>
      </c>
      <c r="G135" s="322">
        <f t="shared" si="30"/>
        <v>26970.53</v>
      </c>
      <c r="H135" s="322">
        <f t="shared" si="30"/>
        <v>34613.040000000001</v>
      </c>
      <c r="I135" s="322">
        <f t="shared" si="30"/>
        <v>33028.71</v>
      </c>
      <c r="J135" s="322">
        <f t="shared" si="30"/>
        <v>36544.25</v>
      </c>
      <c r="K135" s="322">
        <f t="shared" si="30"/>
        <v>37130.67</v>
      </c>
      <c r="L135" s="322">
        <f t="shared" si="30"/>
        <v>35170.71</v>
      </c>
      <c r="M135" s="322">
        <f t="shared" si="30"/>
        <v>38492.99</v>
      </c>
      <c r="N135" s="322">
        <f t="shared" si="30"/>
        <v>29270.44</v>
      </c>
      <c r="O135" s="322">
        <f t="shared" si="30"/>
        <v>28506.27</v>
      </c>
      <c r="P135" s="322">
        <f t="shared" si="30"/>
        <v>24644.41</v>
      </c>
      <c r="Q135" s="409">
        <f t="shared" si="27"/>
        <v>381575.37</v>
      </c>
      <c r="T135" s="408"/>
    </row>
    <row r="136" spans="4:20" ht="26.25" customHeight="1">
      <c r="D136" s="317" t="s">
        <v>1068</v>
      </c>
      <c r="E136" s="322">
        <f>SUM(E134:E135)</f>
        <v>71312.160000000003</v>
      </c>
      <c r="F136" s="322">
        <f t="shared" ref="F136:P136" si="31">SUM(F134:F135)</f>
        <v>63898.009999999995</v>
      </c>
      <c r="G136" s="322">
        <f t="shared" si="31"/>
        <v>64154.02</v>
      </c>
      <c r="H136" s="322">
        <f t="shared" si="31"/>
        <v>71928.209999999992</v>
      </c>
      <c r="I136" s="322">
        <f t="shared" si="31"/>
        <v>82468.489999999991</v>
      </c>
      <c r="J136" s="322">
        <f t="shared" si="31"/>
        <v>81697.929999999993</v>
      </c>
      <c r="K136" s="322">
        <f t="shared" si="31"/>
        <v>77113.63</v>
      </c>
      <c r="L136" s="322">
        <f t="shared" si="31"/>
        <v>71629.119999999995</v>
      </c>
      <c r="M136" s="322">
        <f t="shared" si="31"/>
        <v>75494.23</v>
      </c>
      <c r="N136" s="322">
        <f t="shared" si="31"/>
        <v>77109.81</v>
      </c>
      <c r="O136" s="322">
        <f t="shared" si="31"/>
        <v>69194.34</v>
      </c>
      <c r="P136" s="322">
        <f t="shared" si="31"/>
        <v>67135.460000000006</v>
      </c>
      <c r="Q136" s="334">
        <f t="shared" si="27"/>
        <v>873135.4099999998</v>
      </c>
    </row>
    <row r="137" spans="4:20" ht="26.25" customHeight="1">
      <c r="D137" s="317" t="s">
        <v>1169</v>
      </c>
      <c r="E137" s="322">
        <f>E133-E136</f>
        <v>0</v>
      </c>
      <c r="F137" s="322">
        <f t="shared" ref="F137:P137" si="32">F133-F136</f>
        <v>0</v>
      </c>
      <c r="G137" s="322">
        <f t="shared" si="32"/>
        <v>0</v>
      </c>
      <c r="H137" s="322">
        <f t="shared" si="32"/>
        <v>0</v>
      </c>
      <c r="I137" s="322">
        <f t="shared" si="32"/>
        <v>0</v>
      </c>
      <c r="J137" s="322">
        <f t="shared" si="32"/>
        <v>0</v>
      </c>
      <c r="K137" s="322">
        <f t="shared" si="32"/>
        <v>0</v>
      </c>
      <c r="L137" s="322">
        <f t="shared" si="32"/>
        <v>0</v>
      </c>
      <c r="M137" s="322">
        <f t="shared" si="32"/>
        <v>0</v>
      </c>
      <c r="N137" s="322">
        <f t="shared" si="32"/>
        <v>0</v>
      </c>
      <c r="O137" s="322">
        <f t="shared" si="32"/>
        <v>0</v>
      </c>
      <c r="P137" s="322">
        <f t="shared" si="32"/>
        <v>0</v>
      </c>
      <c r="Q137" s="335">
        <f t="shared" si="27"/>
        <v>0</v>
      </c>
    </row>
    <row r="138" spans="4:20" ht="26.25" customHeight="1">
      <c r="J138" s="7"/>
      <c r="K138" s="7"/>
      <c r="L138" s="7"/>
      <c r="M138" s="7"/>
      <c r="N138" s="7"/>
      <c r="O138" s="7"/>
      <c r="P138" s="7"/>
    </row>
  </sheetData>
  <phoneticPr fontId="57" type="noConversion"/>
  <dataValidations count="30">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2341.89_x000d__x000a_" sqref="E41:P41">
      <formula1>0</formula1>
      <formula2>300</formula2>
    </dataValidation>
    <dataValidation type="textLength" errorStyle="information" allowBlank="1" showInputMessage="1" showErrorMessage="1" error="XLBVal:6=3096.21_x000d__x000a_" sqref="E120:P120">
      <formula1>0</formula1>
      <formula2>300</formula2>
    </dataValidation>
    <dataValidation type="textLength" errorStyle="information" allowBlank="1" showInputMessage="1" showErrorMessage="1" error="XLBVal:6=19134.05_x000d__x000a_" sqref="E35:P35">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8839.68_x000d__x000a_" sqref="E82:P82">
      <formula1>0</formula1>
      <formula2>300</formula2>
    </dataValidation>
    <dataValidation type="textLength" errorStyle="information" allowBlank="1" showInputMessage="1" showErrorMessage="1" error="XLBVal:2=0_x000d__x000a_" sqref="R12 Q14 S15 Q86 Q90 E118:P119 Q113:R120 R124 E113:P116 R85:R86 R90:R91 E15:P34 R103:R110 E42:P81 F13 R94:R100 Q15:R82 E100:L100 N100:P100 E36:P40 E109:P110">
      <formula1>0</formula1>
      <formula2>300</formula2>
    </dataValidation>
    <dataValidation type="textLength" errorStyle="information" allowBlank="1" showInputMessage="1" showErrorMessage="1" error="XLBVal:6=0_x000d__x000a_" sqref="E83:R83">
      <formula1>0</formula1>
      <formula2>300</formula2>
    </dataValidation>
    <dataValidation type="textLength" errorStyle="information" allowBlank="1" showInputMessage="1" showErrorMessage="1" error="XLBVal:6=9711240_x000d__x000a_" sqref="Q91">
      <formula1>0</formula1>
      <formula2>300</formula2>
    </dataValidation>
    <dataValidation type="textLength" errorStyle="information" allowBlank="1" showInputMessage="1" showErrorMessage="1" error="XLBVal:6=3239.86_x000d__x000a_" sqref="E84:R84">
      <formula1>0</formula1>
      <formula2>300</formula2>
    </dataValidation>
    <dataValidation type="textLength" errorStyle="information" allowBlank="1" showInputMessage="1" showErrorMessage="1" error="XLBVal:6=45_x000d__x000a_" sqref="E124:P124">
      <formula1>0</formula1>
      <formula2>300</formula2>
    </dataValidation>
    <dataValidation type="textLength" errorStyle="information" allowBlank="1" showInputMessage="1" showErrorMessage="1" error="XLBVal:6=877418.59_x000d__x000a_" sqref="E85">
      <formula1>0</formula1>
      <formula2>300</formula2>
    </dataValidation>
    <dataValidation type="textLength" errorStyle="information" allowBlank="1" showInputMessage="1" showErrorMessage="1" error="XLBVal:6=900857.82_x000d__x000a_" sqref="F85">
      <formula1>0</formula1>
      <formula2>300</formula2>
    </dataValidation>
    <dataValidation type="textLength" errorStyle="information" allowBlank="1" showInputMessage="1" showErrorMessage="1" error="XLBVal:6=1064596.75_x000d__x000a_" sqref="G85:P85">
      <formula1>0</formula1>
      <formula2>300</formula2>
    </dataValidation>
    <dataValidation type="textLength" errorStyle="information" allowBlank="1" showInputMessage="1" showErrorMessage="1" error="XLBVal:6=12779429.56_x000d__x000a_" sqref="Q85">
      <formula1>0</formula1>
      <formula2>300</formula2>
    </dataValidation>
    <dataValidation type="textLength" errorStyle="information" allowBlank="1" showInputMessage="1" showErrorMessage="1" error="XLBVal:6=-107687.87_x000d__x000a_" sqref="E86:P86">
      <formula1>0</formula1>
      <formula2>300</formula2>
    </dataValidation>
    <dataValidation type="textLength" errorStyle="information" allowBlank="1" showInputMessage="1" showErrorMessage="1" sqref="F121:R122 E121:E123 E88:I89 F123:I123 H112:I112">
      <formula1>0</formula1>
      <formula2>300</formula2>
    </dataValidation>
    <dataValidation type="textLength" errorStyle="information" allowBlank="1" showInputMessage="1" showErrorMessage="1" error="XLBVal:6=3678_x000d__x000a_" sqref="E111:R111 E112:G112">
      <formula1>0</formula1>
      <formula2>300</formula2>
    </dataValidation>
    <dataValidation type="textLength" errorStyle="information" allowBlank="1" showInputMessage="1" showErrorMessage="1" error="XLBVal:6=2737.78_x000d__x000a_" sqref="E117:P117">
      <formula1>0</formula1>
      <formula2>300</formula2>
    </dataValidation>
    <dataValidation type="textLength" errorStyle="information" allowBlank="1" showInputMessage="1" showErrorMessage="1" error="XLBVal:6=1260_x000d__x000a_" sqref="Q124">
      <formula1>0</formula1>
      <formula2>300</formula2>
    </dataValidation>
    <dataValidation type="textLength" errorStyle="information" allowBlank="1" showInputMessage="1" showErrorMessage="1" error="XLBVal:6=6688509.16_x000d__x000a_" sqref="E13:E14 F14:P14">
      <formula1>0</formula1>
      <formula2>300</formula2>
    </dataValidation>
    <dataValidation type="textLength" errorStyle="information" allowBlank="1" showInputMessage="1" showErrorMessage="1" error="XLBVal:6=1170.04_x000d__x000a_" sqref="N99:P99 E94:E99 M99:M100 F99:L99 F94:P98">
      <formula1>0</formula1>
      <formula2>300</formula2>
    </dataValidation>
    <dataValidation type="textLength" errorStyle="information" allowBlank="1" showInputMessage="1" showErrorMessage="1" error="XLBVal:6=6595485.04_x000d__x000a_" sqref="G13">
      <formula1>0</formula1>
      <formula2>300</formula2>
    </dataValidation>
    <dataValidation type="textLength" errorStyle="information" allowBlank="1" showInputMessage="1" showErrorMessage="1" error="XLBVal:5=-2586288.67_x000d__x000a_" sqref="H13">
      <formula1>0</formula1>
      <formula2>300</formula2>
    </dataValidation>
    <dataValidation type="textLength" errorStyle="information" allowBlank="1" showInputMessage="1" showErrorMessage="1" error="XLBVal:6=1293444_x000d__x000a_" sqref="Q103:Q110">
      <formula1>0</formula1>
      <formula2>300</formula2>
    </dataValidation>
    <dataValidation type="textLength" errorStyle="information" allowBlank="1" showInputMessage="1" showErrorMessage="1" error="XLBVal:6=3368.67_x000d__x000a_" sqref="E103:P108">
      <formula1>0</formula1>
      <formula2>300</formula2>
    </dataValidation>
    <dataValidation type="textLength" errorStyle="information" allowBlank="1" showInputMessage="1" showErrorMessage="1" error="XLBVal:5=15426.66_x000d__x000a_" sqref="I13:P13">
      <formula1>0</formula1>
      <formula2>300</formula2>
    </dataValidation>
    <dataValidation type="textLength" errorStyle="information" allowBlank="1" showInputMessage="1" showErrorMessage="1" error="XLBVal:6=11011.46_x000d__x000a_" sqref="E90:P91">
      <formula1>0</formula1>
      <formula2>300</formula2>
    </dataValidation>
    <dataValidation type="textLength" errorStyle="information" allowBlank="1" showInputMessage="1" showErrorMessage="1" error="XLBVal:6=169013_x000d__x000a_" sqref="Q94:Q100">
      <formula1>0</formula1>
      <formula2>300</formula2>
    </dataValidation>
  </dataValidations>
  <printOptions horizontalCentered="1"/>
  <pageMargins left="0.118110236220472" right="0.118110236220472" top="0.59055118110236204" bottom="0.39370078740157499" header="0" footer="0"/>
  <pageSetup paperSize="9" scale="39" fitToHeight="0" orientation="landscape" r:id="rId1"/>
  <headerFooter>
    <oddFooter>&amp;L&amp;"微软雅黑,Regular"&amp;F&amp;C&amp;"微软雅黑,Regular"Page &amp;P of &amp;N&amp;R&amp;"微软雅黑,Regular"&amp;D</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0">
    <tabColor rgb="FFFFFF00"/>
  </sheetPr>
  <dimension ref="A1:T123"/>
  <sheetViews>
    <sheetView zoomScale="50" zoomScaleNormal="50" zoomScaleSheetLayoutView="40" workbookViewId="0">
      <pane xSplit="4" ySplit="10" topLeftCell="E104" activePane="bottomRight" state="frozen"/>
      <selection pane="topRight"/>
      <selection pane="bottomLeft"/>
      <selection pane="bottomRight" activeCell="J48" sqref="J48"/>
    </sheetView>
  </sheetViews>
  <sheetFormatPr defaultColWidth="8.875" defaultRowHeight="26.25" customHeight="1" outlineLevelRow="1" outlineLevelCol="1"/>
  <cols>
    <col min="1" max="3" width="15.5" style="5" hidden="1" customWidth="1" outlineLevel="1"/>
    <col min="4" max="4" width="60.5" style="6" customWidth="1" collapsed="1"/>
    <col min="5" max="6" width="20.5" style="7" customWidth="1"/>
    <col min="7" max="9" width="22.5" style="7" customWidth="1"/>
    <col min="10" max="12" width="22.5" style="5" customWidth="1"/>
    <col min="13" max="16" width="20.875" style="5" customWidth="1"/>
    <col min="17" max="17" width="36.5" style="5" customWidth="1"/>
    <col min="18" max="18" width="12.125" style="5" customWidth="1"/>
    <col min="19" max="19" width="22.5" style="8" customWidth="1"/>
    <col min="20" max="20" width="22.5" style="5"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11"/>
      <c r="G4" s="12"/>
      <c r="H4" s="13"/>
      <c r="I4" s="13"/>
      <c r="S4" s="33"/>
    </row>
    <row r="5" spans="1:20" s="2" customFormat="1" ht="24.95" customHeight="1">
      <c r="D5" s="10" t="str">
        <f>Summary!$D$5</f>
        <v>酒店预算报表</v>
      </c>
      <c r="E5" s="11"/>
      <c r="F5" s="11"/>
      <c r="G5" s="12"/>
      <c r="H5" s="13"/>
      <c r="I5" s="13"/>
      <c r="S5" s="33"/>
    </row>
    <row r="6" spans="1:20" s="2" customFormat="1" ht="24.95" customHeight="1">
      <c r="D6" s="14" t="s">
        <v>678</v>
      </c>
      <c r="E6" s="13"/>
      <c r="F6" s="13"/>
      <c r="G6" s="13"/>
      <c r="H6" s="13"/>
      <c r="I6" s="13"/>
      <c r="S6" s="33"/>
    </row>
    <row r="7" spans="1:20" s="2" customFormat="1" ht="24.95" customHeight="1">
      <c r="D7" s="15" t="str">
        <f>Summary!D7</f>
        <v>2025</v>
      </c>
      <c r="E7" s="13"/>
      <c r="F7" s="13"/>
      <c r="G7" s="13"/>
      <c r="H7" s="13"/>
      <c r="I7" s="13"/>
      <c r="S7" s="33"/>
    </row>
    <row r="8" spans="1:20" ht="24.95" customHeight="1">
      <c r="D8" s="16"/>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D11" s="21"/>
      <c r="E11" s="22"/>
      <c r="F11" s="22"/>
      <c r="G11" s="22"/>
      <c r="H11" s="23"/>
      <c r="I11" s="23"/>
      <c r="S11" s="35"/>
    </row>
    <row r="12" spans="1:20" s="3" customFormat="1" ht="24.95" customHeight="1">
      <c r="A12" s="3" t="s">
        <v>482</v>
      </c>
      <c r="B12" s="3" t="s">
        <v>679</v>
      </c>
      <c r="D12" s="21" t="s">
        <v>137</v>
      </c>
      <c r="E12" s="43">
        <f>+E121</f>
        <v>0</v>
      </c>
      <c r="F12" s="43">
        <f t="shared" ref="F12:P12" si="0">+F121</f>
        <v>0</v>
      </c>
      <c r="G12" s="43">
        <f t="shared" si="0"/>
        <v>0</v>
      </c>
      <c r="H12" s="43">
        <f t="shared" si="0"/>
        <v>0</v>
      </c>
      <c r="I12" s="43">
        <f t="shared" si="0"/>
        <v>0</v>
      </c>
      <c r="J12" s="43">
        <f t="shared" si="0"/>
        <v>0</v>
      </c>
      <c r="K12" s="43">
        <f t="shared" si="0"/>
        <v>0</v>
      </c>
      <c r="L12" s="43">
        <f t="shared" si="0"/>
        <v>0</v>
      </c>
      <c r="M12" s="43">
        <f t="shared" si="0"/>
        <v>0</v>
      </c>
      <c r="N12" s="43">
        <f t="shared" si="0"/>
        <v>0</v>
      </c>
      <c r="O12" s="43">
        <f t="shared" si="0"/>
        <v>0</v>
      </c>
      <c r="P12" s="43">
        <f t="shared" si="0"/>
        <v>0</v>
      </c>
      <c r="Q12" s="43">
        <f>SUM(E12:P12)</f>
        <v>0</v>
      </c>
      <c r="R12" s="39">
        <f>Q12/'F&amp;B Summary'!$Q$50</f>
        <v>0</v>
      </c>
      <c r="S12" s="35"/>
      <c r="T12" s="40">
        <f>-IF(Q12-S12=0,0,(Q12-S12)/S12)</f>
        <v>0</v>
      </c>
    </row>
    <row r="13" spans="1:20" s="3" customFormat="1" ht="24.95" customHeight="1">
      <c r="D13" s="26"/>
      <c r="E13" s="24"/>
      <c r="F13" s="24"/>
      <c r="G13" s="24"/>
      <c r="H13" s="25"/>
      <c r="I13" s="25"/>
      <c r="S13" s="35"/>
      <c r="T13" s="40"/>
    </row>
    <row r="14" spans="1:20" s="3" customFormat="1" ht="24.75" customHeight="1">
      <c r="D14" s="21" t="s">
        <v>138</v>
      </c>
      <c r="E14" s="24"/>
      <c r="F14" s="24"/>
      <c r="G14" s="24"/>
      <c r="H14" s="25"/>
      <c r="I14" s="25"/>
      <c r="R14" s="34" t="s">
        <v>433</v>
      </c>
      <c r="S14" s="35"/>
      <c r="T14" s="40"/>
    </row>
    <row r="15" spans="1:20" s="3" customFormat="1" ht="24.95" hidden="1" customHeight="1">
      <c r="A15" s="3" t="s">
        <v>484</v>
      </c>
      <c r="B15" s="3" t="s">
        <v>679</v>
      </c>
      <c r="D15" s="26" t="s">
        <v>485</v>
      </c>
      <c r="E15" s="27">
        <v>0</v>
      </c>
      <c r="F15" s="27">
        <v>0</v>
      </c>
      <c r="G15" s="27">
        <v>0</v>
      </c>
      <c r="H15" s="27">
        <v>0</v>
      </c>
      <c r="I15" s="27">
        <v>0</v>
      </c>
      <c r="J15" s="27">
        <v>0</v>
      </c>
      <c r="K15" s="27">
        <v>0</v>
      </c>
      <c r="L15" s="27">
        <v>0</v>
      </c>
      <c r="M15" s="27">
        <v>0</v>
      </c>
      <c r="N15" s="27">
        <v>0</v>
      </c>
      <c r="O15" s="27">
        <v>0</v>
      </c>
      <c r="P15" s="27">
        <v>0</v>
      </c>
      <c r="Q15" s="3">
        <f>SUM(E15:P15)</f>
        <v>0</v>
      </c>
      <c r="R15" s="142" t="e">
        <f>#REF!/#REF!</f>
        <v>#REF!</v>
      </c>
      <c r="S15" s="35"/>
      <c r="T15" s="40">
        <f t="shared" ref="T15:T45" si="1">-IF(Q15-S15=0,0,(Q15-S15)/S15)</f>
        <v>0</v>
      </c>
    </row>
    <row r="16" spans="1:20" s="3" customFormat="1" ht="24.95" hidden="1" customHeight="1">
      <c r="A16" s="3" t="s">
        <v>486</v>
      </c>
      <c r="B16" s="3" t="s">
        <v>679</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S16" s="35"/>
      <c r="T16" s="40">
        <f t="shared" si="1"/>
        <v>0</v>
      </c>
    </row>
    <row r="17" spans="1:20" s="3" customFormat="1" ht="24.95" hidden="1" customHeight="1">
      <c r="A17" s="3" t="s">
        <v>488</v>
      </c>
      <c r="B17" s="3" t="s">
        <v>679</v>
      </c>
      <c r="D17" s="26" t="s">
        <v>489</v>
      </c>
      <c r="E17" s="27">
        <v>0</v>
      </c>
      <c r="F17" s="27">
        <v>0</v>
      </c>
      <c r="G17" s="27">
        <v>0</v>
      </c>
      <c r="H17" s="27">
        <v>0</v>
      </c>
      <c r="I17" s="27">
        <v>0</v>
      </c>
      <c r="J17" s="27">
        <v>0</v>
      </c>
      <c r="K17" s="27">
        <v>0</v>
      </c>
      <c r="L17" s="27">
        <v>0</v>
      </c>
      <c r="M17" s="27">
        <v>0</v>
      </c>
      <c r="N17" s="27">
        <v>0</v>
      </c>
      <c r="O17" s="27">
        <v>0</v>
      </c>
      <c r="P17" s="27">
        <v>0</v>
      </c>
      <c r="Q17" s="3">
        <f t="shared" si="2"/>
        <v>0</v>
      </c>
      <c r="S17" s="35"/>
      <c r="T17" s="40">
        <f t="shared" si="1"/>
        <v>0</v>
      </c>
    </row>
    <row r="18" spans="1:20" s="3" customFormat="1" ht="24.95" hidden="1" customHeight="1">
      <c r="A18" s="3" t="s">
        <v>490</v>
      </c>
      <c r="B18" s="3" t="s">
        <v>679</v>
      </c>
      <c r="D18" s="26" t="s">
        <v>491</v>
      </c>
      <c r="E18" s="27">
        <v>0</v>
      </c>
      <c r="F18" s="27">
        <v>0</v>
      </c>
      <c r="G18" s="27">
        <v>0</v>
      </c>
      <c r="H18" s="27">
        <v>0</v>
      </c>
      <c r="I18" s="27">
        <v>0</v>
      </c>
      <c r="J18" s="27">
        <v>0</v>
      </c>
      <c r="K18" s="27">
        <v>0</v>
      </c>
      <c r="L18" s="27">
        <v>0</v>
      </c>
      <c r="M18" s="27">
        <v>0</v>
      </c>
      <c r="N18" s="27">
        <v>0</v>
      </c>
      <c r="O18" s="27">
        <v>0</v>
      </c>
      <c r="P18" s="27">
        <v>0</v>
      </c>
      <c r="Q18" s="3">
        <f t="shared" si="2"/>
        <v>0</v>
      </c>
      <c r="S18" s="35"/>
      <c r="T18" s="40">
        <f t="shared" si="1"/>
        <v>0</v>
      </c>
    </row>
    <row r="19" spans="1:20" s="3" customFormat="1" ht="24.95" hidden="1" customHeight="1">
      <c r="A19" s="3" t="s">
        <v>492</v>
      </c>
      <c r="B19" s="3" t="s">
        <v>679</v>
      </c>
      <c r="D19" s="29" t="s">
        <v>493</v>
      </c>
      <c r="E19" s="27">
        <v>0</v>
      </c>
      <c r="F19" s="27">
        <v>0</v>
      </c>
      <c r="G19" s="27">
        <v>0</v>
      </c>
      <c r="H19" s="27">
        <v>0</v>
      </c>
      <c r="I19" s="27">
        <v>0</v>
      </c>
      <c r="J19" s="27">
        <v>0</v>
      </c>
      <c r="K19" s="27">
        <v>0</v>
      </c>
      <c r="L19" s="27">
        <v>0</v>
      </c>
      <c r="M19" s="27">
        <v>0</v>
      </c>
      <c r="N19" s="27">
        <v>0</v>
      </c>
      <c r="O19" s="27">
        <v>0</v>
      </c>
      <c r="P19" s="27">
        <v>0</v>
      </c>
      <c r="Q19" s="3">
        <f t="shared" si="2"/>
        <v>0</v>
      </c>
      <c r="S19" s="35"/>
      <c r="T19" s="40">
        <f t="shared" si="1"/>
        <v>0</v>
      </c>
    </row>
    <row r="20" spans="1:20" s="3" customFormat="1" ht="24.95" hidden="1" customHeight="1">
      <c r="A20" s="3" t="s">
        <v>494</v>
      </c>
      <c r="B20" s="3" t="s">
        <v>679</v>
      </c>
      <c r="D20" s="29" t="s">
        <v>495</v>
      </c>
      <c r="E20" s="27">
        <v>0</v>
      </c>
      <c r="F20" s="27">
        <v>0</v>
      </c>
      <c r="G20" s="27">
        <v>0</v>
      </c>
      <c r="H20" s="27">
        <v>0</v>
      </c>
      <c r="I20" s="27">
        <v>0</v>
      </c>
      <c r="J20" s="27">
        <v>0</v>
      </c>
      <c r="K20" s="27">
        <v>0</v>
      </c>
      <c r="L20" s="27">
        <v>0</v>
      </c>
      <c r="M20" s="27">
        <v>0</v>
      </c>
      <c r="N20" s="27">
        <v>0</v>
      </c>
      <c r="O20" s="27">
        <v>0</v>
      </c>
      <c r="P20" s="27">
        <v>0</v>
      </c>
      <c r="Q20" s="3">
        <f t="shared" si="2"/>
        <v>0</v>
      </c>
      <c r="S20" s="35"/>
      <c r="T20" s="40">
        <f t="shared" si="1"/>
        <v>0</v>
      </c>
    </row>
    <row r="21" spans="1:20" s="3" customFormat="1" ht="24.95" hidden="1" customHeight="1">
      <c r="A21" s="3" t="s">
        <v>496</v>
      </c>
      <c r="B21" s="3" t="s">
        <v>679</v>
      </c>
      <c r="D21" s="26" t="s">
        <v>497</v>
      </c>
      <c r="E21" s="27">
        <v>0</v>
      </c>
      <c r="F21" s="27">
        <v>0</v>
      </c>
      <c r="G21" s="27">
        <v>0</v>
      </c>
      <c r="H21" s="27">
        <v>0</v>
      </c>
      <c r="I21" s="27">
        <v>0</v>
      </c>
      <c r="J21" s="27">
        <v>0</v>
      </c>
      <c r="K21" s="27">
        <v>0</v>
      </c>
      <c r="L21" s="27">
        <v>0</v>
      </c>
      <c r="M21" s="27">
        <v>0</v>
      </c>
      <c r="N21" s="27">
        <v>0</v>
      </c>
      <c r="O21" s="27">
        <v>0</v>
      </c>
      <c r="P21" s="27">
        <v>0</v>
      </c>
      <c r="Q21" s="3">
        <f t="shared" si="2"/>
        <v>0</v>
      </c>
      <c r="R21" s="3">
        <f>Q21/'F&amp;B Summary'!$Q$148</f>
        <v>0</v>
      </c>
      <c r="S21" s="35"/>
      <c r="T21" s="40">
        <f t="shared" si="1"/>
        <v>0</v>
      </c>
    </row>
    <row r="22" spans="1:20" s="3" customFormat="1" ht="24.95" hidden="1" customHeight="1">
      <c r="A22" s="3" t="s">
        <v>498</v>
      </c>
      <c r="B22" s="3" t="s">
        <v>679</v>
      </c>
      <c r="D22" s="29" t="s">
        <v>499</v>
      </c>
      <c r="E22" s="27">
        <v>0</v>
      </c>
      <c r="F22" s="27">
        <v>0</v>
      </c>
      <c r="G22" s="27">
        <v>0</v>
      </c>
      <c r="H22" s="27">
        <v>0</v>
      </c>
      <c r="I22" s="27">
        <v>0</v>
      </c>
      <c r="J22" s="27">
        <v>0</v>
      </c>
      <c r="K22" s="27">
        <v>0</v>
      </c>
      <c r="L22" s="27">
        <v>0</v>
      </c>
      <c r="M22" s="27">
        <v>0</v>
      </c>
      <c r="N22" s="27">
        <v>0</v>
      </c>
      <c r="O22" s="27">
        <v>0</v>
      </c>
      <c r="P22" s="27">
        <v>0</v>
      </c>
      <c r="Q22" s="3">
        <f t="shared" si="2"/>
        <v>0</v>
      </c>
      <c r="S22" s="35"/>
      <c r="T22" s="40">
        <f t="shared" si="1"/>
        <v>0</v>
      </c>
    </row>
    <row r="23" spans="1:20" s="3" customFormat="1" ht="24.95" hidden="1" customHeight="1">
      <c r="A23" s="3" t="s">
        <v>500</v>
      </c>
      <c r="B23" s="3" t="s">
        <v>679</v>
      </c>
      <c r="D23" s="26" t="s">
        <v>501</v>
      </c>
      <c r="E23" s="27">
        <v>0</v>
      </c>
      <c r="F23" s="27">
        <v>0</v>
      </c>
      <c r="G23" s="27">
        <v>0</v>
      </c>
      <c r="H23" s="27">
        <v>0</v>
      </c>
      <c r="I23" s="27">
        <v>0</v>
      </c>
      <c r="J23" s="27">
        <v>0</v>
      </c>
      <c r="K23" s="27">
        <v>0</v>
      </c>
      <c r="L23" s="27">
        <v>0</v>
      </c>
      <c r="M23" s="27">
        <v>0</v>
      </c>
      <c r="N23" s="27">
        <v>0</v>
      </c>
      <c r="O23" s="27">
        <v>0</v>
      </c>
      <c r="P23" s="27">
        <v>0</v>
      </c>
      <c r="Q23" s="3">
        <f t="shared" si="2"/>
        <v>0</v>
      </c>
      <c r="R23" s="3">
        <f>Q23/'F&amp;B Summary'!$Q$148</f>
        <v>0</v>
      </c>
      <c r="S23" s="35"/>
      <c r="T23" s="40">
        <f t="shared" si="1"/>
        <v>0</v>
      </c>
    </row>
    <row r="24" spans="1:20" s="3" customFormat="1" ht="24.95" hidden="1" customHeight="1">
      <c r="A24" s="3" t="s">
        <v>502</v>
      </c>
      <c r="B24" s="3" t="s">
        <v>679</v>
      </c>
      <c r="D24" s="26" t="s">
        <v>503</v>
      </c>
      <c r="E24" s="27">
        <v>0</v>
      </c>
      <c r="F24" s="27">
        <v>0</v>
      </c>
      <c r="G24" s="27">
        <v>0</v>
      </c>
      <c r="H24" s="27">
        <v>0</v>
      </c>
      <c r="I24" s="27">
        <v>0</v>
      </c>
      <c r="J24" s="27">
        <v>0</v>
      </c>
      <c r="K24" s="27">
        <v>0</v>
      </c>
      <c r="L24" s="27">
        <v>0</v>
      </c>
      <c r="M24" s="27">
        <v>0</v>
      </c>
      <c r="N24" s="27">
        <v>0</v>
      </c>
      <c r="O24" s="27">
        <v>0</v>
      </c>
      <c r="P24" s="27">
        <v>0</v>
      </c>
      <c r="Q24" s="3">
        <f t="shared" si="2"/>
        <v>0</v>
      </c>
      <c r="S24" s="35"/>
      <c r="T24" s="40">
        <f t="shared" si="1"/>
        <v>0</v>
      </c>
    </row>
    <row r="25" spans="1:20" s="3" customFormat="1" ht="24.95" hidden="1" customHeight="1">
      <c r="A25" s="3" t="s">
        <v>504</v>
      </c>
      <c r="B25" s="3" t="s">
        <v>679</v>
      </c>
      <c r="D25" s="26" t="s">
        <v>505</v>
      </c>
      <c r="E25" s="27">
        <v>0</v>
      </c>
      <c r="F25" s="27">
        <v>0</v>
      </c>
      <c r="G25" s="27">
        <v>0</v>
      </c>
      <c r="H25" s="27">
        <v>0</v>
      </c>
      <c r="I25" s="27">
        <v>0</v>
      </c>
      <c r="J25" s="27">
        <v>0</v>
      </c>
      <c r="K25" s="27">
        <v>0</v>
      </c>
      <c r="L25" s="27">
        <v>0</v>
      </c>
      <c r="M25" s="27">
        <v>0</v>
      </c>
      <c r="N25" s="27">
        <v>0</v>
      </c>
      <c r="O25" s="27">
        <v>0</v>
      </c>
      <c r="P25" s="27">
        <v>0</v>
      </c>
      <c r="Q25" s="3">
        <f t="shared" si="2"/>
        <v>0</v>
      </c>
      <c r="S25" s="35"/>
      <c r="T25" s="40">
        <f t="shared" si="1"/>
        <v>0</v>
      </c>
    </row>
    <row r="26" spans="1:20" s="3" customFormat="1" ht="24.95" customHeight="1">
      <c r="A26" s="3" t="s">
        <v>506</v>
      </c>
      <c r="B26" s="3" t="s">
        <v>679</v>
      </c>
      <c r="D26" s="26" t="s">
        <v>507</v>
      </c>
      <c r="E26" s="27"/>
      <c r="F26" s="27"/>
      <c r="G26" s="27"/>
      <c r="H26" s="27"/>
      <c r="I26" s="27"/>
      <c r="J26" s="27"/>
      <c r="K26" s="27"/>
      <c r="L26" s="27"/>
      <c r="M26" s="27"/>
      <c r="N26" s="27"/>
      <c r="O26" s="27"/>
      <c r="P26" s="27"/>
      <c r="Q26" s="3">
        <f t="shared" si="2"/>
        <v>0</v>
      </c>
      <c r="R26" s="3">
        <f>Q26/'F&amp;B Summary'!$Q$148</f>
        <v>0</v>
      </c>
      <c r="S26" s="35"/>
      <c r="T26" s="40">
        <f t="shared" si="1"/>
        <v>0</v>
      </c>
    </row>
    <row r="27" spans="1:20" s="3" customFormat="1" ht="24.95" hidden="1" customHeight="1">
      <c r="A27" s="3" t="s">
        <v>508</v>
      </c>
      <c r="B27" s="3" t="s">
        <v>679</v>
      </c>
      <c r="D27" s="26" t="s">
        <v>509</v>
      </c>
      <c r="E27" s="27"/>
      <c r="F27" s="27"/>
      <c r="G27" s="27"/>
      <c r="H27" s="27"/>
      <c r="I27" s="27"/>
      <c r="J27" s="27"/>
      <c r="K27" s="27"/>
      <c r="L27" s="27"/>
      <c r="M27" s="27"/>
      <c r="N27" s="27"/>
      <c r="O27" s="27"/>
      <c r="P27" s="27"/>
      <c r="Q27" s="3">
        <f t="shared" si="2"/>
        <v>0</v>
      </c>
      <c r="R27" s="3">
        <f>Q27/'F&amp;B Summary'!$Q$148</f>
        <v>0</v>
      </c>
      <c r="S27" s="35"/>
      <c r="T27" s="40">
        <f t="shared" si="1"/>
        <v>0</v>
      </c>
    </row>
    <row r="28" spans="1:20" s="3" customFormat="1" ht="24.95" hidden="1" customHeight="1">
      <c r="A28" s="3" t="s">
        <v>510</v>
      </c>
      <c r="B28" s="3" t="s">
        <v>679</v>
      </c>
      <c r="D28" s="26" t="s">
        <v>511</v>
      </c>
      <c r="E28" s="27"/>
      <c r="F28" s="27"/>
      <c r="G28" s="27"/>
      <c r="H28" s="27"/>
      <c r="I28" s="27"/>
      <c r="J28" s="27"/>
      <c r="K28" s="27"/>
      <c r="L28" s="27"/>
      <c r="M28" s="27"/>
      <c r="N28" s="27"/>
      <c r="O28" s="27"/>
      <c r="P28" s="27"/>
      <c r="Q28" s="3">
        <f t="shared" si="2"/>
        <v>0</v>
      </c>
      <c r="R28" s="3">
        <f>Q28/'F&amp;B Summary'!$Q$148</f>
        <v>0</v>
      </c>
      <c r="S28" s="35"/>
      <c r="T28" s="40">
        <f t="shared" si="1"/>
        <v>0</v>
      </c>
    </row>
    <row r="29" spans="1:20" s="3" customFormat="1" ht="24.95" hidden="1" customHeight="1">
      <c r="A29" s="3" t="s">
        <v>512</v>
      </c>
      <c r="B29" s="3" t="s">
        <v>679</v>
      </c>
      <c r="D29" s="26" t="s">
        <v>169</v>
      </c>
      <c r="E29" s="27"/>
      <c r="F29" s="27"/>
      <c r="G29" s="27"/>
      <c r="H29" s="27"/>
      <c r="I29" s="27"/>
      <c r="J29" s="27"/>
      <c r="K29" s="27"/>
      <c r="L29" s="27"/>
      <c r="M29" s="27"/>
      <c r="N29" s="27"/>
      <c r="O29" s="27"/>
      <c r="P29" s="27"/>
      <c r="Q29" s="3">
        <f t="shared" si="2"/>
        <v>0</v>
      </c>
      <c r="R29" s="3">
        <f>Q29/'F&amp;B Summary'!$Q$148</f>
        <v>0</v>
      </c>
      <c r="S29" s="35"/>
      <c r="T29" s="40">
        <f t="shared" si="1"/>
        <v>0</v>
      </c>
    </row>
    <row r="30" spans="1:20" s="3" customFormat="1" ht="24.95" hidden="1" customHeight="1">
      <c r="A30" s="3" t="s">
        <v>513</v>
      </c>
      <c r="B30" s="3" t="s">
        <v>679</v>
      </c>
      <c r="D30" s="26" t="s">
        <v>171</v>
      </c>
      <c r="E30" s="27"/>
      <c r="F30" s="27"/>
      <c r="G30" s="27"/>
      <c r="H30" s="27"/>
      <c r="I30" s="27"/>
      <c r="J30" s="27"/>
      <c r="K30" s="27"/>
      <c r="L30" s="27"/>
      <c r="M30" s="27"/>
      <c r="N30" s="27"/>
      <c r="O30" s="27"/>
      <c r="P30" s="27"/>
      <c r="Q30" s="3">
        <f t="shared" si="2"/>
        <v>0</v>
      </c>
      <c r="R30" s="3">
        <f>Q30/'F&amp;B Summary'!$Q$148</f>
        <v>0</v>
      </c>
      <c r="S30" s="35"/>
      <c r="T30" s="40">
        <f t="shared" si="1"/>
        <v>0</v>
      </c>
    </row>
    <row r="31" spans="1:20" s="3" customFormat="1" ht="24.95" hidden="1" customHeight="1">
      <c r="A31" s="3" t="s">
        <v>514</v>
      </c>
      <c r="B31" s="3" t="s">
        <v>679</v>
      </c>
      <c r="D31" s="26" t="s">
        <v>515</v>
      </c>
      <c r="E31" s="27"/>
      <c r="F31" s="27"/>
      <c r="G31" s="27"/>
      <c r="H31" s="27"/>
      <c r="I31" s="27"/>
      <c r="J31" s="27"/>
      <c r="K31" s="27"/>
      <c r="L31" s="27"/>
      <c r="M31" s="27"/>
      <c r="N31" s="27"/>
      <c r="O31" s="27"/>
      <c r="P31" s="27"/>
      <c r="Q31" s="3">
        <f t="shared" si="2"/>
        <v>0</v>
      </c>
      <c r="R31" s="3">
        <f>Q31/'F&amp;B Summary'!$Q$148</f>
        <v>0</v>
      </c>
      <c r="S31" s="35"/>
      <c r="T31" s="40">
        <f t="shared" si="1"/>
        <v>0</v>
      </c>
    </row>
    <row r="32" spans="1:20" s="3" customFormat="1" ht="24.95" hidden="1" customHeight="1">
      <c r="A32" s="3" t="s">
        <v>516</v>
      </c>
      <c r="B32" s="3" t="s">
        <v>679</v>
      </c>
      <c r="D32" s="26" t="s">
        <v>517</v>
      </c>
      <c r="E32" s="27"/>
      <c r="F32" s="27"/>
      <c r="G32" s="27"/>
      <c r="H32" s="27"/>
      <c r="I32" s="27"/>
      <c r="J32" s="27"/>
      <c r="K32" s="27"/>
      <c r="L32" s="27"/>
      <c r="M32" s="27"/>
      <c r="N32" s="27"/>
      <c r="O32" s="27"/>
      <c r="P32" s="27"/>
      <c r="Q32" s="3">
        <f t="shared" si="2"/>
        <v>0</v>
      </c>
      <c r="R32" s="3">
        <f>Q32/'F&amp;B Summary'!$Q$148</f>
        <v>0</v>
      </c>
      <c r="S32" s="35"/>
      <c r="T32" s="40">
        <f t="shared" si="1"/>
        <v>0</v>
      </c>
    </row>
    <row r="33" spans="1:20" s="3" customFormat="1" ht="24.95" hidden="1" customHeight="1">
      <c r="A33" s="3" t="s">
        <v>518</v>
      </c>
      <c r="B33" s="3" t="s">
        <v>679</v>
      </c>
      <c r="D33" s="26" t="s">
        <v>519</v>
      </c>
      <c r="E33" s="27"/>
      <c r="F33" s="27"/>
      <c r="G33" s="27"/>
      <c r="H33" s="27"/>
      <c r="I33" s="27"/>
      <c r="J33" s="27"/>
      <c r="K33" s="27"/>
      <c r="L33" s="27"/>
      <c r="M33" s="27"/>
      <c r="N33" s="27"/>
      <c r="O33" s="27"/>
      <c r="P33" s="27"/>
      <c r="Q33" s="3">
        <f t="shared" si="2"/>
        <v>0</v>
      </c>
      <c r="R33" s="3">
        <f>Q33/'F&amp;B Summary'!$Q$148</f>
        <v>0</v>
      </c>
      <c r="S33" s="35"/>
      <c r="T33" s="40">
        <f t="shared" si="1"/>
        <v>0</v>
      </c>
    </row>
    <row r="34" spans="1:20" s="3" customFormat="1" ht="24.95" hidden="1" customHeight="1">
      <c r="A34" s="3" t="s">
        <v>520</v>
      </c>
      <c r="B34" s="3" t="s">
        <v>679</v>
      </c>
      <c r="D34" s="26" t="s">
        <v>521</v>
      </c>
      <c r="E34" s="27"/>
      <c r="F34" s="27"/>
      <c r="G34" s="27"/>
      <c r="H34" s="27"/>
      <c r="I34" s="27"/>
      <c r="J34" s="27"/>
      <c r="K34" s="27"/>
      <c r="L34" s="27"/>
      <c r="M34" s="27"/>
      <c r="N34" s="27"/>
      <c r="O34" s="27"/>
      <c r="P34" s="27"/>
      <c r="Q34" s="3">
        <f t="shared" si="2"/>
        <v>0</v>
      </c>
      <c r="R34" s="3">
        <f>Q34/'F&amp;B Summary'!$Q$148</f>
        <v>0</v>
      </c>
      <c r="S34" s="35"/>
      <c r="T34" s="40">
        <f t="shared" si="1"/>
        <v>0</v>
      </c>
    </row>
    <row r="35" spans="1:20" s="3" customFormat="1" ht="24.95" hidden="1" customHeight="1">
      <c r="A35" s="3" t="s">
        <v>522</v>
      </c>
      <c r="B35" s="3" t="s">
        <v>679</v>
      </c>
      <c r="D35" s="26" t="s">
        <v>523</v>
      </c>
      <c r="E35" s="27"/>
      <c r="F35" s="27"/>
      <c r="G35" s="27"/>
      <c r="H35" s="27"/>
      <c r="I35" s="27"/>
      <c r="J35" s="27"/>
      <c r="K35" s="27"/>
      <c r="L35" s="27"/>
      <c r="M35" s="27"/>
      <c r="N35" s="27"/>
      <c r="O35" s="27"/>
      <c r="P35" s="27"/>
      <c r="Q35" s="3">
        <f t="shared" si="2"/>
        <v>0</v>
      </c>
      <c r="R35" s="3">
        <f>Q35/'F&amp;B Summary'!$Q$148</f>
        <v>0</v>
      </c>
      <c r="S35" s="35"/>
      <c r="T35" s="40">
        <f t="shared" si="1"/>
        <v>0</v>
      </c>
    </row>
    <row r="36" spans="1:20" s="3" customFormat="1" ht="24.95" hidden="1" customHeight="1">
      <c r="A36" s="3" t="s">
        <v>524</v>
      </c>
      <c r="B36" s="3" t="s">
        <v>679</v>
      </c>
      <c r="D36" s="26" t="s">
        <v>525</v>
      </c>
      <c r="E36" s="27"/>
      <c r="F36" s="27"/>
      <c r="G36" s="27"/>
      <c r="H36" s="27"/>
      <c r="I36" s="27"/>
      <c r="J36" s="27"/>
      <c r="K36" s="27"/>
      <c r="L36" s="27"/>
      <c r="M36" s="27"/>
      <c r="N36" s="27"/>
      <c r="O36" s="27"/>
      <c r="P36" s="27"/>
      <c r="Q36" s="3">
        <f t="shared" si="2"/>
        <v>0</v>
      </c>
      <c r="R36" s="3">
        <f>Q36/'F&amp;B Summary'!$Q$148</f>
        <v>0</v>
      </c>
      <c r="S36" s="35"/>
      <c r="T36" s="40">
        <f t="shared" si="1"/>
        <v>0</v>
      </c>
    </row>
    <row r="37" spans="1:20" s="3" customFormat="1" ht="24.95" hidden="1" customHeight="1">
      <c r="A37" s="3" t="s">
        <v>526</v>
      </c>
      <c r="B37" s="3" t="s">
        <v>679</v>
      </c>
      <c r="D37" s="26" t="s">
        <v>527</v>
      </c>
      <c r="E37" s="27"/>
      <c r="F37" s="27"/>
      <c r="G37" s="27"/>
      <c r="H37" s="27"/>
      <c r="I37" s="27"/>
      <c r="J37" s="27"/>
      <c r="K37" s="27"/>
      <c r="L37" s="27"/>
      <c r="M37" s="27"/>
      <c r="N37" s="27"/>
      <c r="O37" s="27"/>
      <c r="P37" s="27"/>
      <c r="Q37" s="3">
        <f t="shared" si="2"/>
        <v>0</v>
      </c>
      <c r="R37" s="3">
        <f>Q37/'F&amp;B Summary'!$Q$148</f>
        <v>0</v>
      </c>
      <c r="S37" s="35"/>
      <c r="T37" s="40">
        <f t="shared" si="1"/>
        <v>0</v>
      </c>
    </row>
    <row r="38" spans="1:20" s="3" customFormat="1" ht="24.95" hidden="1" customHeight="1">
      <c r="A38" s="3" t="s">
        <v>528</v>
      </c>
      <c r="B38" s="3" t="s">
        <v>679</v>
      </c>
      <c r="D38" s="26" t="s">
        <v>529</v>
      </c>
      <c r="E38" s="27"/>
      <c r="F38" s="27"/>
      <c r="G38" s="27"/>
      <c r="H38" s="27"/>
      <c r="I38" s="27"/>
      <c r="J38" s="27"/>
      <c r="K38" s="27"/>
      <c r="L38" s="27"/>
      <c r="M38" s="27"/>
      <c r="N38" s="27"/>
      <c r="O38" s="27"/>
      <c r="P38" s="27"/>
      <c r="Q38" s="3">
        <f t="shared" si="2"/>
        <v>0</v>
      </c>
      <c r="R38" s="3">
        <f>Q38/'F&amp;B Summary'!$Q$148</f>
        <v>0</v>
      </c>
      <c r="S38" s="35"/>
      <c r="T38" s="40">
        <f t="shared" si="1"/>
        <v>0</v>
      </c>
    </row>
    <row r="39" spans="1:20" s="3" customFormat="1" ht="24.95" hidden="1" customHeight="1">
      <c r="A39" s="3" t="s">
        <v>530</v>
      </c>
      <c r="B39" s="3" t="s">
        <v>679</v>
      </c>
      <c r="D39" s="26" t="s">
        <v>531</v>
      </c>
      <c r="E39" s="27"/>
      <c r="F39" s="27"/>
      <c r="G39" s="27"/>
      <c r="H39" s="27"/>
      <c r="I39" s="27"/>
      <c r="J39" s="27"/>
      <c r="K39" s="27"/>
      <c r="L39" s="27"/>
      <c r="M39" s="27"/>
      <c r="N39" s="27"/>
      <c r="O39" s="27"/>
      <c r="P39" s="27"/>
      <c r="Q39" s="3">
        <f t="shared" si="2"/>
        <v>0</v>
      </c>
      <c r="R39" s="3">
        <f>Q39/'F&amp;B Summary'!$Q$148</f>
        <v>0</v>
      </c>
      <c r="S39" s="35"/>
      <c r="T39" s="40">
        <f t="shared" si="1"/>
        <v>0</v>
      </c>
    </row>
    <row r="40" spans="1:20" s="3" customFormat="1" ht="24.95" customHeight="1">
      <c r="A40" s="3" t="s">
        <v>532</v>
      </c>
      <c r="B40" s="3" t="s">
        <v>679</v>
      </c>
      <c r="D40" s="26" t="s">
        <v>533</v>
      </c>
      <c r="E40" s="27"/>
      <c r="F40" s="27"/>
      <c r="G40" s="27"/>
      <c r="H40" s="27"/>
      <c r="I40" s="27"/>
      <c r="J40" s="27"/>
      <c r="K40" s="27"/>
      <c r="L40" s="27"/>
      <c r="M40" s="27"/>
      <c r="N40" s="27"/>
      <c r="O40" s="27"/>
      <c r="P40" s="27"/>
      <c r="Q40" s="3">
        <f t="shared" si="2"/>
        <v>0</v>
      </c>
      <c r="R40" s="3">
        <f>Q40/'F&amp;B Summary'!$Q$148</f>
        <v>0</v>
      </c>
      <c r="S40" s="35"/>
      <c r="T40" s="40">
        <f t="shared" si="1"/>
        <v>0</v>
      </c>
    </row>
    <row r="41" spans="1:20" s="3" customFormat="1" ht="24.95" hidden="1" customHeight="1">
      <c r="A41" s="3" t="s">
        <v>534</v>
      </c>
      <c r="B41" s="3" t="s">
        <v>679</v>
      </c>
      <c r="D41" s="26" t="s">
        <v>535</v>
      </c>
      <c r="E41" s="27"/>
      <c r="F41" s="27"/>
      <c r="G41" s="27"/>
      <c r="H41" s="27"/>
      <c r="I41" s="27"/>
      <c r="J41" s="27"/>
      <c r="K41" s="27"/>
      <c r="L41" s="27"/>
      <c r="M41" s="27"/>
      <c r="N41" s="27"/>
      <c r="O41" s="27"/>
      <c r="P41" s="27"/>
      <c r="Q41" s="3">
        <f t="shared" si="2"/>
        <v>0</v>
      </c>
      <c r="R41" s="3">
        <f>Q41/'F&amp;B Summary'!$Q$148</f>
        <v>0</v>
      </c>
      <c r="S41" s="35"/>
      <c r="T41" s="40">
        <f t="shared" si="1"/>
        <v>0</v>
      </c>
    </row>
    <row r="42" spans="1:20" s="3" customFormat="1" ht="24.95" hidden="1" customHeight="1">
      <c r="A42" s="3" t="s">
        <v>536</v>
      </c>
      <c r="B42" s="3" t="s">
        <v>679</v>
      </c>
      <c r="D42" s="26" t="s">
        <v>537</v>
      </c>
      <c r="E42" s="27"/>
      <c r="F42" s="27"/>
      <c r="G42" s="27"/>
      <c r="H42" s="27"/>
      <c r="I42" s="27"/>
      <c r="J42" s="27"/>
      <c r="K42" s="27"/>
      <c r="L42" s="27"/>
      <c r="M42" s="27"/>
      <c r="N42" s="27"/>
      <c r="O42" s="27"/>
      <c r="P42" s="27"/>
      <c r="Q42" s="3">
        <f t="shared" si="2"/>
        <v>0</v>
      </c>
      <c r="R42" s="3">
        <f>Q42/'F&amp;B Summary'!$Q$148</f>
        <v>0</v>
      </c>
      <c r="S42" s="35"/>
      <c r="T42" s="40">
        <f t="shared" si="1"/>
        <v>0</v>
      </c>
    </row>
    <row r="43" spans="1:20" s="3" customFormat="1" ht="24.95" customHeight="1">
      <c r="A43" s="3" t="s">
        <v>538</v>
      </c>
      <c r="B43" s="3" t="s">
        <v>679</v>
      </c>
      <c r="D43" s="26" t="s">
        <v>539</v>
      </c>
      <c r="E43" s="27"/>
      <c r="F43" s="27"/>
      <c r="G43" s="27"/>
      <c r="H43" s="27"/>
      <c r="I43" s="27"/>
      <c r="J43" s="27"/>
      <c r="K43" s="27"/>
      <c r="L43" s="27"/>
      <c r="M43" s="27"/>
      <c r="N43" s="27"/>
      <c r="O43" s="27"/>
      <c r="P43" s="27"/>
      <c r="Q43" s="3">
        <f t="shared" si="2"/>
        <v>0</v>
      </c>
      <c r="R43" s="3">
        <f>Q43/'F&amp;B Summary'!$Q$148</f>
        <v>0</v>
      </c>
      <c r="S43" s="35"/>
      <c r="T43" s="40">
        <f t="shared" si="1"/>
        <v>0</v>
      </c>
    </row>
    <row r="44" spans="1:20" s="3" customFormat="1" ht="24.95" hidden="1" customHeight="1">
      <c r="A44" s="3" t="s">
        <v>540</v>
      </c>
      <c r="B44" s="3" t="s">
        <v>679</v>
      </c>
      <c r="D44" s="26" t="s">
        <v>541</v>
      </c>
      <c r="E44" s="27"/>
      <c r="F44" s="27"/>
      <c r="G44" s="27"/>
      <c r="H44" s="27"/>
      <c r="I44" s="27"/>
      <c r="J44" s="27"/>
      <c r="K44" s="27"/>
      <c r="L44" s="27"/>
      <c r="M44" s="27"/>
      <c r="N44" s="27"/>
      <c r="O44" s="27"/>
      <c r="P44" s="27"/>
      <c r="Q44" s="3">
        <f t="shared" si="2"/>
        <v>0</v>
      </c>
      <c r="R44" s="3">
        <f>Q44/'F&amp;B Summary'!$Q$148</f>
        <v>0</v>
      </c>
      <c r="S44" s="35"/>
      <c r="T44" s="40">
        <f t="shared" si="1"/>
        <v>0</v>
      </c>
    </row>
    <row r="45" spans="1:20" s="3" customFormat="1" ht="24.95" hidden="1" customHeight="1">
      <c r="A45" s="3" t="s">
        <v>542</v>
      </c>
      <c r="B45" s="3" t="s">
        <v>679</v>
      </c>
      <c r="D45" s="26" t="s">
        <v>543</v>
      </c>
      <c r="E45" s="27"/>
      <c r="F45" s="27"/>
      <c r="G45" s="27"/>
      <c r="H45" s="27"/>
      <c r="I45" s="27"/>
      <c r="J45" s="27"/>
      <c r="K45" s="27"/>
      <c r="L45" s="27"/>
      <c r="M45" s="27"/>
      <c r="N45" s="27"/>
      <c r="O45" s="27"/>
      <c r="P45" s="27"/>
      <c r="Q45" s="3">
        <f t="shared" si="2"/>
        <v>0</v>
      </c>
      <c r="R45" s="3">
        <f>Q45/'F&amp;B Summary'!$Q$148</f>
        <v>0</v>
      </c>
      <c r="S45" s="35"/>
      <c r="T45" s="40">
        <f t="shared" si="1"/>
        <v>0</v>
      </c>
    </row>
    <row r="46" spans="1:20" s="3" customFormat="1" ht="24.95" customHeight="1">
      <c r="A46" s="3" t="s">
        <v>544</v>
      </c>
      <c r="B46" s="3" t="s">
        <v>679</v>
      </c>
      <c r="D46" s="29" t="s">
        <v>545</v>
      </c>
      <c r="E46" s="27"/>
      <c r="F46" s="27"/>
      <c r="G46" s="27"/>
      <c r="H46" s="27"/>
      <c r="I46" s="27"/>
      <c r="J46" s="27"/>
      <c r="K46" s="27"/>
      <c r="L46" s="27"/>
      <c r="M46" s="27"/>
      <c r="N46" s="27"/>
      <c r="O46" s="27"/>
      <c r="P46" s="27"/>
      <c r="Q46" s="3">
        <f t="shared" si="2"/>
        <v>0</v>
      </c>
      <c r="R46" s="3">
        <f>Q46/'F&amp;B Summary'!$Q$148</f>
        <v>0</v>
      </c>
      <c r="S46" s="35"/>
      <c r="T46" s="40"/>
    </row>
    <row r="47" spans="1:20" s="3" customFormat="1" ht="24.95" customHeight="1">
      <c r="A47" s="3" t="s">
        <v>546</v>
      </c>
      <c r="B47" s="3" t="s">
        <v>679</v>
      </c>
      <c r="D47" s="26" t="s">
        <v>547</v>
      </c>
      <c r="E47" s="27"/>
      <c r="F47" s="27"/>
      <c r="G47" s="27"/>
      <c r="H47" s="27"/>
      <c r="I47" s="27"/>
      <c r="J47" s="27"/>
      <c r="K47" s="27"/>
      <c r="L47" s="27"/>
      <c r="M47" s="27"/>
      <c r="N47" s="27"/>
      <c r="O47" s="27"/>
      <c r="P47" s="27"/>
      <c r="Q47" s="3">
        <f t="shared" si="2"/>
        <v>0</v>
      </c>
      <c r="R47" s="3">
        <f>Q47/'F&amp;B Summary'!$Q$148</f>
        <v>0</v>
      </c>
      <c r="S47" s="35"/>
      <c r="T47" s="40">
        <f t="shared" ref="T47:T74" si="3">-IF(Q47-S47=0,0,(Q47-S47)/S47)</f>
        <v>0</v>
      </c>
    </row>
    <row r="48" spans="1:20" s="3" customFormat="1" ht="24.95" customHeight="1">
      <c r="A48" s="3" t="s">
        <v>548</v>
      </c>
      <c r="B48" s="3" t="s">
        <v>679</v>
      </c>
      <c r="D48" s="26" t="s">
        <v>549</v>
      </c>
      <c r="E48" s="27"/>
      <c r="F48" s="27"/>
      <c r="G48" s="27"/>
      <c r="H48" s="27"/>
      <c r="I48" s="27"/>
      <c r="J48" s="27"/>
      <c r="K48" s="27"/>
      <c r="L48" s="27"/>
      <c r="M48" s="27"/>
      <c r="N48" s="27"/>
      <c r="O48" s="27"/>
      <c r="P48" s="27"/>
      <c r="Q48" s="3">
        <f t="shared" si="2"/>
        <v>0</v>
      </c>
      <c r="R48" s="3">
        <f>Q48/'F&amp;B Summary'!$Q$148</f>
        <v>0</v>
      </c>
      <c r="S48" s="35"/>
      <c r="T48" s="40">
        <f t="shared" si="3"/>
        <v>0</v>
      </c>
    </row>
    <row r="49" spans="1:20" s="3" customFormat="1" ht="24.95" customHeight="1">
      <c r="A49" s="3" t="s">
        <v>550</v>
      </c>
      <c r="B49" s="3" t="s">
        <v>679</v>
      </c>
      <c r="D49" s="26" t="s">
        <v>551</v>
      </c>
      <c r="E49" s="27"/>
      <c r="F49" s="27"/>
      <c r="G49" s="27"/>
      <c r="H49" s="27"/>
      <c r="I49" s="27"/>
      <c r="J49" s="27"/>
      <c r="K49" s="27"/>
      <c r="L49" s="27"/>
      <c r="M49" s="27"/>
      <c r="N49" s="27"/>
      <c r="O49" s="27"/>
      <c r="P49" s="27"/>
      <c r="Q49" s="3">
        <f t="shared" si="2"/>
        <v>0</v>
      </c>
      <c r="R49" s="3">
        <f>Q49/'F&amp;B Summary'!$Q$148</f>
        <v>0</v>
      </c>
      <c r="S49" s="35"/>
      <c r="T49" s="40">
        <f t="shared" si="3"/>
        <v>0</v>
      </c>
    </row>
    <row r="50" spans="1:20" s="3" customFormat="1" ht="24.95" customHeight="1">
      <c r="A50" s="3" t="s">
        <v>552</v>
      </c>
      <c r="B50" s="3" t="s">
        <v>679</v>
      </c>
      <c r="D50" s="26" t="s">
        <v>553</v>
      </c>
      <c r="E50" s="27"/>
      <c r="F50" s="27"/>
      <c r="G50" s="27"/>
      <c r="H50" s="27"/>
      <c r="I50" s="27"/>
      <c r="J50" s="27"/>
      <c r="K50" s="27"/>
      <c r="L50" s="27"/>
      <c r="M50" s="27"/>
      <c r="N50" s="27"/>
      <c r="O50" s="27"/>
      <c r="P50" s="27"/>
      <c r="Q50" s="3">
        <f t="shared" si="2"/>
        <v>0</v>
      </c>
      <c r="R50" s="3">
        <f>Q50/'F&amp;B Summary'!$Q$148</f>
        <v>0</v>
      </c>
      <c r="S50" s="35"/>
      <c r="T50" s="40">
        <f t="shared" si="3"/>
        <v>0</v>
      </c>
    </row>
    <row r="51" spans="1:20" s="3" customFormat="1" ht="24.95" hidden="1" customHeight="1">
      <c r="A51" s="3" t="s">
        <v>554</v>
      </c>
      <c r="B51" s="3" t="s">
        <v>679</v>
      </c>
      <c r="D51" s="26" t="s">
        <v>555</v>
      </c>
      <c r="E51" s="27"/>
      <c r="F51" s="27"/>
      <c r="G51" s="27"/>
      <c r="H51" s="27"/>
      <c r="I51" s="27"/>
      <c r="J51" s="27"/>
      <c r="K51" s="27"/>
      <c r="L51" s="27"/>
      <c r="M51" s="27"/>
      <c r="N51" s="27"/>
      <c r="O51" s="27"/>
      <c r="P51" s="27"/>
      <c r="Q51" s="3">
        <f t="shared" si="2"/>
        <v>0</v>
      </c>
      <c r="R51" s="3">
        <f>Q51/'F&amp;B Summary'!$Q$148</f>
        <v>0</v>
      </c>
      <c r="S51" s="35"/>
      <c r="T51" s="40">
        <f t="shared" si="3"/>
        <v>0</v>
      </c>
    </row>
    <row r="52" spans="1:20" s="3" customFormat="1" ht="24.95" hidden="1" customHeight="1">
      <c r="A52" s="3" t="s">
        <v>556</v>
      </c>
      <c r="B52" s="3" t="s">
        <v>679</v>
      </c>
      <c r="D52" s="26" t="s">
        <v>557</v>
      </c>
      <c r="E52" s="27"/>
      <c r="F52" s="27"/>
      <c r="G52" s="27"/>
      <c r="H52" s="27"/>
      <c r="I52" s="27"/>
      <c r="J52" s="27"/>
      <c r="K52" s="27"/>
      <c r="L52" s="27"/>
      <c r="M52" s="27"/>
      <c r="N52" s="27"/>
      <c r="O52" s="27"/>
      <c r="P52" s="27"/>
      <c r="Q52" s="3">
        <f t="shared" si="2"/>
        <v>0</v>
      </c>
      <c r="R52" s="3">
        <f>Q52/'F&amp;B Summary'!$Q$148</f>
        <v>0</v>
      </c>
      <c r="S52" s="35"/>
      <c r="T52" s="40">
        <f t="shared" si="3"/>
        <v>0</v>
      </c>
    </row>
    <row r="53" spans="1:20" s="3" customFormat="1" ht="24.95" hidden="1" customHeight="1">
      <c r="A53" s="3" t="s">
        <v>558</v>
      </c>
      <c r="B53" s="3" t="s">
        <v>679</v>
      </c>
      <c r="D53" s="29" t="s">
        <v>559</v>
      </c>
      <c r="E53" s="27"/>
      <c r="F53" s="27"/>
      <c r="G53" s="27"/>
      <c r="H53" s="27"/>
      <c r="I53" s="27"/>
      <c r="J53" s="27"/>
      <c r="K53" s="27"/>
      <c r="L53" s="27"/>
      <c r="M53" s="27"/>
      <c r="N53" s="27"/>
      <c r="O53" s="27"/>
      <c r="P53" s="27"/>
      <c r="Q53" s="3">
        <f t="shared" si="2"/>
        <v>0</v>
      </c>
      <c r="R53" s="3">
        <f>Q53/'F&amp;B Summary'!$Q$148</f>
        <v>0</v>
      </c>
      <c r="S53" s="35"/>
      <c r="T53" s="40">
        <f t="shared" si="3"/>
        <v>0</v>
      </c>
    </row>
    <row r="54" spans="1:20" s="3" customFormat="1" ht="24.95" hidden="1" customHeight="1">
      <c r="A54" s="3" t="s">
        <v>560</v>
      </c>
      <c r="B54" s="3" t="s">
        <v>679</v>
      </c>
      <c r="D54" s="26" t="s">
        <v>561</v>
      </c>
      <c r="E54" s="27"/>
      <c r="F54" s="27"/>
      <c r="G54" s="27"/>
      <c r="H54" s="27"/>
      <c r="I54" s="27"/>
      <c r="J54" s="27"/>
      <c r="K54" s="27"/>
      <c r="L54" s="27"/>
      <c r="M54" s="27"/>
      <c r="N54" s="27"/>
      <c r="O54" s="27"/>
      <c r="P54" s="27"/>
      <c r="Q54" s="3">
        <f t="shared" si="2"/>
        <v>0</v>
      </c>
      <c r="R54" s="3">
        <f>Q54/'F&amp;B Summary'!$Q$148</f>
        <v>0</v>
      </c>
      <c r="S54" s="35"/>
      <c r="T54" s="40">
        <f t="shared" si="3"/>
        <v>0</v>
      </c>
    </row>
    <row r="55" spans="1:20" s="3" customFormat="1" ht="24.95" hidden="1" customHeight="1">
      <c r="A55" s="3" t="s">
        <v>562</v>
      </c>
      <c r="B55" s="3" t="s">
        <v>679</v>
      </c>
      <c r="D55" s="29" t="s">
        <v>563</v>
      </c>
      <c r="E55" s="27"/>
      <c r="F55" s="27"/>
      <c r="G55" s="27"/>
      <c r="H55" s="27"/>
      <c r="I55" s="27"/>
      <c r="J55" s="27"/>
      <c r="K55" s="27"/>
      <c r="L55" s="27"/>
      <c r="M55" s="27"/>
      <c r="N55" s="27"/>
      <c r="O55" s="27"/>
      <c r="P55" s="27"/>
      <c r="Q55" s="3">
        <f t="shared" si="2"/>
        <v>0</v>
      </c>
      <c r="R55" s="3">
        <f>Q55/'F&amp;B Summary'!$Q$148</f>
        <v>0</v>
      </c>
      <c r="S55" s="35"/>
      <c r="T55" s="40">
        <f t="shared" si="3"/>
        <v>0</v>
      </c>
    </row>
    <row r="56" spans="1:20" s="3" customFormat="1" ht="24.95" hidden="1" customHeight="1">
      <c r="A56" s="3" t="s">
        <v>564</v>
      </c>
      <c r="B56" s="3" t="s">
        <v>679</v>
      </c>
      <c r="D56" s="26" t="s">
        <v>565</v>
      </c>
      <c r="E56" s="27"/>
      <c r="F56" s="27"/>
      <c r="G56" s="27"/>
      <c r="H56" s="27"/>
      <c r="I56" s="27"/>
      <c r="J56" s="27"/>
      <c r="K56" s="27"/>
      <c r="L56" s="27"/>
      <c r="M56" s="27"/>
      <c r="N56" s="27"/>
      <c r="O56" s="27"/>
      <c r="P56" s="27"/>
      <c r="Q56" s="3">
        <f t="shared" si="2"/>
        <v>0</v>
      </c>
      <c r="R56" s="3">
        <f>Q56/'F&amp;B Summary'!$Q$148</f>
        <v>0</v>
      </c>
      <c r="S56" s="35"/>
      <c r="T56" s="40">
        <f t="shared" si="3"/>
        <v>0</v>
      </c>
    </row>
    <row r="57" spans="1:20" s="3" customFormat="1" ht="24.95" hidden="1" customHeight="1">
      <c r="A57" s="3" t="s">
        <v>566</v>
      </c>
      <c r="B57" s="3" t="s">
        <v>679</v>
      </c>
      <c r="D57" s="26" t="s">
        <v>567</v>
      </c>
      <c r="E57" s="27"/>
      <c r="F57" s="27"/>
      <c r="G57" s="27"/>
      <c r="H57" s="27"/>
      <c r="I57" s="27"/>
      <c r="J57" s="27"/>
      <c r="K57" s="27"/>
      <c r="L57" s="27"/>
      <c r="M57" s="27"/>
      <c r="N57" s="27"/>
      <c r="O57" s="27"/>
      <c r="P57" s="27"/>
      <c r="Q57" s="3">
        <f t="shared" si="2"/>
        <v>0</v>
      </c>
      <c r="R57" s="3">
        <f>Q57/'F&amp;B Summary'!$Q$148</f>
        <v>0</v>
      </c>
      <c r="S57" s="35"/>
      <c r="T57" s="40">
        <f t="shared" si="3"/>
        <v>0</v>
      </c>
    </row>
    <row r="58" spans="1:20" s="3" customFormat="1" ht="24.95" hidden="1" customHeight="1">
      <c r="A58" s="3" t="s">
        <v>568</v>
      </c>
      <c r="B58" s="3" t="s">
        <v>679</v>
      </c>
      <c r="D58" s="26" t="s">
        <v>569</v>
      </c>
      <c r="E58" s="27"/>
      <c r="F58" s="27"/>
      <c r="G58" s="27"/>
      <c r="H58" s="27"/>
      <c r="I58" s="27"/>
      <c r="J58" s="27"/>
      <c r="K58" s="27"/>
      <c r="L58" s="27"/>
      <c r="M58" s="27"/>
      <c r="N58" s="27"/>
      <c r="O58" s="27"/>
      <c r="P58" s="27"/>
      <c r="Q58" s="3">
        <f t="shared" si="2"/>
        <v>0</v>
      </c>
      <c r="R58" s="3">
        <f>Q58/'F&amp;B Summary'!$Q$148</f>
        <v>0</v>
      </c>
      <c r="S58" s="35"/>
      <c r="T58" s="40">
        <f t="shared" si="3"/>
        <v>0</v>
      </c>
    </row>
    <row r="59" spans="1:20" s="3" customFormat="1" ht="24.95" hidden="1" customHeight="1">
      <c r="A59" s="3" t="s">
        <v>570</v>
      </c>
      <c r="B59" s="3" t="s">
        <v>679</v>
      </c>
      <c r="D59" s="26" t="s">
        <v>571</v>
      </c>
      <c r="E59" s="27"/>
      <c r="F59" s="27"/>
      <c r="G59" s="27"/>
      <c r="H59" s="27"/>
      <c r="I59" s="27"/>
      <c r="J59" s="27"/>
      <c r="K59" s="27"/>
      <c r="L59" s="27"/>
      <c r="M59" s="27"/>
      <c r="N59" s="27"/>
      <c r="O59" s="27"/>
      <c r="P59" s="27"/>
      <c r="Q59" s="3">
        <f t="shared" si="2"/>
        <v>0</v>
      </c>
      <c r="R59" s="3">
        <f>Q59/'F&amp;B Summary'!$Q$148</f>
        <v>0</v>
      </c>
      <c r="S59" s="35"/>
      <c r="T59" s="40">
        <f t="shared" si="3"/>
        <v>0</v>
      </c>
    </row>
    <row r="60" spans="1:20" s="3" customFormat="1" ht="24.95" hidden="1" customHeight="1">
      <c r="A60" s="3" t="s">
        <v>572</v>
      </c>
      <c r="B60" s="3" t="s">
        <v>679</v>
      </c>
      <c r="D60" s="26" t="s">
        <v>573</v>
      </c>
      <c r="E60" s="27"/>
      <c r="F60" s="27"/>
      <c r="G60" s="27"/>
      <c r="H60" s="27"/>
      <c r="I60" s="27"/>
      <c r="J60" s="27"/>
      <c r="K60" s="27"/>
      <c r="L60" s="27"/>
      <c r="M60" s="27"/>
      <c r="N60" s="27"/>
      <c r="O60" s="27"/>
      <c r="P60" s="27"/>
      <c r="Q60" s="3">
        <f t="shared" si="2"/>
        <v>0</v>
      </c>
      <c r="R60" s="3">
        <f>Q60/'F&amp;B Summary'!$Q$148</f>
        <v>0</v>
      </c>
      <c r="S60" s="35"/>
      <c r="T60" s="40">
        <f t="shared" si="3"/>
        <v>0</v>
      </c>
    </row>
    <row r="61" spans="1:20" s="3" customFormat="1" ht="24.95" hidden="1" customHeight="1">
      <c r="A61" s="3" t="s">
        <v>574</v>
      </c>
      <c r="B61" s="3" t="s">
        <v>679</v>
      </c>
      <c r="D61" s="26" t="s">
        <v>575</v>
      </c>
      <c r="E61" s="27"/>
      <c r="F61" s="27"/>
      <c r="G61" s="27"/>
      <c r="H61" s="27"/>
      <c r="I61" s="27"/>
      <c r="J61" s="27"/>
      <c r="K61" s="27"/>
      <c r="L61" s="27"/>
      <c r="M61" s="27"/>
      <c r="N61" s="27"/>
      <c r="O61" s="27"/>
      <c r="P61" s="27"/>
      <c r="Q61" s="3">
        <f t="shared" si="2"/>
        <v>0</v>
      </c>
      <c r="R61" s="3">
        <f>Q61/'F&amp;B Summary'!$Q$148</f>
        <v>0</v>
      </c>
      <c r="S61" s="35"/>
      <c r="T61" s="40">
        <f t="shared" si="3"/>
        <v>0</v>
      </c>
    </row>
    <row r="62" spans="1:20" s="3" customFormat="1" ht="24.95" hidden="1" customHeight="1">
      <c r="A62" s="3" t="s">
        <v>434</v>
      </c>
      <c r="B62" s="3" t="s">
        <v>679</v>
      </c>
      <c r="D62" s="26" t="s">
        <v>435</v>
      </c>
      <c r="E62" s="27"/>
      <c r="F62" s="27"/>
      <c r="G62" s="27"/>
      <c r="H62" s="27"/>
      <c r="I62" s="27"/>
      <c r="J62" s="27"/>
      <c r="K62" s="27"/>
      <c r="L62" s="27"/>
      <c r="M62" s="27"/>
      <c r="N62" s="27"/>
      <c r="O62" s="27"/>
      <c r="P62" s="27"/>
      <c r="Q62" s="3">
        <f t="shared" si="2"/>
        <v>0</v>
      </c>
      <c r="S62" s="35"/>
      <c r="T62" s="40">
        <f t="shared" si="3"/>
        <v>0</v>
      </c>
    </row>
    <row r="63" spans="1:20" s="3" customFormat="1" ht="24.95" hidden="1" customHeight="1">
      <c r="A63" s="3" t="s">
        <v>576</v>
      </c>
      <c r="B63" s="3" t="s">
        <v>679</v>
      </c>
      <c r="D63" s="26" t="s">
        <v>577</v>
      </c>
      <c r="E63" s="27"/>
      <c r="F63" s="27"/>
      <c r="G63" s="27"/>
      <c r="H63" s="27"/>
      <c r="I63" s="27"/>
      <c r="J63" s="27"/>
      <c r="K63" s="27"/>
      <c r="L63" s="27"/>
      <c r="M63" s="27"/>
      <c r="N63" s="27"/>
      <c r="O63" s="27"/>
      <c r="P63" s="27"/>
      <c r="Q63" s="3">
        <f t="shared" si="2"/>
        <v>0</v>
      </c>
      <c r="R63" s="3">
        <f>Q63/'F&amp;B Summary'!$Q$148</f>
        <v>0</v>
      </c>
      <c r="S63" s="35"/>
      <c r="T63" s="40">
        <f t="shared" si="3"/>
        <v>0</v>
      </c>
    </row>
    <row r="64" spans="1:20" s="3" customFormat="1" ht="24.95" hidden="1" customHeight="1">
      <c r="A64" s="3" t="s">
        <v>578</v>
      </c>
      <c r="B64" s="3" t="s">
        <v>679</v>
      </c>
      <c r="D64" s="26" t="s">
        <v>579</v>
      </c>
      <c r="E64" s="27"/>
      <c r="F64" s="27"/>
      <c r="G64" s="27"/>
      <c r="H64" s="27"/>
      <c r="I64" s="27"/>
      <c r="J64" s="27"/>
      <c r="K64" s="27"/>
      <c r="L64" s="27"/>
      <c r="M64" s="27"/>
      <c r="N64" s="27"/>
      <c r="O64" s="27"/>
      <c r="P64" s="27"/>
      <c r="Q64" s="3">
        <f t="shared" si="2"/>
        <v>0</v>
      </c>
      <c r="R64" s="3">
        <f>Q64/'F&amp;B Summary'!$Q$148</f>
        <v>0</v>
      </c>
      <c r="S64" s="35"/>
      <c r="T64" s="40">
        <f t="shared" si="3"/>
        <v>0</v>
      </c>
    </row>
    <row r="65" spans="1:20" s="3" customFormat="1" ht="24.95" hidden="1" customHeight="1">
      <c r="A65" s="3" t="s">
        <v>580</v>
      </c>
      <c r="B65" s="3" t="s">
        <v>679</v>
      </c>
      <c r="D65" s="26" t="s">
        <v>581</v>
      </c>
      <c r="E65" s="27"/>
      <c r="F65" s="27"/>
      <c r="G65" s="27"/>
      <c r="H65" s="27"/>
      <c r="I65" s="27"/>
      <c r="J65" s="27"/>
      <c r="K65" s="27"/>
      <c r="L65" s="27"/>
      <c r="M65" s="27"/>
      <c r="N65" s="27"/>
      <c r="O65" s="27"/>
      <c r="P65" s="27"/>
      <c r="Q65" s="3">
        <f t="shared" si="2"/>
        <v>0</v>
      </c>
      <c r="R65" s="3">
        <f>Q65/'F&amp;B Summary'!$Q$148</f>
        <v>0</v>
      </c>
      <c r="S65" s="35"/>
      <c r="T65" s="40">
        <f t="shared" si="3"/>
        <v>0</v>
      </c>
    </row>
    <row r="66" spans="1:20" s="3" customFormat="1" ht="24.95" hidden="1" customHeight="1">
      <c r="A66" s="3" t="s">
        <v>582</v>
      </c>
      <c r="B66" s="3" t="s">
        <v>679</v>
      </c>
      <c r="D66" s="26" t="s">
        <v>583</v>
      </c>
      <c r="E66" s="27"/>
      <c r="F66" s="27"/>
      <c r="G66" s="27"/>
      <c r="H66" s="27"/>
      <c r="I66" s="27"/>
      <c r="J66" s="27"/>
      <c r="K66" s="27"/>
      <c r="L66" s="27"/>
      <c r="M66" s="27"/>
      <c r="N66" s="27"/>
      <c r="O66" s="27"/>
      <c r="P66" s="27"/>
      <c r="Q66" s="3">
        <f t="shared" si="2"/>
        <v>0</v>
      </c>
      <c r="R66" s="3">
        <f>Q66/'F&amp;B Summary'!$Q$148</f>
        <v>0</v>
      </c>
      <c r="S66" s="35"/>
      <c r="T66" s="40">
        <f t="shared" si="3"/>
        <v>0</v>
      </c>
    </row>
    <row r="67" spans="1:20" s="3" customFormat="1" ht="24.95" hidden="1" customHeight="1">
      <c r="A67" s="3" t="s">
        <v>584</v>
      </c>
      <c r="B67" s="3" t="s">
        <v>679</v>
      </c>
      <c r="D67" s="26" t="s">
        <v>585</v>
      </c>
      <c r="E67" s="27"/>
      <c r="F67" s="27"/>
      <c r="G67" s="27"/>
      <c r="H67" s="27"/>
      <c r="I67" s="27"/>
      <c r="J67" s="27"/>
      <c r="K67" s="27"/>
      <c r="L67" s="27"/>
      <c r="M67" s="27"/>
      <c r="N67" s="27"/>
      <c r="O67" s="27"/>
      <c r="P67" s="27"/>
      <c r="Q67" s="3">
        <f t="shared" si="2"/>
        <v>0</v>
      </c>
      <c r="R67" s="3">
        <f>Q67/'F&amp;B Summary'!$Q$148</f>
        <v>0</v>
      </c>
      <c r="S67" s="35"/>
      <c r="T67" s="40">
        <f t="shared" si="3"/>
        <v>0</v>
      </c>
    </row>
    <row r="68" spans="1:20" s="3" customFormat="1" ht="24.95" hidden="1" customHeight="1">
      <c r="A68" s="3" t="s">
        <v>586</v>
      </c>
      <c r="B68" s="3" t="s">
        <v>679</v>
      </c>
      <c r="D68" s="26" t="s">
        <v>587</v>
      </c>
      <c r="E68" s="27"/>
      <c r="F68" s="27"/>
      <c r="G68" s="27"/>
      <c r="H68" s="27"/>
      <c r="I68" s="27"/>
      <c r="J68" s="27"/>
      <c r="K68" s="27"/>
      <c r="L68" s="27"/>
      <c r="M68" s="27"/>
      <c r="N68" s="27"/>
      <c r="O68" s="27"/>
      <c r="P68" s="27"/>
      <c r="Q68" s="3">
        <f t="shared" si="2"/>
        <v>0</v>
      </c>
      <c r="R68" s="3">
        <f>Q68/'F&amp;B Summary'!$Q$148</f>
        <v>0</v>
      </c>
      <c r="S68" s="35"/>
      <c r="T68" s="40">
        <f t="shared" si="3"/>
        <v>0</v>
      </c>
    </row>
    <row r="69" spans="1:20" s="3" customFormat="1" ht="24.95" customHeight="1">
      <c r="A69" s="3" t="s">
        <v>588</v>
      </c>
      <c r="B69" s="3" t="s">
        <v>679</v>
      </c>
      <c r="D69" s="26" t="s">
        <v>589</v>
      </c>
      <c r="E69" s="27"/>
      <c r="F69" s="27"/>
      <c r="G69" s="27"/>
      <c r="H69" s="27"/>
      <c r="I69" s="27"/>
      <c r="J69" s="27"/>
      <c r="K69" s="27"/>
      <c r="L69" s="27"/>
      <c r="M69" s="27"/>
      <c r="N69" s="27"/>
      <c r="O69" s="27"/>
      <c r="P69" s="27"/>
      <c r="Q69" s="3">
        <f t="shared" si="2"/>
        <v>0</v>
      </c>
      <c r="R69" s="3">
        <f>Q69/'F&amp;B Summary'!$Q$148</f>
        <v>0</v>
      </c>
      <c r="S69" s="35"/>
      <c r="T69" s="40">
        <f t="shared" si="3"/>
        <v>0</v>
      </c>
    </row>
    <row r="70" spans="1:20" s="3" customFormat="1" ht="24.95" customHeight="1">
      <c r="A70" s="3" t="s">
        <v>590</v>
      </c>
      <c r="B70" s="3" t="s">
        <v>679</v>
      </c>
      <c r="D70" s="26" t="s">
        <v>591</v>
      </c>
      <c r="E70" s="27"/>
      <c r="F70" s="27"/>
      <c r="G70" s="27"/>
      <c r="H70" s="27"/>
      <c r="I70" s="27"/>
      <c r="J70" s="27"/>
      <c r="K70" s="27"/>
      <c r="L70" s="27"/>
      <c r="M70" s="27"/>
      <c r="N70" s="27"/>
      <c r="O70" s="27"/>
      <c r="P70" s="27"/>
      <c r="Q70" s="3">
        <f t="shared" si="2"/>
        <v>0</v>
      </c>
      <c r="R70" s="3">
        <f>Q70/'F&amp;B Summary'!$Q$148</f>
        <v>0</v>
      </c>
      <c r="S70" s="35"/>
      <c r="T70" s="40">
        <f t="shared" si="3"/>
        <v>0</v>
      </c>
    </row>
    <row r="71" spans="1:20" s="3" customFormat="1" ht="24.95" customHeight="1">
      <c r="A71" s="3" t="s">
        <v>592</v>
      </c>
      <c r="B71" s="3" t="s">
        <v>679</v>
      </c>
      <c r="D71" s="26" t="s">
        <v>593</v>
      </c>
      <c r="E71" s="27">
        <f>+Laundry!E268</f>
        <v>0</v>
      </c>
      <c r="F71" s="27">
        <f>+Laundry!F268</f>
        <v>0</v>
      </c>
      <c r="G71" s="27">
        <f>+Laundry!G268</f>
        <v>0</v>
      </c>
      <c r="H71" s="27">
        <f>+Laundry!H268</f>
        <v>0</v>
      </c>
      <c r="I71" s="27">
        <f>+Laundry!I268</f>
        <v>0</v>
      </c>
      <c r="J71" s="27">
        <f>+Laundry!J268</f>
        <v>0</v>
      </c>
      <c r="K71" s="27">
        <f>+Laundry!K268</f>
        <v>0</v>
      </c>
      <c r="L71" s="27">
        <f>+Laundry!L268</f>
        <v>0</v>
      </c>
      <c r="M71" s="27">
        <f>+Laundry!M268</f>
        <v>0</v>
      </c>
      <c r="N71" s="27">
        <f>+Laundry!N268</f>
        <v>0</v>
      </c>
      <c r="O71" s="27">
        <f>+Laundry!O268</f>
        <v>0</v>
      </c>
      <c r="P71" s="27">
        <f>+Laundry!P268</f>
        <v>0</v>
      </c>
      <c r="Q71" s="3">
        <f t="shared" si="2"/>
        <v>0</v>
      </c>
      <c r="R71" s="3">
        <f>Q71/'F&amp;B Summary'!$Q$148</f>
        <v>0</v>
      </c>
      <c r="S71" s="35"/>
      <c r="T71" s="40">
        <f t="shared" si="3"/>
        <v>0</v>
      </c>
    </row>
    <row r="72" spans="1:20" s="3" customFormat="1" ht="24.95" hidden="1" customHeight="1">
      <c r="A72" s="3" t="s">
        <v>594</v>
      </c>
      <c r="B72" s="3" t="s">
        <v>679</v>
      </c>
      <c r="D72" s="26" t="s">
        <v>595</v>
      </c>
      <c r="E72" s="27">
        <v>0</v>
      </c>
      <c r="F72" s="27">
        <v>0</v>
      </c>
      <c r="G72" s="27">
        <v>0</v>
      </c>
      <c r="H72" s="27">
        <v>0</v>
      </c>
      <c r="I72" s="27">
        <v>0</v>
      </c>
      <c r="J72" s="27">
        <v>0</v>
      </c>
      <c r="K72" s="27">
        <v>0</v>
      </c>
      <c r="L72" s="27">
        <v>0</v>
      </c>
      <c r="M72" s="27">
        <v>0</v>
      </c>
      <c r="N72" s="27">
        <v>0</v>
      </c>
      <c r="O72" s="27">
        <v>0</v>
      </c>
      <c r="P72" s="27">
        <v>0</v>
      </c>
      <c r="Q72" s="3">
        <f t="shared" si="2"/>
        <v>0</v>
      </c>
      <c r="R72" s="3">
        <f>Q72/'F&amp;B Summary'!$Q$148</f>
        <v>0</v>
      </c>
      <c r="S72" s="35"/>
      <c r="T72" s="40">
        <f t="shared" si="3"/>
        <v>0</v>
      </c>
    </row>
    <row r="73" spans="1:20" s="3" customFormat="1" ht="24.95" customHeight="1">
      <c r="A73" s="3" t="s">
        <v>596</v>
      </c>
      <c r="B73" s="3" t="s">
        <v>679</v>
      </c>
      <c r="D73" s="26" t="s">
        <v>597</v>
      </c>
      <c r="E73" s="27"/>
      <c r="F73" s="27"/>
      <c r="G73" s="27"/>
      <c r="H73" s="27"/>
      <c r="I73" s="27"/>
      <c r="J73" s="27"/>
      <c r="K73" s="27"/>
      <c r="L73" s="27"/>
      <c r="M73" s="27"/>
      <c r="N73" s="27"/>
      <c r="O73" s="27"/>
      <c r="P73" s="27"/>
      <c r="Q73" s="3">
        <f t="shared" si="2"/>
        <v>0</v>
      </c>
      <c r="R73" s="3">
        <f>Q73/'F&amp;B Summary'!$Q$148</f>
        <v>0</v>
      </c>
      <c r="S73" s="35"/>
      <c r="T73" s="40">
        <f t="shared" si="3"/>
        <v>0</v>
      </c>
    </row>
    <row r="74" spans="1:20" s="3" customFormat="1" ht="24.95" hidden="1" customHeight="1">
      <c r="A74" s="3" t="s">
        <v>598</v>
      </c>
      <c r="B74" s="3" t="s">
        <v>679</v>
      </c>
      <c r="D74" s="26" t="s">
        <v>599</v>
      </c>
      <c r="E74" s="27"/>
      <c r="F74" s="27"/>
      <c r="G74" s="27"/>
      <c r="H74" s="27"/>
      <c r="I74" s="27"/>
      <c r="J74" s="27"/>
      <c r="K74" s="27"/>
      <c r="L74" s="27"/>
      <c r="M74" s="27"/>
      <c r="N74" s="27"/>
      <c r="O74" s="27"/>
      <c r="P74" s="27"/>
      <c r="Q74" s="3">
        <f t="shared" si="2"/>
        <v>0</v>
      </c>
      <c r="R74" s="3">
        <f>Q74/'F&amp;B Summary'!$Q$148</f>
        <v>0</v>
      </c>
      <c r="S74" s="35"/>
      <c r="T74" s="40">
        <f t="shared" si="3"/>
        <v>0</v>
      </c>
    </row>
    <row r="75" spans="1:20" s="3" customFormat="1" ht="24.95" customHeight="1">
      <c r="A75" s="3" t="s">
        <v>600</v>
      </c>
      <c r="B75" s="3" t="s">
        <v>679</v>
      </c>
      <c r="D75" s="26" t="s">
        <v>601</v>
      </c>
      <c r="E75" s="27"/>
      <c r="F75" s="27"/>
      <c r="G75" s="27"/>
      <c r="H75" s="27"/>
      <c r="I75" s="27"/>
      <c r="J75" s="27"/>
      <c r="K75" s="27"/>
      <c r="L75" s="27"/>
      <c r="M75" s="27"/>
      <c r="N75" s="27"/>
      <c r="O75" s="27"/>
      <c r="P75" s="27"/>
      <c r="Q75" s="3">
        <f t="shared" si="2"/>
        <v>0</v>
      </c>
      <c r="R75" s="3">
        <f>Q75/'F&amp;B Summary'!$Q$148</f>
        <v>0</v>
      </c>
      <c r="S75" s="35"/>
      <c r="T75" s="40"/>
    </row>
    <row r="76" spans="1:20" s="3" customFormat="1" ht="24.95" customHeight="1">
      <c r="A76" s="3" t="s">
        <v>602</v>
      </c>
      <c r="B76" s="3" t="s">
        <v>679</v>
      </c>
      <c r="D76" s="26" t="s">
        <v>603</v>
      </c>
      <c r="E76" s="27"/>
      <c r="F76" s="27"/>
      <c r="G76" s="27"/>
      <c r="H76" s="27"/>
      <c r="I76" s="27"/>
      <c r="J76" s="27"/>
      <c r="K76" s="27"/>
      <c r="L76" s="27"/>
      <c r="M76" s="27"/>
      <c r="N76" s="27"/>
      <c r="O76" s="27"/>
      <c r="P76" s="27"/>
      <c r="Q76" s="3">
        <f t="shared" si="2"/>
        <v>0</v>
      </c>
      <c r="R76" s="3">
        <f>Q76/'F&amp;B Summary'!$Q$148</f>
        <v>0</v>
      </c>
      <c r="S76" s="35"/>
      <c r="T76" s="40">
        <f t="shared" ref="T76:T87" si="4">-IF(Q76-S76=0,0,(Q76-S76)/S76)</f>
        <v>0</v>
      </c>
    </row>
    <row r="77" spans="1:20" s="3" customFormat="1" ht="24.95" hidden="1" customHeight="1">
      <c r="A77" s="3" t="s">
        <v>604</v>
      </c>
      <c r="B77" s="3" t="s">
        <v>679</v>
      </c>
      <c r="D77" s="26" t="s">
        <v>605</v>
      </c>
      <c r="E77" s="27"/>
      <c r="F77" s="27"/>
      <c r="G77" s="27"/>
      <c r="H77" s="27"/>
      <c r="I77" s="27"/>
      <c r="J77" s="27"/>
      <c r="K77" s="27"/>
      <c r="L77" s="27"/>
      <c r="M77" s="27"/>
      <c r="N77" s="27"/>
      <c r="O77" s="27"/>
      <c r="P77" s="27"/>
      <c r="Q77" s="3">
        <f t="shared" si="2"/>
        <v>0</v>
      </c>
      <c r="R77" s="3">
        <f>Q77/'F&amp;B Summary'!$Q$148</f>
        <v>0</v>
      </c>
      <c r="S77" s="35"/>
      <c r="T77" s="40">
        <f t="shared" si="4"/>
        <v>0</v>
      </c>
    </row>
    <row r="78" spans="1:20" s="3" customFormat="1" ht="24.95" hidden="1" customHeight="1">
      <c r="A78" s="3" t="s">
        <v>606</v>
      </c>
      <c r="B78" s="3" t="s">
        <v>679</v>
      </c>
      <c r="D78" s="26" t="s">
        <v>607</v>
      </c>
      <c r="E78" s="27"/>
      <c r="F78" s="27"/>
      <c r="G78" s="27"/>
      <c r="H78" s="27"/>
      <c r="I78" s="27"/>
      <c r="J78" s="27"/>
      <c r="K78" s="27"/>
      <c r="L78" s="27"/>
      <c r="M78" s="27"/>
      <c r="N78" s="27"/>
      <c r="O78" s="27"/>
      <c r="P78" s="27"/>
      <c r="Q78" s="3">
        <f t="shared" si="2"/>
        <v>0</v>
      </c>
      <c r="R78" s="3">
        <f>Q78/'F&amp;B Summary'!$Q$148</f>
        <v>0</v>
      </c>
      <c r="S78" s="35"/>
      <c r="T78" s="40">
        <f t="shared" si="4"/>
        <v>0</v>
      </c>
    </row>
    <row r="79" spans="1:20" s="3" customFormat="1" ht="24.95" hidden="1" customHeight="1">
      <c r="A79" s="3" t="s">
        <v>608</v>
      </c>
      <c r="B79" s="3" t="s">
        <v>679</v>
      </c>
      <c r="D79" s="26" t="s">
        <v>609</v>
      </c>
      <c r="E79" s="27"/>
      <c r="F79" s="27"/>
      <c r="G79" s="27"/>
      <c r="H79" s="27"/>
      <c r="I79" s="27"/>
      <c r="J79" s="27"/>
      <c r="K79" s="27"/>
      <c r="L79" s="27"/>
      <c r="M79" s="27"/>
      <c r="N79" s="27"/>
      <c r="O79" s="27"/>
      <c r="P79" s="27"/>
      <c r="Q79" s="3">
        <f t="shared" si="2"/>
        <v>0</v>
      </c>
      <c r="R79" s="3">
        <f>Q79/'F&amp;B Summary'!$Q$148</f>
        <v>0</v>
      </c>
      <c r="S79" s="35"/>
      <c r="T79" s="40">
        <f t="shared" si="4"/>
        <v>0</v>
      </c>
    </row>
    <row r="80" spans="1:20" s="3" customFormat="1" ht="24.95" hidden="1" customHeight="1">
      <c r="A80" s="3" t="s">
        <v>268</v>
      </c>
      <c r="B80" s="3" t="s">
        <v>679</v>
      </c>
      <c r="D80" s="26" t="s">
        <v>610</v>
      </c>
      <c r="E80" s="27"/>
      <c r="F80" s="27"/>
      <c r="G80" s="27"/>
      <c r="H80" s="27"/>
      <c r="I80" s="27"/>
      <c r="J80" s="27"/>
      <c r="K80" s="27"/>
      <c r="L80" s="27"/>
      <c r="M80" s="27"/>
      <c r="N80" s="27"/>
      <c r="O80" s="27"/>
      <c r="P80" s="27"/>
      <c r="Q80" s="3">
        <f t="shared" ref="Q80:Q82" si="5">SUM(E80:P80)</f>
        <v>0</v>
      </c>
      <c r="R80" s="3">
        <f>Q80/'F&amp;B Summary'!$Q$148</f>
        <v>0</v>
      </c>
      <c r="S80" s="35"/>
      <c r="T80" s="40">
        <f t="shared" si="4"/>
        <v>0</v>
      </c>
    </row>
    <row r="81" spans="1:20" s="3" customFormat="1" ht="24.95" hidden="1" customHeight="1">
      <c r="A81" s="3" t="s">
        <v>270</v>
      </c>
      <c r="B81" s="3" t="s">
        <v>679</v>
      </c>
      <c r="D81" s="26" t="s">
        <v>271</v>
      </c>
      <c r="E81" s="27"/>
      <c r="F81" s="27"/>
      <c r="G81" s="27"/>
      <c r="H81" s="27"/>
      <c r="I81" s="27"/>
      <c r="J81" s="27"/>
      <c r="K81" s="27"/>
      <c r="L81" s="27"/>
      <c r="M81" s="27"/>
      <c r="N81" s="27"/>
      <c r="O81" s="27"/>
      <c r="P81" s="27"/>
      <c r="Q81" s="3">
        <f t="shared" si="5"/>
        <v>0</v>
      </c>
      <c r="R81" s="3">
        <f>Q81/'F&amp;B Summary'!$Q$148</f>
        <v>0</v>
      </c>
      <c r="S81" s="35"/>
      <c r="T81" s="40">
        <f t="shared" si="4"/>
        <v>0</v>
      </c>
    </row>
    <row r="82" spans="1:20" s="3" customFormat="1" ht="24.95" customHeight="1">
      <c r="A82" s="3" t="s">
        <v>611</v>
      </c>
      <c r="B82" s="3" t="s">
        <v>679</v>
      </c>
      <c r="D82" s="26" t="s">
        <v>612</v>
      </c>
      <c r="E82" s="27"/>
      <c r="F82" s="27"/>
      <c r="G82" s="27"/>
      <c r="H82" s="27"/>
      <c r="I82" s="27"/>
      <c r="J82" s="27"/>
      <c r="K82" s="27"/>
      <c r="L82" s="27"/>
      <c r="M82" s="27"/>
      <c r="N82" s="27"/>
      <c r="O82" s="27"/>
      <c r="P82" s="27"/>
      <c r="Q82" s="3">
        <f t="shared" si="5"/>
        <v>0</v>
      </c>
      <c r="R82" s="3">
        <f>Q82/'F&amp;B Summary'!$Q$148</f>
        <v>0</v>
      </c>
      <c r="S82" s="35"/>
      <c r="T82" s="40">
        <f t="shared" si="4"/>
        <v>0</v>
      </c>
    </row>
    <row r="83" spans="1:20" s="19" customFormat="1" ht="24.95" customHeight="1">
      <c r="D83" s="21" t="s">
        <v>613</v>
      </c>
      <c r="E83" s="45">
        <f>SUM(E15:E82)</f>
        <v>0</v>
      </c>
      <c r="F83" s="45">
        <f t="shared" ref="F83:P83" si="6">SUM(F15:F82)</f>
        <v>0</v>
      </c>
      <c r="G83" s="45">
        <f t="shared" si="6"/>
        <v>0</v>
      </c>
      <c r="H83" s="45">
        <f t="shared" si="6"/>
        <v>0</v>
      </c>
      <c r="I83" s="45">
        <f t="shared" si="6"/>
        <v>0</v>
      </c>
      <c r="J83" s="45">
        <f t="shared" si="6"/>
        <v>0</v>
      </c>
      <c r="K83" s="45">
        <f t="shared" si="6"/>
        <v>0</v>
      </c>
      <c r="L83" s="45">
        <f t="shared" si="6"/>
        <v>0</v>
      </c>
      <c r="M83" s="45">
        <f t="shared" si="6"/>
        <v>0</v>
      </c>
      <c r="N83" s="45">
        <f t="shared" si="6"/>
        <v>0</v>
      </c>
      <c r="O83" s="45">
        <f t="shared" si="6"/>
        <v>0</v>
      </c>
      <c r="P83" s="45">
        <f t="shared" si="6"/>
        <v>0</v>
      </c>
      <c r="Q83" s="45">
        <f t="shared" ref="Q83" si="7">SUM(Q15:Q82)</f>
        <v>0</v>
      </c>
      <c r="R83" s="3">
        <f>Q83/'F&amp;B Summary'!$Q$148</f>
        <v>0</v>
      </c>
      <c r="S83" s="35"/>
      <c r="T83" s="40">
        <f t="shared" si="4"/>
        <v>0</v>
      </c>
    </row>
    <row r="84" spans="1:20" s="19" customFormat="1" ht="24.95" customHeight="1">
      <c r="D84" s="21" t="s">
        <v>614</v>
      </c>
      <c r="E84" s="45">
        <f t="shared" ref="E84:Q84" si="8">+E12+E83</f>
        <v>0</v>
      </c>
      <c r="F84" s="45">
        <f t="shared" si="8"/>
        <v>0</v>
      </c>
      <c r="G84" s="45">
        <f t="shared" si="8"/>
        <v>0</v>
      </c>
      <c r="H84" s="45">
        <f t="shared" si="8"/>
        <v>0</v>
      </c>
      <c r="I84" s="45">
        <f t="shared" si="8"/>
        <v>0</v>
      </c>
      <c r="J84" s="45">
        <f t="shared" si="8"/>
        <v>0</v>
      </c>
      <c r="K84" s="45">
        <f t="shared" si="8"/>
        <v>0</v>
      </c>
      <c r="L84" s="45">
        <f t="shared" si="8"/>
        <v>0</v>
      </c>
      <c r="M84" s="45">
        <f t="shared" si="8"/>
        <v>0</v>
      </c>
      <c r="N84" s="45">
        <f t="shared" si="8"/>
        <v>0</v>
      </c>
      <c r="O84" s="45">
        <f t="shared" si="8"/>
        <v>0</v>
      </c>
      <c r="P84" s="45">
        <f t="shared" si="8"/>
        <v>0</v>
      </c>
      <c r="Q84" s="45">
        <f t="shared" si="8"/>
        <v>0</v>
      </c>
      <c r="R84" s="3">
        <f>Q84/'F&amp;B Summary'!$Q$148</f>
        <v>0</v>
      </c>
      <c r="S84" s="35"/>
      <c r="T84" s="40">
        <f t="shared" si="4"/>
        <v>0</v>
      </c>
    </row>
    <row r="85" spans="1:20" s="3" customFormat="1" ht="24.95" hidden="1" customHeight="1">
      <c r="A85" s="84" t="s">
        <v>615</v>
      </c>
      <c r="B85" s="3" t="s">
        <v>616</v>
      </c>
      <c r="D85" s="42" t="s">
        <v>351</v>
      </c>
      <c r="E85" s="74">
        <v>877418.59</v>
      </c>
      <c r="F85" s="74">
        <v>900857.82</v>
      </c>
      <c r="G85" s="74">
        <v>1104096.8</v>
      </c>
      <c r="H85" s="74">
        <v>1309327.04</v>
      </c>
      <c r="I85" s="74">
        <v>1209091.8899999999</v>
      </c>
      <c r="J85" s="74">
        <v>1090347.06</v>
      </c>
      <c r="K85" s="74">
        <v>1162046.0900000001</v>
      </c>
      <c r="L85" s="74">
        <v>1267208.1299999999</v>
      </c>
      <c r="M85" s="74">
        <f>+M84</f>
        <v>0</v>
      </c>
      <c r="N85" s="74">
        <f>+N84</f>
        <v>0</v>
      </c>
      <c r="O85" s="74">
        <f>+O84</f>
        <v>0</v>
      </c>
      <c r="P85" s="74">
        <f>+P84</f>
        <v>0</v>
      </c>
      <c r="Q85" s="3">
        <f>+Q84</f>
        <v>0</v>
      </c>
      <c r="S85" s="35"/>
      <c r="T85" s="40">
        <f t="shared" si="4"/>
        <v>0</v>
      </c>
    </row>
    <row r="86" spans="1:20" s="3" customFormat="1" ht="24.95" customHeight="1">
      <c r="A86" s="84" t="s">
        <v>468</v>
      </c>
      <c r="B86" s="3" t="s">
        <v>679</v>
      </c>
      <c r="D86" s="42" t="s">
        <v>617</v>
      </c>
      <c r="E86" s="27">
        <f t="shared" ref="E86:P86" si="9">-E84</f>
        <v>0</v>
      </c>
      <c r="F86" s="27">
        <f t="shared" si="9"/>
        <v>0</v>
      </c>
      <c r="G86" s="27">
        <f t="shared" si="9"/>
        <v>0</v>
      </c>
      <c r="H86" s="27">
        <f t="shared" si="9"/>
        <v>0</v>
      </c>
      <c r="I86" s="27">
        <f t="shared" si="9"/>
        <v>0</v>
      </c>
      <c r="J86" s="27">
        <f t="shared" si="9"/>
        <v>0</v>
      </c>
      <c r="K86" s="27">
        <f t="shared" si="9"/>
        <v>0</v>
      </c>
      <c r="L86" s="27">
        <f t="shared" si="9"/>
        <v>0</v>
      </c>
      <c r="M86" s="27">
        <f t="shared" si="9"/>
        <v>0</v>
      </c>
      <c r="N86" s="27">
        <f t="shared" si="9"/>
        <v>0</v>
      </c>
      <c r="O86" s="27">
        <f t="shared" si="9"/>
        <v>0</v>
      </c>
      <c r="P86" s="27">
        <f t="shared" si="9"/>
        <v>0</v>
      </c>
      <c r="Q86" s="3">
        <f>SUM(E86:P86)</f>
        <v>0</v>
      </c>
      <c r="S86" s="35"/>
      <c r="T86" s="40">
        <f t="shared" si="4"/>
        <v>0</v>
      </c>
    </row>
    <row r="87" spans="1:20" s="3" customFormat="1" ht="24.95" customHeight="1">
      <c r="D87" s="42" t="s">
        <v>351</v>
      </c>
      <c r="E87" s="74" t="e">
        <f>+E86+'Main Kitchen'!E86+STW!E86+'Lobby Lounge'!E107+'ADD-Mhub lounge'!#REF!+'Royal Court'!E107+'MP Cafe'!E107+'MP Dining'!E107+'Room Service'!E107+Banquet!E108+Minibar!E95</f>
        <v>#REF!</v>
      </c>
      <c r="F87" s="74" t="e">
        <f>+F86+'Main Kitchen'!F86+STW!F86+'Lobby Lounge'!F107+'ADD-Mhub lounge'!#REF!+'Royal Court'!F107+'MP Cafe'!F107+'MP Dining'!F107+'Room Service'!F107+Banquet!F108+Minibar!F95</f>
        <v>#REF!</v>
      </c>
      <c r="G87" s="74" t="e">
        <f>+G86+'Main Kitchen'!G86+STW!G86+'Lobby Lounge'!G107+'ADD-Mhub lounge'!#REF!+'Royal Court'!G107+'MP Cafe'!G107+'MP Dining'!G107+'Room Service'!G107+Banquet!G108+Minibar!G95</f>
        <v>#REF!</v>
      </c>
      <c r="H87" s="74" t="e">
        <f>+H86+'Main Kitchen'!H86+STW!H86+'Lobby Lounge'!H107+'ADD-Mhub lounge'!#REF!+'Royal Court'!H107+'MP Cafe'!H107+'MP Dining'!H107+'Room Service'!H107+Banquet!H108+Minibar!H95</f>
        <v>#REF!</v>
      </c>
      <c r="I87" s="74" t="e">
        <f>+I86+'Main Kitchen'!I86+STW!I86+'Lobby Lounge'!I107+'ADD-Mhub lounge'!#REF!+'Royal Court'!I107+'MP Cafe'!I107+'MP Dining'!I107+'Room Service'!I107+Banquet!I108+Minibar!I95</f>
        <v>#REF!</v>
      </c>
      <c r="J87" s="74" t="e">
        <f>+J86+'Main Kitchen'!J86+STW!J86+'Lobby Lounge'!J107+'ADD-Mhub lounge'!#REF!+'Royal Court'!J107+'MP Cafe'!J107+'MP Dining'!J107+'Room Service'!J107+Banquet!J108+Minibar!J95</f>
        <v>#REF!</v>
      </c>
      <c r="K87" s="74" t="e">
        <f>+K86+'Main Kitchen'!K86+STW!K86+'Lobby Lounge'!K107+'ADD-Mhub lounge'!#REF!+'Royal Court'!K107+'MP Cafe'!K107+'MP Dining'!K107+'Room Service'!K107+Banquet!K108+Minibar!K95</f>
        <v>#REF!</v>
      </c>
      <c r="L87" s="74" t="e">
        <f>+L86+'Main Kitchen'!L86+STW!L86+'Lobby Lounge'!L107+'ADD-Mhub lounge'!#REF!+'Royal Court'!L107+'MP Cafe'!L107+'MP Dining'!L107+'Room Service'!L107+Banquet!L108+Minibar!L95</f>
        <v>#REF!</v>
      </c>
      <c r="M87" s="74" t="e">
        <f>+M86+'Main Kitchen'!M86+STW!M86+'Lobby Lounge'!M107+'ADD-Mhub lounge'!#REF!+'Royal Court'!M107+'MP Cafe'!M107+'MP Dining'!M107+'Room Service'!M107+Banquet!M108+Minibar!M95</f>
        <v>#REF!</v>
      </c>
      <c r="N87" s="74" t="e">
        <f>+N86+'Main Kitchen'!N86+STW!N86+'Lobby Lounge'!N107+'ADD-Mhub lounge'!#REF!+'Royal Court'!N107+'MP Cafe'!N107+'MP Dining'!N107+'Room Service'!N107+Banquet!N108+Minibar!N95</f>
        <v>#REF!</v>
      </c>
      <c r="O87" s="74" t="e">
        <f>+O86+'Main Kitchen'!O86+STW!O86+'Lobby Lounge'!O107+'ADD-Mhub lounge'!#REF!+'Royal Court'!O107+'MP Cafe'!O107+'MP Dining'!O107+'Room Service'!O107+Banquet!O108+Minibar!O95</f>
        <v>#REF!</v>
      </c>
      <c r="P87" s="74" t="e">
        <f>+P86+'Main Kitchen'!P86+STW!P86+'Lobby Lounge'!P107+'ADD-Mhub lounge'!#REF!+'Royal Court'!P107+'MP Cafe'!P107+'MP Dining'!P107+'Room Service'!P107+Banquet!P108+Minibar!P95</f>
        <v>#REF!</v>
      </c>
      <c r="Q87" s="74">
        <f>+Q86+'Main Kitchen'!Q86+STW!Q86+'Lobby Lounge'!Q107+'ADD-Mhub lounge'!Q107+'Royal Court'!Q107+'MP Cafe'!Q107+'MP Dining'!Q107+'Room Service'!Q107+Banquet!Q108+Minibar!Q95</f>
        <v>-6.9849193096160889E-10</v>
      </c>
      <c r="S87" s="35"/>
      <c r="T87" s="40" t="e">
        <f t="shared" si="4"/>
        <v>#DIV/0!</v>
      </c>
    </row>
    <row r="88" spans="1:20" s="3" customFormat="1" ht="24.95" customHeight="1">
      <c r="B88" s="51"/>
      <c r="D88" s="19" t="s">
        <v>618</v>
      </c>
      <c r="E88" s="48"/>
      <c r="F88" s="48"/>
      <c r="G88" s="48"/>
      <c r="H88" s="48"/>
      <c r="I88" s="48"/>
      <c r="S88" s="35"/>
      <c r="T88" s="40"/>
    </row>
    <row r="89" spans="1:20" s="3" customFormat="1" ht="24.95" customHeight="1">
      <c r="B89" s="51"/>
      <c r="D89" s="19" t="s">
        <v>444</v>
      </c>
      <c r="E89" s="48"/>
      <c r="F89" s="48"/>
      <c r="G89" s="48"/>
      <c r="H89" s="48"/>
      <c r="I89" s="48"/>
      <c r="S89" s="35"/>
      <c r="T89" s="40"/>
    </row>
    <row r="90" spans="1:20" s="3" customFormat="1" ht="24.95" customHeight="1">
      <c r="A90" s="270" t="s">
        <v>295</v>
      </c>
      <c r="B90" s="3" t="s">
        <v>679</v>
      </c>
      <c r="D90" s="26" t="s">
        <v>297</v>
      </c>
      <c r="E90" s="27"/>
      <c r="F90" s="27"/>
      <c r="G90" s="27"/>
      <c r="H90" s="27"/>
      <c r="I90" s="27"/>
      <c r="J90" s="27"/>
      <c r="K90" s="27"/>
      <c r="L90" s="27"/>
      <c r="M90" s="27"/>
      <c r="N90" s="27"/>
      <c r="O90" s="27"/>
      <c r="P90" s="27"/>
      <c r="Q90" s="3">
        <f>SUM(E90:P90)</f>
        <v>0</v>
      </c>
      <c r="R90" s="3">
        <f>Q90/'F&amp;B Summary'!$Q$148</f>
        <v>0</v>
      </c>
      <c r="S90" s="35"/>
      <c r="T90" s="40">
        <f>-IF(Q90-S90=0,0,(Q90-S90)/S90)</f>
        <v>0</v>
      </c>
    </row>
    <row r="91" spans="1:20" s="3" customFormat="1" ht="24.95" customHeight="1">
      <c r="A91" s="50" t="s">
        <v>298</v>
      </c>
      <c r="B91" s="3" t="s">
        <v>679</v>
      </c>
      <c r="D91" s="26" t="s">
        <v>447</v>
      </c>
      <c r="E91" s="27"/>
      <c r="F91" s="27"/>
      <c r="G91" s="27"/>
      <c r="H91" s="27"/>
      <c r="I91" s="27"/>
      <c r="J91" s="27"/>
      <c r="K91" s="27"/>
      <c r="L91" s="27"/>
      <c r="M91" s="27"/>
      <c r="N91" s="27"/>
      <c r="O91" s="27"/>
      <c r="P91" s="27"/>
      <c r="Q91" s="3">
        <f>SUM(E91:P91)</f>
        <v>0</v>
      </c>
      <c r="R91" s="3">
        <f>Q91/'F&amp;B Summary'!$Q$148</f>
        <v>0</v>
      </c>
      <c r="S91" s="35"/>
      <c r="T91" s="40">
        <f>-IF(Q91-S91=0,0,(Q91-S91)/S91)</f>
        <v>0</v>
      </c>
    </row>
    <row r="92" spans="1:20" s="3" customFormat="1" ht="24.95" customHeight="1">
      <c r="B92" s="51"/>
      <c r="D92" s="21" t="s">
        <v>450</v>
      </c>
      <c r="E92" s="52">
        <f>SUM(E90:E91)</f>
        <v>0</v>
      </c>
      <c r="F92" s="52">
        <f t="shared" ref="F92:Q92" si="10">SUM(F90:F91)</f>
        <v>0</v>
      </c>
      <c r="G92" s="52">
        <f t="shared" si="10"/>
        <v>0</v>
      </c>
      <c r="H92" s="52">
        <f t="shared" si="10"/>
        <v>0</v>
      </c>
      <c r="I92" s="52">
        <f t="shared" si="10"/>
        <v>0</v>
      </c>
      <c r="J92" s="52">
        <f t="shared" si="10"/>
        <v>0</v>
      </c>
      <c r="K92" s="52">
        <f t="shared" si="10"/>
        <v>0</v>
      </c>
      <c r="L92" s="52">
        <f t="shared" si="10"/>
        <v>0</v>
      </c>
      <c r="M92" s="52">
        <f t="shared" si="10"/>
        <v>0</v>
      </c>
      <c r="N92" s="52">
        <f t="shared" si="10"/>
        <v>0</v>
      </c>
      <c r="O92" s="52">
        <f t="shared" si="10"/>
        <v>0</v>
      </c>
      <c r="P92" s="52">
        <f t="shared" si="10"/>
        <v>0</v>
      </c>
      <c r="Q92" s="52">
        <f t="shared" si="10"/>
        <v>0</v>
      </c>
      <c r="R92" s="3">
        <f>Q92/'F&amp;B Summary'!$Q$148</f>
        <v>0</v>
      </c>
      <c r="S92" s="35"/>
      <c r="T92" s="40">
        <f>-IF(Q92-S92=0,0,(Q92-S92)/S92)</f>
        <v>0</v>
      </c>
    </row>
    <row r="93" spans="1:20" s="3" customFormat="1" ht="24.95" customHeight="1">
      <c r="B93" s="51"/>
      <c r="E93" s="53"/>
      <c r="F93" s="53"/>
      <c r="G93" s="53"/>
      <c r="H93" s="53"/>
      <c r="I93" s="53"/>
      <c r="S93" s="35"/>
      <c r="T93" s="40"/>
    </row>
    <row r="94" spans="1:20" s="3" customFormat="1" ht="24.95" customHeight="1">
      <c r="A94" s="50" t="s">
        <v>619</v>
      </c>
      <c r="B94" s="3" t="s">
        <v>679</v>
      </c>
      <c r="D94" s="26" t="s">
        <v>307</v>
      </c>
      <c r="E94" s="27"/>
      <c r="F94" s="27"/>
      <c r="G94" s="27"/>
      <c r="H94" s="27"/>
      <c r="I94" s="27"/>
      <c r="J94" s="27"/>
      <c r="K94" s="27"/>
      <c r="L94" s="27"/>
      <c r="M94" s="27"/>
      <c r="N94" s="27"/>
      <c r="O94" s="27"/>
      <c r="P94" s="27"/>
      <c r="Q94" s="3">
        <f>SUM(E94:P94)</f>
        <v>0</v>
      </c>
      <c r="R94" s="3">
        <f>Q94/'F&amp;B Summary'!$Q$148</f>
        <v>0</v>
      </c>
      <c r="S94" s="35"/>
      <c r="T94" s="40">
        <f t="shared" ref="T94:T100" si="11">-IF(Q94-S94=0,0,(Q94-S94)/S94)</f>
        <v>0</v>
      </c>
    </row>
    <row r="95" spans="1:20" s="3" customFormat="1" ht="24.95" customHeight="1">
      <c r="A95" s="50" t="s">
        <v>308</v>
      </c>
      <c r="B95" s="3" t="s">
        <v>679</v>
      </c>
      <c r="D95" s="26" t="s">
        <v>309</v>
      </c>
      <c r="E95" s="27"/>
      <c r="F95" s="27"/>
      <c r="G95" s="27"/>
      <c r="H95" s="27"/>
      <c r="I95" s="27"/>
      <c r="J95" s="27"/>
      <c r="K95" s="27"/>
      <c r="L95" s="27"/>
      <c r="M95" s="27"/>
      <c r="N95" s="27"/>
      <c r="O95" s="27"/>
      <c r="P95" s="27"/>
      <c r="Q95" s="3">
        <f t="shared" ref="Q95:Q99" si="12">SUM(E95:P95)</f>
        <v>0</v>
      </c>
      <c r="R95" s="3">
        <f>Q95/'F&amp;B Summary'!$Q$148</f>
        <v>0</v>
      </c>
      <c r="S95" s="35"/>
      <c r="T95" s="40">
        <f t="shared" si="11"/>
        <v>0</v>
      </c>
    </row>
    <row r="96" spans="1:20" s="3" customFormat="1" ht="24.95" customHeight="1">
      <c r="A96" s="50" t="s">
        <v>620</v>
      </c>
      <c r="B96" s="3" t="s">
        <v>679</v>
      </c>
      <c r="D96" s="26" t="s">
        <v>311</v>
      </c>
      <c r="E96" s="27"/>
      <c r="F96" s="27"/>
      <c r="G96" s="27"/>
      <c r="H96" s="27"/>
      <c r="I96" s="27"/>
      <c r="J96" s="27"/>
      <c r="K96" s="27"/>
      <c r="L96" s="27"/>
      <c r="M96" s="27"/>
      <c r="N96" s="27"/>
      <c r="O96" s="27"/>
      <c r="P96" s="27"/>
      <c r="Q96" s="3">
        <f t="shared" si="12"/>
        <v>0</v>
      </c>
      <c r="R96" s="3">
        <f>Q96/'F&amp;B Summary'!$Q$148</f>
        <v>0</v>
      </c>
      <c r="S96" s="35"/>
      <c r="T96" s="40">
        <f t="shared" si="11"/>
        <v>0</v>
      </c>
    </row>
    <row r="97" spans="1:20" s="3" customFormat="1" ht="24.95" customHeight="1">
      <c r="A97" s="50" t="s">
        <v>621</v>
      </c>
      <c r="B97" s="3" t="s">
        <v>679</v>
      </c>
      <c r="D97" s="26" t="s">
        <v>313</v>
      </c>
      <c r="E97" s="143"/>
      <c r="F97" s="27"/>
      <c r="G97" s="27"/>
      <c r="H97" s="27"/>
      <c r="I97" s="27"/>
      <c r="J97" s="27"/>
      <c r="K97" s="27"/>
      <c r="L97" s="27"/>
      <c r="M97" s="27"/>
      <c r="N97" s="27"/>
      <c r="O97" s="27"/>
      <c r="P97" s="27"/>
      <c r="Q97" s="3">
        <f t="shared" si="12"/>
        <v>0</v>
      </c>
      <c r="R97" s="3">
        <f>Q97/'F&amp;B Summary'!$Q$148</f>
        <v>0</v>
      </c>
      <c r="S97" s="35"/>
      <c r="T97" s="40">
        <f t="shared" si="11"/>
        <v>0</v>
      </c>
    </row>
    <row r="98" spans="1:20" s="3" customFormat="1" ht="24.95" customHeight="1">
      <c r="A98" s="50" t="s">
        <v>622</v>
      </c>
      <c r="B98" s="3" t="s">
        <v>679</v>
      </c>
      <c r="D98" s="26" t="s">
        <v>315</v>
      </c>
      <c r="E98" s="27"/>
      <c r="F98" s="27"/>
      <c r="G98" s="27"/>
      <c r="H98" s="27"/>
      <c r="I98" s="27"/>
      <c r="J98" s="27"/>
      <c r="K98" s="27"/>
      <c r="L98" s="27"/>
      <c r="M98" s="27"/>
      <c r="N98" s="27"/>
      <c r="O98" s="27"/>
      <c r="P98" s="27"/>
      <c r="Q98" s="3">
        <f t="shared" si="12"/>
        <v>0</v>
      </c>
      <c r="R98" s="3">
        <f>Q98/'F&amp;B Summary'!$Q$148</f>
        <v>0</v>
      </c>
      <c r="S98" s="35"/>
      <c r="T98" s="40">
        <f t="shared" si="11"/>
        <v>0</v>
      </c>
    </row>
    <row r="99" spans="1:20" s="3" customFormat="1" ht="24.95" hidden="1" customHeight="1">
      <c r="A99" s="50" t="s">
        <v>623</v>
      </c>
      <c r="B99" s="3" t="s">
        <v>679</v>
      </c>
      <c r="D99" s="26" t="s">
        <v>624</v>
      </c>
      <c r="E99" s="27">
        <v>0</v>
      </c>
      <c r="F99" s="27">
        <v>0</v>
      </c>
      <c r="G99" s="27">
        <v>0</v>
      </c>
      <c r="H99" s="27">
        <v>0</v>
      </c>
      <c r="I99" s="27">
        <v>0</v>
      </c>
      <c r="J99" s="27">
        <v>0</v>
      </c>
      <c r="K99" s="27">
        <v>0</v>
      </c>
      <c r="L99" s="27">
        <v>0</v>
      </c>
      <c r="M99" s="27">
        <v>0</v>
      </c>
      <c r="N99" s="27">
        <v>0</v>
      </c>
      <c r="O99" s="27">
        <v>0</v>
      </c>
      <c r="P99" s="27">
        <v>0</v>
      </c>
      <c r="Q99" s="3">
        <f t="shared" si="12"/>
        <v>0</v>
      </c>
      <c r="R99" s="3">
        <f>Q99/'F&amp;B Summary'!$Q$148</f>
        <v>0</v>
      </c>
      <c r="S99" s="35"/>
      <c r="T99" s="40">
        <f t="shared" si="11"/>
        <v>0</v>
      </c>
    </row>
    <row r="100" spans="1:20" s="19" customFormat="1" ht="24.95" customHeight="1">
      <c r="A100" s="54"/>
      <c r="B100" s="51"/>
      <c r="D100" s="19" t="s">
        <v>316</v>
      </c>
      <c r="E100" s="52">
        <f>SUM(E94:E99)</f>
        <v>0</v>
      </c>
      <c r="F100" s="52">
        <f t="shared" ref="F100:P100" si="13">SUM(F94:F99)</f>
        <v>0</v>
      </c>
      <c r="G100" s="52">
        <f t="shared" si="13"/>
        <v>0</v>
      </c>
      <c r="H100" s="52">
        <f t="shared" si="13"/>
        <v>0</v>
      </c>
      <c r="I100" s="52">
        <f t="shared" si="13"/>
        <v>0</v>
      </c>
      <c r="J100" s="52">
        <f t="shared" si="13"/>
        <v>0</v>
      </c>
      <c r="K100" s="52">
        <f t="shared" si="13"/>
        <v>0</v>
      </c>
      <c r="L100" s="52">
        <f t="shared" si="13"/>
        <v>0</v>
      </c>
      <c r="M100" s="52">
        <f t="shared" si="13"/>
        <v>0</v>
      </c>
      <c r="N100" s="52">
        <f t="shared" si="13"/>
        <v>0</v>
      </c>
      <c r="O100" s="52">
        <f t="shared" si="13"/>
        <v>0</v>
      </c>
      <c r="P100" s="52">
        <f t="shared" si="13"/>
        <v>0</v>
      </c>
      <c r="Q100" s="52">
        <f t="shared" ref="Q100" si="14">SUM(Q94:Q99)</f>
        <v>0</v>
      </c>
      <c r="R100" s="3">
        <f>Q100/'F&amp;B Summary'!$Q$148</f>
        <v>0</v>
      </c>
      <c r="S100" s="35"/>
      <c r="T100" s="40">
        <f t="shared" si="11"/>
        <v>0</v>
      </c>
    </row>
    <row r="101" spans="1:20" s="3" customFormat="1" ht="24.95" customHeight="1">
      <c r="A101" s="50"/>
      <c r="D101" s="19"/>
      <c r="E101" s="53"/>
      <c r="F101" s="53"/>
      <c r="G101" s="53"/>
      <c r="H101" s="53"/>
      <c r="I101" s="53"/>
      <c r="S101" s="35"/>
      <c r="T101" s="40"/>
    </row>
    <row r="102" spans="1:20" s="3" customFormat="1" ht="24.95" customHeight="1">
      <c r="A102" s="271" t="s">
        <v>625</v>
      </c>
      <c r="B102" s="3" t="s">
        <v>679</v>
      </c>
      <c r="D102" s="26" t="s">
        <v>318</v>
      </c>
      <c r="E102" s="27"/>
      <c r="F102" s="27"/>
      <c r="G102" s="27"/>
      <c r="H102" s="27"/>
      <c r="I102" s="27"/>
      <c r="J102" s="27"/>
      <c r="K102" s="27"/>
      <c r="L102" s="27"/>
      <c r="M102" s="27"/>
      <c r="N102" s="27"/>
      <c r="O102" s="27"/>
      <c r="P102" s="27"/>
      <c r="Q102" s="3">
        <f>SUM(E102:P102)</f>
        <v>0</v>
      </c>
      <c r="R102" s="3">
        <f>Q102/'F&amp;B Summary'!$Q$148</f>
        <v>0</v>
      </c>
      <c r="S102" s="35"/>
      <c r="T102" s="40">
        <f t="shared" ref="T102:T110" si="15">-IF(Q102-S102=0,0,(Q102-S102)/S102)</f>
        <v>0</v>
      </c>
    </row>
    <row r="103" spans="1:20" s="3" customFormat="1" ht="24.95" customHeight="1">
      <c r="A103" s="271" t="s">
        <v>626</v>
      </c>
      <c r="B103" s="3" t="s">
        <v>679</v>
      </c>
      <c r="D103" s="26" t="s">
        <v>320</v>
      </c>
      <c r="E103" s="27"/>
      <c r="F103" s="27"/>
      <c r="G103" s="27"/>
      <c r="H103" s="27"/>
      <c r="I103" s="27"/>
      <c r="J103" s="27"/>
      <c r="K103" s="27"/>
      <c r="L103" s="27"/>
      <c r="M103" s="27"/>
      <c r="N103" s="27"/>
      <c r="O103" s="27"/>
      <c r="P103" s="27"/>
      <c r="Q103" s="3">
        <f t="shared" ref="Q103:Q109" si="16">SUM(E103:P103)</f>
        <v>0</v>
      </c>
      <c r="R103" s="3">
        <f>Q103/'F&amp;B Summary'!$Q$148</f>
        <v>0</v>
      </c>
      <c r="S103" s="35"/>
      <c r="T103" s="40">
        <f t="shared" si="15"/>
        <v>0</v>
      </c>
    </row>
    <row r="104" spans="1:20" s="3" customFormat="1" ht="24.95" customHeight="1">
      <c r="A104" s="271" t="s">
        <v>627</v>
      </c>
      <c r="B104" s="3" t="s">
        <v>679</v>
      </c>
      <c r="D104" s="26" t="s">
        <v>322</v>
      </c>
      <c r="E104" s="27"/>
      <c r="F104" s="27"/>
      <c r="G104" s="27"/>
      <c r="H104" s="27"/>
      <c r="I104" s="27"/>
      <c r="J104" s="27"/>
      <c r="K104" s="27"/>
      <c r="L104" s="27"/>
      <c r="M104" s="27"/>
      <c r="N104" s="27"/>
      <c r="O104" s="27"/>
      <c r="P104" s="27"/>
      <c r="Q104" s="3">
        <f t="shared" si="16"/>
        <v>0</v>
      </c>
      <c r="R104" s="3">
        <f>Q104/'F&amp;B Summary'!$Q$148</f>
        <v>0</v>
      </c>
      <c r="S104" s="35"/>
      <c r="T104" s="40">
        <f t="shared" si="15"/>
        <v>0</v>
      </c>
    </row>
    <row r="105" spans="1:20" s="3" customFormat="1" ht="24.95" customHeight="1">
      <c r="A105" s="271" t="s">
        <v>628</v>
      </c>
      <c r="B105" s="3" t="s">
        <v>679</v>
      </c>
      <c r="D105" s="26" t="s">
        <v>324</v>
      </c>
      <c r="E105" s="27"/>
      <c r="F105" s="27"/>
      <c r="G105" s="27"/>
      <c r="H105" s="27"/>
      <c r="I105" s="27"/>
      <c r="J105" s="27"/>
      <c r="K105" s="27"/>
      <c r="L105" s="27"/>
      <c r="M105" s="27"/>
      <c r="N105" s="27"/>
      <c r="O105" s="27"/>
      <c r="P105" s="27"/>
      <c r="Q105" s="3">
        <f t="shared" si="16"/>
        <v>0</v>
      </c>
      <c r="R105" s="3">
        <f>Q105/'F&amp;B Summary'!$Q$148</f>
        <v>0</v>
      </c>
      <c r="S105" s="35"/>
      <c r="T105" s="40">
        <f t="shared" si="15"/>
        <v>0</v>
      </c>
    </row>
    <row r="106" spans="1:20" s="3" customFormat="1" ht="24.95" customHeight="1">
      <c r="A106" s="271" t="s">
        <v>629</v>
      </c>
      <c r="B106" s="3" t="s">
        <v>679</v>
      </c>
      <c r="D106" s="26" t="s">
        <v>326</v>
      </c>
      <c r="E106" s="27"/>
      <c r="F106" s="27"/>
      <c r="G106" s="27"/>
      <c r="H106" s="27"/>
      <c r="I106" s="27"/>
      <c r="J106" s="27"/>
      <c r="K106" s="27"/>
      <c r="L106" s="27"/>
      <c r="M106" s="27"/>
      <c r="N106" s="27"/>
      <c r="O106" s="27"/>
      <c r="P106" s="27"/>
      <c r="Q106" s="3">
        <f t="shared" si="16"/>
        <v>0</v>
      </c>
      <c r="R106" s="3">
        <f>Q106/'F&amp;B Summary'!$Q$148</f>
        <v>0</v>
      </c>
      <c r="S106" s="35"/>
      <c r="T106" s="40">
        <f t="shared" si="15"/>
        <v>0</v>
      </c>
    </row>
    <row r="107" spans="1:20" s="3" customFormat="1" ht="24.95" customHeight="1">
      <c r="A107" s="271" t="s">
        <v>630</v>
      </c>
      <c r="B107" s="3" t="s">
        <v>679</v>
      </c>
      <c r="D107" s="26" t="s">
        <v>328</v>
      </c>
      <c r="E107" s="27"/>
      <c r="F107" s="27"/>
      <c r="G107" s="27"/>
      <c r="H107" s="27"/>
      <c r="I107" s="27"/>
      <c r="J107" s="27"/>
      <c r="K107" s="27"/>
      <c r="L107" s="27"/>
      <c r="M107" s="27"/>
      <c r="N107" s="27"/>
      <c r="O107" s="27"/>
      <c r="P107" s="27"/>
      <c r="Q107" s="3">
        <f t="shared" si="16"/>
        <v>0</v>
      </c>
      <c r="R107" s="3">
        <f>Q107/'F&amp;B Summary'!$Q$148</f>
        <v>0</v>
      </c>
      <c r="S107" s="35"/>
      <c r="T107" s="40">
        <f t="shared" si="15"/>
        <v>0</v>
      </c>
    </row>
    <row r="108" spans="1:20" s="3" customFormat="1" ht="24.95" customHeight="1">
      <c r="A108" s="271" t="s">
        <v>631</v>
      </c>
      <c r="B108" s="3" t="s">
        <v>679</v>
      </c>
      <c r="D108" s="26" t="s">
        <v>330</v>
      </c>
      <c r="E108" s="27"/>
      <c r="F108" s="27"/>
      <c r="G108" s="27"/>
      <c r="H108" s="27"/>
      <c r="I108" s="27"/>
      <c r="J108" s="27"/>
      <c r="K108" s="27"/>
      <c r="L108" s="27"/>
      <c r="M108" s="27"/>
      <c r="N108" s="27"/>
      <c r="O108" s="27"/>
      <c r="P108" s="27"/>
      <c r="Q108" s="3">
        <f t="shared" si="16"/>
        <v>0</v>
      </c>
      <c r="R108" s="3">
        <f>Q108/'F&amp;B Summary'!$Q$148</f>
        <v>0</v>
      </c>
      <c r="S108" s="35"/>
      <c r="T108" s="40">
        <f t="shared" si="15"/>
        <v>0</v>
      </c>
    </row>
    <row r="109" spans="1:20" s="3" customFormat="1" ht="24.95" customHeight="1">
      <c r="A109" s="271" t="s">
        <v>632</v>
      </c>
      <c r="B109" s="3" t="s">
        <v>679</v>
      </c>
      <c r="D109" s="26" t="s">
        <v>332</v>
      </c>
      <c r="E109" s="27"/>
      <c r="F109" s="27"/>
      <c r="G109" s="27"/>
      <c r="H109" s="27"/>
      <c r="I109" s="27"/>
      <c r="J109" s="27"/>
      <c r="K109" s="27"/>
      <c r="L109" s="27"/>
      <c r="M109" s="27"/>
      <c r="N109" s="27"/>
      <c r="O109" s="27"/>
      <c r="P109" s="27"/>
      <c r="Q109" s="3">
        <f t="shared" si="16"/>
        <v>0</v>
      </c>
      <c r="R109" s="3">
        <f>Q109/'F&amp;B Summary'!$Q$148</f>
        <v>0</v>
      </c>
      <c r="S109" s="35"/>
      <c r="T109" s="40">
        <f t="shared" si="15"/>
        <v>0</v>
      </c>
    </row>
    <row r="110" spans="1:20" s="19" customFormat="1" ht="24.95" customHeight="1">
      <c r="A110" s="54"/>
      <c r="B110" s="51"/>
      <c r="D110" s="19" t="s">
        <v>333</v>
      </c>
      <c r="E110" s="45">
        <f>SUM(E102:E109)</f>
        <v>0</v>
      </c>
      <c r="F110" s="45">
        <f t="shared" ref="F110:Q110" si="17">SUM(F102:F109)</f>
        <v>0</v>
      </c>
      <c r="G110" s="45">
        <f t="shared" si="17"/>
        <v>0</v>
      </c>
      <c r="H110" s="45">
        <f t="shared" si="17"/>
        <v>0</v>
      </c>
      <c r="I110" s="45">
        <f t="shared" si="17"/>
        <v>0</v>
      </c>
      <c r="J110" s="45">
        <f t="shared" si="17"/>
        <v>0</v>
      </c>
      <c r="K110" s="45">
        <f t="shared" si="17"/>
        <v>0</v>
      </c>
      <c r="L110" s="45">
        <f t="shared" si="17"/>
        <v>0</v>
      </c>
      <c r="M110" s="45">
        <f t="shared" si="17"/>
        <v>0</v>
      </c>
      <c r="N110" s="45">
        <f t="shared" si="17"/>
        <v>0</v>
      </c>
      <c r="O110" s="45">
        <f t="shared" si="17"/>
        <v>0</v>
      </c>
      <c r="P110" s="45">
        <f t="shared" si="17"/>
        <v>0</v>
      </c>
      <c r="Q110" s="45">
        <f t="shared" si="17"/>
        <v>0</v>
      </c>
      <c r="R110" s="3">
        <f>Q110/'F&amp;B Summary'!$Q$148</f>
        <v>0</v>
      </c>
      <c r="S110" s="35"/>
      <c r="T110" s="40">
        <f t="shared" si="15"/>
        <v>0</v>
      </c>
    </row>
    <row r="111" spans="1:20" s="19" customFormat="1" ht="24.95" customHeight="1">
      <c r="A111" s="54"/>
      <c r="B111" s="51"/>
      <c r="D111" s="21"/>
      <c r="E111" s="55"/>
      <c r="F111" s="55"/>
      <c r="G111" s="55"/>
      <c r="H111" s="55"/>
      <c r="I111" s="55"/>
      <c r="S111" s="35"/>
      <c r="T111" s="40"/>
    </row>
    <row r="112" spans="1:20" s="3" customFormat="1" ht="24.95" hidden="1" customHeight="1">
      <c r="A112" s="271" t="s">
        <v>633</v>
      </c>
      <c r="B112" s="3" t="s">
        <v>679</v>
      </c>
      <c r="D112" s="26" t="s">
        <v>335</v>
      </c>
      <c r="E112" s="27">
        <v>0</v>
      </c>
      <c r="F112" s="27">
        <v>0</v>
      </c>
      <c r="G112" s="27">
        <v>0</v>
      </c>
      <c r="H112" s="27">
        <v>0</v>
      </c>
      <c r="I112" s="27">
        <v>0</v>
      </c>
      <c r="J112" s="27">
        <v>0</v>
      </c>
      <c r="K112" s="27">
        <v>0</v>
      </c>
      <c r="L112" s="27">
        <v>0</v>
      </c>
      <c r="M112" s="27">
        <v>0</v>
      </c>
      <c r="N112" s="27">
        <v>0</v>
      </c>
      <c r="O112" s="27">
        <v>0</v>
      </c>
      <c r="P112" s="27">
        <v>0</v>
      </c>
      <c r="Q112" s="3">
        <f>SUM(E112:P112)</f>
        <v>0</v>
      </c>
      <c r="S112" s="35"/>
      <c r="T112" s="40">
        <f t="shared" ref="T112:T121" si="18">-IF(Q112-S112=0,0,(Q112-S112)/S112)</f>
        <v>0</v>
      </c>
    </row>
    <row r="113" spans="1:20" s="3" customFormat="1" ht="24.95" hidden="1" customHeight="1">
      <c r="A113" s="271" t="s">
        <v>634</v>
      </c>
      <c r="B113" s="3" t="s">
        <v>679</v>
      </c>
      <c r="D113" s="3" t="s">
        <v>337</v>
      </c>
      <c r="E113" s="27">
        <v>0</v>
      </c>
      <c r="F113" s="27">
        <v>0</v>
      </c>
      <c r="G113" s="27">
        <v>0</v>
      </c>
      <c r="H113" s="27">
        <v>0</v>
      </c>
      <c r="I113" s="27">
        <v>0</v>
      </c>
      <c r="J113" s="27">
        <v>0</v>
      </c>
      <c r="K113" s="27">
        <v>0</v>
      </c>
      <c r="L113" s="27">
        <v>0</v>
      </c>
      <c r="M113" s="27">
        <v>0</v>
      </c>
      <c r="N113" s="27">
        <v>0</v>
      </c>
      <c r="O113" s="27">
        <v>0</v>
      </c>
      <c r="P113" s="27">
        <v>0</v>
      </c>
      <c r="Q113" s="3">
        <f t="shared" ref="Q113:Q119" si="19">SUM(E113:P113)</f>
        <v>0</v>
      </c>
      <c r="S113" s="35"/>
      <c r="T113" s="40">
        <f t="shared" si="18"/>
        <v>0</v>
      </c>
    </row>
    <row r="114" spans="1:20" s="3" customFormat="1" ht="24.95" hidden="1" customHeight="1">
      <c r="A114" s="271" t="s">
        <v>635</v>
      </c>
      <c r="B114" s="3" t="s">
        <v>679</v>
      </c>
      <c r="D114" s="26" t="s">
        <v>339</v>
      </c>
      <c r="E114" s="27">
        <v>0</v>
      </c>
      <c r="F114" s="27">
        <v>0</v>
      </c>
      <c r="G114" s="27">
        <v>0</v>
      </c>
      <c r="H114" s="27">
        <v>0</v>
      </c>
      <c r="I114" s="27">
        <v>0</v>
      </c>
      <c r="J114" s="27">
        <v>0</v>
      </c>
      <c r="K114" s="27">
        <v>0</v>
      </c>
      <c r="L114" s="27">
        <v>0</v>
      </c>
      <c r="M114" s="27">
        <v>0</v>
      </c>
      <c r="N114" s="27">
        <v>0</v>
      </c>
      <c r="O114" s="27">
        <v>0</v>
      </c>
      <c r="P114" s="27">
        <v>0</v>
      </c>
      <c r="Q114" s="3">
        <f t="shared" si="19"/>
        <v>0</v>
      </c>
      <c r="S114" s="35"/>
      <c r="T114" s="40">
        <f t="shared" si="18"/>
        <v>0</v>
      </c>
    </row>
    <row r="115" spans="1:20" s="3" customFormat="1" ht="24.95" hidden="1" customHeight="1">
      <c r="A115" s="271" t="s">
        <v>636</v>
      </c>
      <c r="B115" s="3" t="s">
        <v>679</v>
      </c>
      <c r="D115" s="26" t="s">
        <v>341</v>
      </c>
      <c r="E115" s="27">
        <v>0</v>
      </c>
      <c r="F115" s="27">
        <v>0</v>
      </c>
      <c r="G115" s="27">
        <v>0</v>
      </c>
      <c r="H115" s="27">
        <v>0</v>
      </c>
      <c r="I115" s="27">
        <v>0</v>
      </c>
      <c r="J115" s="27">
        <v>0</v>
      </c>
      <c r="K115" s="27">
        <v>0</v>
      </c>
      <c r="L115" s="27">
        <v>0</v>
      </c>
      <c r="M115" s="27">
        <v>0</v>
      </c>
      <c r="N115" s="27">
        <v>0</v>
      </c>
      <c r="O115" s="27">
        <v>0</v>
      </c>
      <c r="P115" s="27">
        <v>0</v>
      </c>
      <c r="Q115" s="3">
        <f t="shared" si="19"/>
        <v>0</v>
      </c>
      <c r="S115" s="35"/>
      <c r="T115" s="40">
        <f t="shared" si="18"/>
        <v>0</v>
      </c>
    </row>
    <row r="116" spans="1:20" s="3" customFormat="1" ht="24.95" customHeight="1">
      <c r="A116" s="271" t="s">
        <v>637</v>
      </c>
      <c r="B116" s="3" t="s">
        <v>679</v>
      </c>
      <c r="D116" s="26" t="s">
        <v>343</v>
      </c>
      <c r="E116" s="27"/>
      <c r="F116" s="27"/>
      <c r="G116" s="27"/>
      <c r="H116" s="27"/>
      <c r="I116" s="27"/>
      <c r="J116" s="27"/>
      <c r="K116" s="27"/>
      <c r="L116" s="27"/>
      <c r="M116" s="27"/>
      <c r="N116" s="27"/>
      <c r="O116" s="27"/>
      <c r="P116" s="27">
        <f>Summary!P$451</f>
        <v>0</v>
      </c>
      <c r="Q116" s="3">
        <f t="shared" si="19"/>
        <v>0</v>
      </c>
      <c r="R116" s="3">
        <f>Q116/'F&amp;B Summary'!$Q$148</f>
        <v>0</v>
      </c>
      <c r="S116" s="35"/>
      <c r="T116" s="40">
        <f t="shared" si="18"/>
        <v>0</v>
      </c>
    </row>
    <row r="117" spans="1:20" s="3" customFormat="1" ht="24.95" hidden="1" customHeight="1">
      <c r="A117" s="50" t="s">
        <v>638</v>
      </c>
      <c r="B117" s="3" t="s">
        <v>679</v>
      </c>
      <c r="D117" s="26" t="s">
        <v>639</v>
      </c>
      <c r="E117" s="27"/>
      <c r="F117" s="27"/>
      <c r="G117" s="27"/>
      <c r="H117" s="27"/>
      <c r="I117" s="27"/>
      <c r="J117" s="27"/>
      <c r="K117" s="27"/>
      <c r="L117" s="27"/>
      <c r="M117" s="27"/>
      <c r="N117" s="27"/>
      <c r="O117" s="27"/>
      <c r="P117" s="27">
        <v>0</v>
      </c>
      <c r="Q117" s="3">
        <f t="shared" si="19"/>
        <v>0</v>
      </c>
      <c r="R117" s="3">
        <f>Q117/'F&amp;B Summary'!$Q$148</f>
        <v>0</v>
      </c>
      <c r="S117" s="35"/>
      <c r="T117" s="40">
        <f t="shared" si="18"/>
        <v>0</v>
      </c>
    </row>
    <row r="118" spans="1:20" s="3" customFormat="1" ht="24.95" customHeight="1">
      <c r="A118" s="271" t="s">
        <v>344</v>
      </c>
      <c r="B118" s="3" t="s">
        <v>679</v>
      </c>
      <c r="D118" s="26" t="s">
        <v>345</v>
      </c>
      <c r="E118" s="27"/>
      <c r="F118" s="27"/>
      <c r="G118" s="27"/>
      <c r="H118" s="27"/>
      <c r="I118" s="27"/>
      <c r="J118" s="27"/>
      <c r="K118" s="27"/>
      <c r="L118" s="27"/>
      <c r="M118" s="27"/>
      <c r="N118" s="27"/>
      <c r="O118" s="27"/>
      <c r="P118" s="27">
        <f>Summary!P$452</f>
        <v>0</v>
      </c>
      <c r="Q118" s="3">
        <f t="shared" si="19"/>
        <v>0</v>
      </c>
      <c r="R118" s="3">
        <f>Q118/'F&amp;B Summary'!$Q$148</f>
        <v>0</v>
      </c>
      <c r="S118" s="35"/>
      <c r="T118" s="40">
        <f t="shared" si="18"/>
        <v>0</v>
      </c>
    </row>
    <row r="119" spans="1:20" s="3" customFormat="1" ht="24.95" customHeight="1">
      <c r="A119" s="3" t="s">
        <v>640</v>
      </c>
      <c r="B119" s="3" t="s">
        <v>679</v>
      </c>
      <c r="D119" s="26" t="s">
        <v>347</v>
      </c>
      <c r="E119" s="27"/>
      <c r="F119" s="27"/>
      <c r="G119" s="27"/>
      <c r="H119" s="27"/>
      <c r="I119" s="27"/>
      <c r="J119" s="27"/>
      <c r="K119" s="27"/>
      <c r="L119" s="27"/>
      <c r="M119" s="27"/>
      <c r="N119" s="27"/>
      <c r="O119" s="27"/>
      <c r="P119" s="27">
        <f>Summary!P$453</f>
        <v>0</v>
      </c>
      <c r="Q119" s="3">
        <f t="shared" si="19"/>
        <v>0</v>
      </c>
      <c r="R119" s="3">
        <f>Q119/'F&amp;B Summary'!$Q$148</f>
        <v>0</v>
      </c>
      <c r="S119" s="35"/>
      <c r="T119" s="40">
        <f t="shared" si="18"/>
        <v>0</v>
      </c>
    </row>
    <row r="120" spans="1:20" s="3" customFormat="1" ht="24.95" customHeight="1">
      <c r="A120" s="54"/>
      <c r="D120" s="19" t="s">
        <v>348</v>
      </c>
      <c r="E120" s="52">
        <f>SUM(E112:E119)</f>
        <v>0</v>
      </c>
      <c r="F120" s="52">
        <f t="shared" ref="F120:Q120" si="20">SUM(F112:F119)</f>
        <v>0</v>
      </c>
      <c r="G120" s="52">
        <f t="shared" si="20"/>
        <v>0</v>
      </c>
      <c r="H120" s="52">
        <f t="shared" si="20"/>
        <v>0</v>
      </c>
      <c r="I120" s="52">
        <f t="shared" si="20"/>
        <v>0</v>
      </c>
      <c r="J120" s="52">
        <f t="shared" si="20"/>
        <v>0</v>
      </c>
      <c r="K120" s="52">
        <f t="shared" si="20"/>
        <v>0</v>
      </c>
      <c r="L120" s="52">
        <f t="shared" si="20"/>
        <v>0</v>
      </c>
      <c r="M120" s="52">
        <f t="shared" si="20"/>
        <v>0</v>
      </c>
      <c r="N120" s="52">
        <f t="shared" si="20"/>
        <v>0</v>
      </c>
      <c r="O120" s="52">
        <f t="shared" si="20"/>
        <v>0</v>
      </c>
      <c r="P120" s="52">
        <f t="shared" si="20"/>
        <v>0</v>
      </c>
      <c r="Q120" s="52">
        <f t="shared" si="20"/>
        <v>0</v>
      </c>
      <c r="R120" s="3">
        <f>Q120/'F&amp;B Summary'!$Q$148</f>
        <v>0</v>
      </c>
      <c r="S120" s="35"/>
      <c r="T120" s="40">
        <f t="shared" si="18"/>
        <v>0</v>
      </c>
    </row>
    <row r="121" spans="1:20" s="3" customFormat="1" ht="24.95" customHeight="1">
      <c r="A121" s="54"/>
      <c r="B121" s="51"/>
      <c r="D121" s="19" t="s">
        <v>349</v>
      </c>
      <c r="E121" s="52">
        <f>E92+E100+E110+E120</f>
        <v>0</v>
      </c>
      <c r="F121" s="52">
        <f t="shared" ref="F121:Q121" si="21">F92+F100+F110+F120</f>
        <v>0</v>
      </c>
      <c r="G121" s="52">
        <f t="shared" si="21"/>
        <v>0</v>
      </c>
      <c r="H121" s="52">
        <f t="shared" si="21"/>
        <v>0</v>
      </c>
      <c r="I121" s="52">
        <f t="shared" si="21"/>
        <v>0</v>
      </c>
      <c r="J121" s="52">
        <f t="shared" si="21"/>
        <v>0</v>
      </c>
      <c r="K121" s="52">
        <f t="shared" si="21"/>
        <v>0</v>
      </c>
      <c r="L121" s="52">
        <f t="shared" si="21"/>
        <v>0</v>
      </c>
      <c r="M121" s="52">
        <f t="shared" si="21"/>
        <v>0</v>
      </c>
      <c r="N121" s="52">
        <f t="shared" si="21"/>
        <v>0</v>
      </c>
      <c r="O121" s="52">
        <f t="shared" si="21"/>
        <v>0</v>
      </c>
      <c r="P121" s="52">
        <f t="shared" si="21"/>
        <v>0</v>
      </c>
      <c r="Q121" s="52">
        <f t="shared" si="21"/>
        <v>0</v>
      </c>
      <c r="R121" s="3">
        <f>Q121/'F&amp;B Summary'!$Q$148</f>
        <v>0</v>
      </c>
      <c r="S121" s="35"/>
      <c r="T121" s="40">
        <f t="shared" si="18"/>
        <v>0</v>
      </c>
    </row>
    <row r="122" spans="1:20" s="3" customFormat="1" ht="24.95" customHeight="1">
      <c r="A122" s="54"/>
      <c r="B122" s="51"/>
      <c r="D122" s="21"/>
      <c r="E122" s="53"/>
      <c r="F122" s="53"/>
      <c r="G122" s="53"/>
      <c r="H122" s="53"/>
      <c r="I122" s="53"/>
      <c r="S122" s="35"/>
      <c r="T122" s="40"/>
    </row>
    <row r="123" spans="1:20" s="3" customFormat="1" ht="24.95" customHeight="1">
      <c r="A123" s="3" t="s">
        <v>105</v>
      </c>
      <c r="B123" s="3" t="s">
        <v>679</v>
      </c>
      <c r="D123" s="19" t="s">
        <v>352</v>
      </c>
      <c r="E123" s="27"/>
      <c r="F123" s="27"/>
      <c r="G123" s="27"/>
      <c r="H123" s="27"/>
      <c r="I123" s="27"/>
      <c r="J123" s="27"/>
      <c r="K123" s="27"/>
      <c r="L123" s="27"/>
      <c r="M123" s="27"/>
      <c r="N123" s="27"/>
      <c r="O123" s="27"/>
      <c r="P123" s="27"/>
      <c r="Q123" s="85">
        <f>SUM(E123:P123)/8</f>
        <v>0</v>
      </c>
      <c r="S123" s="35"/>
      <c r="T123" s="40">
        <f>-IF(Q123-S123=0,0,(Q123-S123)/S123)</f>
        <v>0</v>
      </c>
    </row>
  </sheetData>
  <phoneticPr fontId="57" type="noConversion"/>
  <dataValidations count="33">
    <dataValidation type="textLength" errorStyle="information" allowBlank="1" showInputMessage="1" showErrorMessage="1" sqref="H93:I93 H101:I101 H111:I111 F122:I122 E120:E122 E88:I89 F120:Q121">
      <formula1>0</formula1>
      <formula2>300</formula2>
    </dataValidation>
    <dataValidation type="textLength" errorStyle="information" allowBlank="1" showInputMessage="1" showErrorMessage="1" error="XLBVal:6=120_x000d__x000a_" sqref="E43:P43">
      <formula1>0</formula1>
      <formula2>300</formula2>
    </dataValidation>
    <dataValidation type="textLength" errorStyle="information" allowBlank="1" showInputMessage="1" showErrorMessage="1" error="XLBVal:6=2809.9_x000d__x000a_" sqref="E73:P73">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2402.12_x000d__x000a_" sqref="E26:P26">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2=0_x000d__x000a_" sqref="R15 E72:Q72 Q86 E15:E25 F13:F25 Q15:Q71 Q73:Q82 Q90:Q91 Q112:Q119 E108:P109 E27:P42 E51:P68 E117:P118 E44:P49 G15:P25 E74:P81 E112:P115 E94:P99">
      <formula1>0</formula1>
      <formula2>300</formula2>
    </dataValidation>
    <dataValidation type="textLength" errorStyle="information" allowBlank="1" showInputMessage="1" showErrorMessage="1" error="XLBVal:6=2737.78_x000d__x000a_" sqref="E116:P116">
      <formula1>0</formula1>
      <formula2>300</formula2>
    </dataValidation>
    <dataValidation type="textLength" errorStyle="information" allowBlank="1" showInputMessage="1" showErrorMessage="1" error="XLBVal:6=34.1_x000d__x000a_" sqref="E50:P50">
      <formula1>0</formula1>
      <formula2>300</formula2>
    </dataValidation>
    <dataValidation type="textLength" errorStyle="information" allowBlank="1" showInputMessage="1" showErrorMessage="1" error="XLBVal:6=31.51_x000d__x000a_" sqref="E69:P69">
      <formula1>0</formula1>
      <formula2>300</formula2>
    </dataValidation>
    <dataValidation type="textLength" errorStyle="information" allowBlank="1" showInputMessage="1" showErrorMessage="1" error="XLBVal:6=245.37_x000d__x000a_" sqref="E70:P70">
      <formula1>0</formula1>
      <formula2>300</formula2>
    </dataValidation>
    <dataValidation type="textLength" errorStyle="information" allowBlank="1" showInputMessage="1" showErrorMessage="1" error="XLBVal:6=4698.75_x000d__x000a_" sqref="E102:P107">
      <formula1>0</formula1>
      <formula2>300</formula2>
    </dataValidation>
    <dataValidation type="textLength" errorStyle="information" allowBlank="1" showInputMessage="1" showErrorMessage="1" error="XLBVal:6=737.88_x000d__x000a_" sqref="E71:P71">
      <formula1>0</formula1>
      <formula2>300</formula2>
    </dataValidation>
    <dataValidation type="textLength" errorStyle="information" allowBlank="1" showInputMessage="1" showErrorMessage="1" error="XLBVal:6=28_x000d__x000a_" sqref="E82:P82">
      <formula1>0</formula1>
      <formula2>300</formula2>
    </dataValidation>
    <dataValidation type="textLength" errorStyle="information" allowBlank="1" showInputMessage="1" showErrorMessage="1" error="XLBVal:6=0_x000d__x000a_" sqref="E83:Q83">
      <formula1>0</formula1>
      <formula2>300</formula2>
    </dataValidation>
    <dataValidation type="textLength" errorStyle="information" allowBlank="1" showInputMessage="1" showErrorMessage="1" error="XLBVal:6=3239.86_x000d__x000a_" sqref="E84:Q84">
      <formula1>0</formula1>
      <formula2>300</formula2>
    </dataValidation>
    <dataValidation type="textLength" errorStyle="information" allowBlank="1" showInputMessage="1" showErrorMessage="1" error="XLBVal:6=169013_x000d__x000a_" sqref="Q94:Q99">
      <formula1>0</formula1>
      <formula2>300</formula2>
    </dataValidation>
    <dataValidation type="textLength" errorStyle="information" allowBlank="1" showInputMessage="1" showErrorMessage="1" error="XLBVal:6=877418.59_x000d__x000a_" sqref="E85">
      <formula1>0</formula1>
      <formula2>300</formula2>
    </dataValidation>
    <dataValidation type="textLength" errorStyle="information" allowBlank="1" showInputMessage="1" showErrorMessage="1" error="XLBVal:6=900857.82_x000d__x000a_" sqref="F85">
      <formula1>0</formula1>
      <formula2>300</formula2>
    </dataValidation>
    <dataValidation type="textLength" errorStyle="information" allowBlank="1" showInputMessage="1" showErrorMessage="1" error="XLBVal:6=1064596.75_x000d__x000a_" sqref="G85:P85">
      <formula1>0</formula1>
      <formula2>300</formula2>
    </dataValidation>
    <dataValidation type="textLength" errorStyle="information" allowBlank="1" showInputMessage="1" showErrorMessage="1" error="XLBVal:6=12779429.56_x000d__x000a_" sqref="Q85">
      <formula1>0</formula1>
      <formula2>300</formula2>
    </dataValidation>
    <dataValidation type="textLength" errorStyle="information" allowBlank="1" showInputMessage="1" showErrorMessage="1" error="XLBVal:6=-179373.82_x000d__x000a_" sqref="E86:P86">
      <formula1>0</formula1>
      <formula2>300</formula2>
    </dataValidation>
    <dataValidation type="textLength" errorStyle="information" allowBlank="1" showInputMessage="1" showErrorMessage="1" error="XLBVal:6=3678_x000d__x000a_" sqref="E110:Q110 E111:G111">
      <formula1>0</formula1>
      <formula2>300</formula2>
    </dataValidation>
    <dataValidation type="textLength" errorStyle="information" allowBlank="1" showInputMessage="1" showErrorMessage="1" error="XLBVal:6=3096.21_x000d__x000a_" sqref="E119:P119">
      <formula1>0</formula1>
      <formula2>300</formula2>
    </dataValidation>
    <dataValidation type="textLength" errorStyle="information" allowBlank="1" showInputMessage="1" showErrorMessage="1" error="XLBVal:6=4_x000d__x000a_" sqref="E123:P123">
      <formula1>0</formula1>
      <formula2>300</formula2>
    </dataValidation>
    <dataValidation type="textLength" errorStyle="information" allowBlank="1" showInputMessage="1" showErrorMessage="1" error="XLBVal:6=1260_x000d__x000a_" sqref="Q123">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293444_x000d__x000a_" sqref="Q102:Q109">
      <formula1>0</formula1>
      <formula2>300</formula2>
    </dataValidation>
    <dataValidation type="textLength" errorStyle="information" allowBlank="1" showInputMessage="1" showErrorMessage="1" error="XLBVal:6=82197.59_x000d__x000a_" sqref="E90:P91">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tabColor rgb="FFFFFF00"/>
    <pageSetUpPr fitToPage="1"/>
  </sheetPr>
  <dimension ref="A1:U100"/>
  <sheetViews>
    <sheetView zoomScale="50" zoomScaleNormal="50" zoomScaleSheetLayoutView="40" workbookViewId="0">
      <pane xSplit="4" ySplit="10" topLeftCell="E11" activePane="bottomRight" state="frozen"/>
      <selection activeCell="D1" sqref="D1"/>
      <selection pane="topRight" activeCell="E1" sqref="E1"/>
      <selection pane="bottomLeft" activeCell="D11" sqref="D11"/>
      <selection pane="bottomRight" activeCell="E68" sqref="E68"/>
    </sheetView>
  </sheetViews>
  <sheetFormatPr defaultColWidth="8.875" defaultRowHeight="26.25" customHeight="1" outlineLevelRow="1" outlineLevelCol="1"/>
  <cols>
    <col min="1" max="1" width="58.375" style="5" hidden="1" customWidth="1" outlineLevel="1"/>
    <col min="2" max="2" width="24.25" style="5" hidden="1" customWidth="1" outlineLevel="1"/>
    <col min="3" max="3" width="15.5" style="5" hidden="1" customWidth="1" outlineLevel="1"/>
    <col min="4" max="4" width="68.5" style="6" customWidth="1" collapsed="1"/>
    <col min="5" max="5" width="22.5" style="7" customWidth="1"/>
    <col min="6" max="6" width="22.5" style="89" customWidth="1"/>
    <col min="7" max="7" width="22.5" style="7" customWidth="1"/>
    <col min="8" max="8" width="22.5" style="6" customWidth="1"/>
    <col min="9" max="9" width="22.5" style="7" customWidth="1"/>
    <col min="10" max="10" width="22.5" style="89" customWidth="1"/>
    <col min="11" max="11" width="22.5" style="7" customWidth="1"/>
    <col min="12" max="12" width="22.5" style="90" customWidth="1"/>
    <col min="13" max="13" width="22.5" style="7" customWidth="1"/>
    <col min="14" max="14" width="25.5" style="89" customWidth="1"/>
    <col min="15" max="16" width="25.5" style="5" customWidth="1"/>
    <col min="17" max="17" width="27.5" style="5" customWidth="1"/>
    <col min="18" max="18" width="18.875" style="5" customWidth="1"/>
    <col min="19" max="19" width="18.875" style="5" hidden="1" customWidth="1"/>
    <col min="20" max="20" width="22.5" style="8" hidden="1" customWidth="1"/>
    <col min="21" max="21" width="22.5" style="5" hidden="1" customWidth="1"/>
    <col min="22" max="16384" width="8.875" style="5"/>
  </cols>
  <sheetData>
    <row r="1" spans="1:21" s="1" customFormat="1" ht="15" customHeight="1" outlineLevel="1">
      <c r="E1" s="9"/>
      <c r="F1" s="9"/>
      <c r="G1" s="9"/>
      <c r="H1" s="9"/>
      <c r="I1" s="9"/>
      <c r="J1" s="9"/>
      <c r="K1" s="9"/>
      <c r="L1" s="9"/>
      <c r="M1" s="9"/>
      <c r="N1" s="9"/>
      <c r="O1" s="9"/>
      <c r="P1" s="9"/>
      <c r="Q1" s="9"/>
      <c r="T1" s="32"/>
    </row>
    <row r="2" spans="1:21" s="1" customFormat="1" ht="15" customHeight="1" outlineLevel="1">
      <c r="E2" s="9"/>
      <c r="F2" s="9"/>
      <c r="G2" s="9"/>
      <c r="H2" s="9"/>
      <c r="I2" s="9"/>
      <c r="J2" s="9"/>
      <c r="K2" s="9"/>
      <c r="L2" s="9"/>
      <c r="M2" s="9"/>
      <c r="N2" s="9"/>
      <c r="O2" s="9"/>
      <c r="P2" s="9"/>
      <c r="Q2" s="9"/>
      <c r="T2" s="32"/>
    </row>
    <row r="3" spans="1:21" s="1" customFormat="1" ht="15" customHeight="1" outlineLevel="1">
      <c r="E3" s="9"/>
      <c r="F3" s="9"/>
      <c r="G3" s="9"/>
      <c r="H3" s="9"/>
      <c r="I3" s="9"/>
      <c r="J3" s="9"/>
      <c r="K3" s="9"/>
      <c r="L3" s="9"/>
      <c r="M3" s="9"/>
      <c r="N3" s="9"/>
      <c r="O3" s="9"/>
      <c r="P3" s="9"/>
      <c r="Q3" s="9"/>
      <c r="T3" s="32"/>
    </row>
    <row r="4" spans="1:21" s="2" customFormat="1" ht="24.95" customHeight="1">
      <c r="D4" s="10" t="str">
        <f>Summary!$D$4</f>
        <v>Hotel Budget Report</v>
      </c>
      <c r="E4" s="11"/>
      <c r="F4" s="91"/>
      <c r="G4" s="11"/>
      <c r="H4" s="92"/>
      <c r="I4" s="12"/>
      <c r="J4" s="100"/>
      <c r="K4" s="13"/>
      <c r="L4" s="101"/>
      <c r="M4" s="13"/>
      <c r="N4" s="93"/>
      <c r="T4" s="33"/>
    </row>
    <row r="5" spans="1:21" s="2" customFormat="1" ht="24.95" customHeight="1">
      <c r="D5" s="10" t="str">
        <f>Summary!$D$5</f>
        <v>酒店预算报表</v>
      </c>
      <c r="E5" s="11"/>
      <c r="F5" s="91"/>
      <c r="G5" s="11"/>
      <c r="H5" s="92"/>
      <c r="I5" s="12"/>
      <c r="J5" s="100"/>
      <c r="K5" s="13"/>
      <c r="L5" s="101"/>
      <c r="M5" s="13"/>
      <c r="N5" s="93"/>
      <c r="T5" s="33"/>
    </row>
    <row r="6" spans="1:21" s="2" customFormat="1" ht="24.95" customHeight="1">
      <c r="D6" s="14" t="s">
        <v>680</v>
      </c>
      <c r="E6" s="13"/>
      <c r="F6" s="93"/>
      <c r="G6" s="13"/>
      <c r="H6" s="94"/>
      <c r="I6" s="13"/>
      <c r="J6" s="93"/>
      <c r="K6" s="13"/>
      <c r="L6" s="101"/>
      <c r="M6" s="13"/>
      <c r="N6" s="93"/>
      <c r="T6" s="33"/>
    </row>
    <row r="7" spans="1:21" s="2" customFormat="1" ht="24.95" customHeight="1">
      <c r="D7" s="15" t="s">
        <v>1189</v>
      </c>
      <c r="E7" s="13"/>
      <c r="F7" s="93"/>
      <c r="G7" s="13"/>
      <c r="H7" s="94"/>
      <c r="I7" s="13"/>
      <c r="J7" s="93"/>
      <c r="K7" s="13"/>
      <c r="L7" s="101"/>
      <c r="M7" s="13"/>
      <c r="N7" s="9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S9" s="34"/>
      <c r="T9" s="116"/>
      <c r="U9" s="117"/>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4" t="s">
        <v>23</v>
      </c>
      <c r="T10" s="36" t="s">
        <v>24</v>
      </c>
      <c r="U10" s="37" t="s">
        <v>25</v>
      </c>
    </row>
    <row r="11" spans="1:21" s="3" customFormat="1" ht="24.75" customHeight="1">
      <c r="D11" s="21" t="s">
        <v>113</v>
      </c>
      <c r="E11" s="76"/>
      <c r="F11" s="95"/>
      <c r="G11" s="76"/>
      <c r="H11" s="95"/>
      <c r="I11" s="76"/>
      <c r="J11" s="95"/>
      <c r="K11" s="77"/>
      <c r="L11" s="102"/>
      <c r="M11" s="77"/>
      <c r="N11" s="95"/>
      <c r="T11" s="35"/>
    </row>
    <row r="12" spans="1:21" s="3" customFormat="1" ht="24.95" hidden="1" customHeight="1">
      <c r="A12" s="3" t="s">
        <v>681</v>
      </c>
      <c r="B12" s="3" t="s">
        <v>682</v>
      </c>
      <c r="D12" s="3" t="s">
        <v>683</v>
      </c>
      <c r="E12" s="43"/>
      <c r="F12" s="43"/>
      <c r="G12" s="43"/>
      <c r="H12" s="43"/>
      <c r="I12" s="43"/>
      <c r="J12" s="43"/>
      <c r="K12" s="43"/>
      <c r="L12" s="43"/>
      <c r="M12" s="43"/>
      <c r="N12" s="43"/>
      <c r="O12" s="43"/>
      <c r="P12" s="43"/>
      <c r="Q12" s="43">
        <f>SUM(E12:P12)</f>
        <v>0</v>
      </c>
      <c r="T12" s="35">
        <f>'[5]OOD-molly'!$Q12</f>
        <v>0</v>
      </c>
      <c r="U12" s="40">
        <f t="shared" ref="U12:U27" si="0">IF(Q12-T12=0,0,(Q12-T12)/T12)</f>
        <v>0</v>
      </c>
    </row>
    <row r="13" spans="1:21" s="3" customFormat="1" ht="24.95" customHeight="1">
      <c r="A13" s="3" t="s">
        <v>684</v>
      </c>
      <c r="B13" s="3" t="s">
        <v>685</v>
      </c>
      <c r="D13" s="26" t="s">
        <v>686</v>
      </c>
      <c r="E13" s="43">
        <f>+'Health Club'!E12</f>
        <v>0</v>
      </c>
      <c r="F13" s="43">
        <f>+'Health Club'!F12</f>
        <v>0</v>
      </c>
      <c r="G13" s="43">
        <f>+'Health Club'!G12</f>
        <v>0</v>
      </c>
      <c r="H13" s="43">
        <f>+'Health Club'!H12</f>
        <v>0</v>
      </c>
      <c r="I13" s="43">
        <f>+'Health Club'!I12</f>
        <v>0</v>
      </c>
      <c r="J13" s="43">
        <f>+'Health Club'!J12</f>
        <v>0</v>
      </c>
      <c r="K13" s="43">
        <f>+'Health Club'!K12</f>
        <v>0</v>
      </c>
      <c r="L13" s="43">
        <f>+'Health Club'!L12</f>
        <v>0</v>
      </c>
      <c r="M13" s="43">
        <f>+'Health Club'!M12</f>
        <v>0</v>
      </c>
      <c r="N13" s="43">
        <f>+'Health Club'!N12</f>
        <v>0</v>
      </c>
      <c r="O13" s="43">
        <f>+'Health Club'!O12</f>
        <v>0</v>
      </c>
      <c r="P13" s="43">
        <f>+'Health Club'!P12</f>
        <v>0</v>
      </c>
      <c r="Q13" s="61">
        <f>SUM(E13:P13)</f>
        <v>0</v>
      </c>
      <c r="T13" s="35"/>
      <c r="U13" s="40">
        <f t="shared" si="0"/>
        <v>0</v>
      </c>
    </row>
    <row r="14" spans="1:21" s="3" customFormat="1" ht="24.95" hidden="1" customHeight="1">
      <c r="A14" s="3" t="s">
        <v>687</v>
      </c>
      <c r="B14" s="3" t="s">
        <v>688</v>
      </c>
      <c r="D14" s="26" t="s">
        <v>689</v>
      </c>
      <c r="E14" s="43"/>
      <c r="F14" s="43"/>
      <c r="G14" s="43"/>
      <c r="H14" s="43"/>
      <c r="I14" s="43"/>
      <c r="J14" s="43"/>
      <c r="K14" s="43"/>
      <c r="L14" s="43"/>
      <c r="M14" s="43"/>
      <c r="N14" s="43"/>
      <c r="O14" s="43"/>
      <c r="P14" s="43"/>
      <c r="Q14" s="61">
        <f t="shared" ref="Q14:Q26" si="1">SUM(E14:P14)</f>
        <v>0</v>
      </c>
      <c r="T14" s="35"/>
      <c r="U14" s="40">
        <f t="shared" si="0"/>
        <v>0</v>
      </c>
    </row>
    <row r="15" spans="1:21" s="3" customFormat="1" ht="24.95" hidden="1" customHeight="1">
      <c r="A15" s="3" t="s">
        <v>690</v>
      </c>
      <c r="B15" s="3" t="s">
        <v>691</v>
      </c>
      <c r="D15" s="26" t="s">
        <v>692</v>
      </c>
      <c r="E15" s="43"/>
      <c r="F15" s="43"/>
      <c r="G15" s="43"/>
      <c r="H15" s="43"/>
      <c r="I15" s="43"/>
      <c r="J15" s="43"/>
      <c r="K15" s="43"/>
      <c r="L15" s="43"/>
      <c r="M15" s="43"/>
      <c r="N15" s="43"/>
      <c r="O15" s="43"/>
      <c r="P15" s="43"/>
      <c r="Q15" s="61">
        <f t="shared" si="1"/>
        <v>0</v>
      </c>
      <c r="T15" s="35"/>
      <c r="U15" s="40">
        <f t="shared" si="0"/>
        <v>0</v>
      </c>
    </row>
    <row r="16" spans="1:21" s="3" customFormat="1" ht="24.95" hidden="1" customHeight="1">
      <c r="A16" s="3" t="s">
        <v>693</v>
      </c>
      <c r="B16" s="3" t="s">
        <v>694</v>
      </c>
      <c r="D16" s="78" t="s">
        <v>695</v>
      </c>
      <c r="E16" s="43"/>
      <c r="F16" s="43"/>
      <c r="G16" s="43"/>
      <c r="H16" s="43"/>
      <c r="I16" s="43"/>
      <c r="J16" s="43"/>
      <c r="K16" s="43"/>
      <c r="L16" s="43"/>
      <c r="M16" s="43"/>
      <c r="N16" s="43"/>
      <c r="O16" s="43"/>
      <c r="P16" s="43"/>
      <c r="Q16" s="61">
        <f t="shared" si="1"/>
        <v>0</v>
      </c>
      <c r="T16" s="35"/>
      <c r="U16" s="40">
        <f t="shared" si="0"/>
        <v>0</v>
      </c>
    </row>
    <row r="17" spans="1:21" s="3" customFormat="1" ht="24.95" hidden="1" customHeight="1">
      <c r="A17" s="3" t="s">
        <v>696</v>
      </c>
      <c r="B17" s="3" t="s">
        <v>697</v>
      </c>
      <c r="D17" s="26" t="s">
        <v>698</v>
      </c>
      <c r="E17" s="43"/>
      <c r="F17" s="43"/>
      <c r="G17" s="43"/>
      <c r="H17" s="43"/>
      <c r="I17" s="43"/>
      <c r="J17" s="43"/>
      <c r="K17" s="43"/>
      <c r="L17" s="43"/>
      <c r="M17" s="43"/>
      <c r="N17" s="43"/>
      <c r="O17" s="43"/>
      <c r="P17" s="43"/>
      <c r="Q17" s="61">
        <f t="shared" si="1"/>
        <v>0</v>
      </c>
      <c r="T17" s="35"/>
      <c r="U17" s="40">
        <f t="shared" si="0"/>
        <v>0</v>
      </c>
    </row>
    <row r="18" spans="1:21" s="3" customFormat="1" ht="24.95" customHeight="1">
      <c r="A18" s="3" t="s">
        <v>699</v>
      </c>
      <c r="B18" s="3" t="s">
        <v>700</v>
      </c>
      <c r="D18" s="26" t="s">
        <v>701</v>
      </c>
      <c r="E18" s="43">
        <f>+BC!E21</f>
        <v>0</v>
      </c>
      <c r="F18" s="43">
        <f>+BC!F21</f>
        <v>0</v>
      </c>
      <c r="G18" s="43">
        <f>+BC!G21</f>
        <v>0</v>
      </c>
      <c r="H18" s="43">
        <f>+BC!H21</f>
        <v>0</v>
      </c>
      <c r="I18" s="43">
        <f>+BC!I21</f>
        <v>0</v>
      </c>
      <c r="J18" s="43">
        <f>+BC!J21</f>
        <v>0</v>
      </c>
      <c r="K18" s="43">
        <f>+BC!K21</f>
        <v>0</v>
      </c>
      <c r="L18" s="43">
        <f>+BC!L21</f>
        <v>0</v>
      </c>
      <c r="M18" s="43">
        <f>+BC!M21</f>
        <v>0</v>
      </c>
      <c r="N18" s="43">
        <f>+BC!N21</f>
        <v>0</v>
      </c>
      <c r="O18" s="43">
        <f>+BC!O21</f>
        <v>0</v>
      </c>
      <c r="P18" s="43">
        <f>+BC!P21</f>
        <v>0</v>
      </c>
      <c r="Q18" s="61">
        <f t="shared" si="1"/>
        <v>0</v>
      </c>
      <c r="T18" s="35"/>
      <c r="U18" s="40">
        <f t="shared" si="0"/>
        <v>0</v>
      </c>
    </row>
    <row r="19" spans="1:21" s="3" customFormat="1" ht="24.95" customHeight="1">
      <c r="A19" s="3" t="s">
        <v>702</v>
      </c>
      <c r="B19" s="3" t="s">
        <v>703</v>
      </c>
      <c r="D19" s="26" t="s">
        <v>704</v>
      </c>
      <c r="E19" s="43">
        <f>+Telephone!E14</f>
        <v>0</v>
      </c>
      <c r="F19" s="43">
        <f>+Telephone!F14</f>
        <v>0</v>
      </c>
      <c r="G19" s="43">
        <f>+Telephone!G14</f>
        <v>0</v>
      </c>
      <c r="H19" s="43">
        <f>+Telephone!H14</f>
        <v>0</v>
      </c>
      <c r="I19" s="43">
        <f>+Telephone!I14</f>
        <v>0</v>
      </c>
      <c r="J19" s="43">
        <f>+Telephone!J14</f>
        <v>0</v>
      </c>
      <c r="K19" s="43">
        <f>+Telephone!K14</f>
        <v>0</v>
      </c>
      <c r="L19" s="43">
        <f>+Telephone!L14</f>
        <v>0</v>
      </c>
      <c r="M19" s="43">
        <f>+Telephone!M14</f>
        <v>0</v>
      </c>
      <c r="N19" s="43">
        <f>+Telephone!N14</f>
        <v>0</v>
      </c>
      <c r="O19" s="43">
        <f>+Telephone!O14</f>
        <v>0</v>
      </c>
      <c r="P19" s="43">
        <f>+Telephone!P14</f>
        <v>0</v>
      </c>
      <c r="Q19" s="61">
        <f t="shared" si="1"/>
        <v>0</v>
      </c>
      <c r="T19" s="35"/>
      <c r="U19" s="40">
        <f t="shared" si="0"/>
        <v>0</v>
      </c>
    </row>
    <row r="20" spans="1:21" s="3" customFormat="1" ht="24.95" customHeight="1">
      <c r="A20" s="3" t="s">
        <v>705</v>
      </c>
      <c r="B20" s="3" t="s">
        <v>706</v>
      </c>
      <c r="D20" s="26" t="s">
        <v>707</v>
      </c>
      <c r="E20" s="43">
        <f>Transportation!E15</f>
        <v>0</v>
      </c>
      <c r="F20" s="43">
        <f>Transportation!F15</f>
        <v>0</v>
      </c>
      <c r="G20" s="43">
        <f>Transportation!G15</f>
        <v>0</v>
      </c>
      <c r="H20" s="43">
        <f>Transportation!H15</f>
        <v>0</v>
      </c>
      <c r="I20" s="43">
        <f>Transportation!I15</f>
        <v>0</v>
      </c>
      <c r="J20" s="43">
        <f>Transportation!J15</f>
        <v>0</v>
      </c>
      <c r="K20" s="43">
        <f>Transportation!K15</f>
        <v>0</v>
      </c>
      <c r="L20" s="43">
        <f>Transportation!L15</f>
        <v>0</v>
      </c>
      <c r="M20" s="43">
        <f>Transportation!M15</f>
        <v>0</v>
      </c>
      <c r="N20" s="43">
        <f>Transportation!N15</f>
        <v>0</v>
      </c>
      <c r="O20" s="43">
        <f>Transportation!O15</f>
        <v>0</v>
      </c>
      <c r="P20" s="43">
        <f>Transportation!P15</f>
        <v>0</v>
      </c>
      <c r="Q20" s="61">
        <f t="shared" si="1"/>
        <v>0</v>
      </c>
      <c r="T20" s="35"/>
      <c r="U20" s="40">
        <f t="shared" si="0"/>
        <v>0</v>
      </c>
    </row>
    <row r="21" spans="1:21" s="3" customFormat="1" ht="24.95" customHeight="1">
      <c r="A21" s="3" t="s">
        <v>708</v>
      </c>
      <c r="B21" s="3" t="s">
        <v>709</v>
      </c>
      <c r="D21" s="26" t="s">
        <v>1191</v>
      </c>
      <c r="E21" s="43">
        <f>'Garage Parking'!E17</f>
        <v>5500</v>
      </c>
      <c r="F21" s="43">
        <f>'Garage Parking'!F17</f>
        <v>5500</v>
      </c>
      <c r="G21" s="43">
        <f>'Garage Parking'!G17</f>
        <v>4500</v>
      </c>
      <c r="H21" s="43">
        <f>'Garage Parking'!H17</f>
        <v>4500</v>
      </c>
      <c r="I21" s="43">
        <f>'Garage Parking'!I17</f>
        <v>5500</v>
      </c>
      <c r="J21" s="43">
        <f>'Garage Parking'!J17</f>
        <v>4500</v>
      </c>
      <c r="K21" s="43">
        <f>'Garage Parking'!K17</f>
        <v>4500</v>
      </c>
      <c r="L21" s="43">
        <f>'Garage Parking'!L17</f>
        <v>4500</v>
      </c>
      <c r="M21" s="43">
        <f>'Garage Parking'!M17</f>
        <v>4500</v>
      </c>
      <c r="N21" s="43">
        <f>'Garage Parking'!N17</f>
        <v>5500</v>
      </c>
      <c r="O21" s="43">
        <f>'Garage Parking'!O17</f>
        <v>5800</v>
      </c>
      <c r="P21" s="43">
        <f>'Garage Parking'!P17</f>
        <v>5800</v>
      </c>
      <c r="Q21" s="61">
        <f t="shared" si="1"/>
        <v>60600</v>
      </c>
      <c r="T21" s="35"/>
      <c r="U21" s="40" t="e">
        <f t="shared" si="0"/>
        <v>#DIV/0!</v>
      </c>
    </row>
    <row r="22" spans="1:21" s="3" customFormat="1" ht="24.95" hidden="1" customHeight="1">
      <c r="A22" s="3" t="s">
        <v>711</v>
      </c>
      <c r="B22" s="3" t="s">
        <v>712</v>
      </c>
      <c r="D22" s="26" t="s">
        <v>713</v>
      </c>
      <c r="E22" s="43">
        <f>'DYT Galleria'!E14</f>
        <v>0</v>
      </c>
      <c r="F22" s="43">
        <f>'DYT Galleria'!F14</f>
        <v>0</v>
      </c>
      <c r="G22" s="43">
        <f>'DYT Galleria'!G14</f>
        <v>0</v>
      </c>
      <c r="H22" s="43">
        <f>'DYT Galleria'!H14</f>
        <v>0</v>
      </c>
      <c r="I22" s="43">
        <f>'DYT Galleria'!I14</f>
        <v>0</v>
      </c>
      <c r="J22" s="43">
        <f>'DYT Galleria'!J14</f>
        <v>0</v>
      </c>
      <c r="K22" s="43">
        <f>'DYT Galleria'!K14</f>
        <v>0</v>
      </c>
      <c r="L22" s="43">
        <f>'DYT Galleria'!L14</f>
        <v>0</v>
      </c>
      <c r="M22" s="43">
        <f>'DYT Galleria'!M14</f>
        <v>0</v>
      </c>
      <c r="N22" s="43">
        <f>'DYT Galleria'!N14</f>
        <v>0</v>
      </c>
      <c r="O22" s="43">
        <f>'DYT Galleria'!O14</f>
        <v>0</v>
      </c>
      <c r="P22" s="43">
        <f>'DYT Galleria'!P14</f>
        <v>0</v>
      </c>
      <c r="Q22" s="61">
        <f t="shared" si="1"/>
        <v>0</v>
      </c>
      <c r="T22" s="35"/>
      <c r="U22" s="40">
        <f t="shared" si="0"/>
        <v>0</v>
      </c>
    </row>
    <row r="23" spans="1:21" s="3" customFormat="1" ht="24.95" hidden="1" customHeight="1">
      <c r="A23" s="3" t="s">
        <v>711</v>
      </c>
      <c r="B23" s="3" t="s">
        <v>714</v>
      </c>
      <c r="D23" s="26" t="s">
        <v>715</v>
      </c>
      <c r="E23" s="43"/>
      <c r="F23" s="43"/>
      <c r="G23" s="43"/>
      <c r="H23" s="43"/>
      <c r="I23" s="43"/>
      <c r="J23" s="43"/>
      <c r="K23" s="43"/>
      <c r="L23" s="43"/>
      <c r="M23" s="43"/>
      <c r="N23" s="43"/>
      <c r="O23" s="43"/>
      <c r="P23" s="43"/>
      <c r="Q23" s="61">
        <f t="shared" si="1"/>
        <v>0</v>
      </c>
      <c r="T23" s="35"/>
      <c r="U23" s="40">
        <f t="shared" si="0"/>
        <v>0</v>
      </c>
    </row>
    <row r="24" spans="1:21" s="3" customFormat="1" ht="24.95" customHeight="1">
      <c r="A24" s="3" t="s">
        <v>716</v>
      </c>
      <c r="B24" s="3" t="s">
        <v>717</v>
      </c>
      <c r="D24" s="26" t="s">
        <v>718</v>
      </c>
      <c r="E24" s="43">
        <f>'Guest Laundry'!E18</f>
        <v>3000</v>
      </c>
      <c r="F24" s="43">
        <f>'Guest Laundry'!F18</f>
        <v>3000</v>
      </c>
      <c r="G24" s="43">
        <f>'Guest Laundry'!G18</f>
        <v>3000</v>
      </c>
      <c r="H24" s="43">
        <f>'Guest Laundry'!H18</f>
        <v>3000</v>
      </c>
      <c r="I24" s="43">
        <f>'Guest Laundry'!I18</f>
        <v>3000</v>
      </c>
      <c r="J24" s="43">
        <f>'Guest Laundry'!J18</f>
        <v>3000</v>
      </c>
      <c r="K24" s="43">
        <f>'Guest Laundry'!K18</f>
        <v>3000</v>
      </c>
      <c r="L24" s="43">
        <f>'Guest Laundry'!L18</f>
        <v>3000</v>
      </c>
      <c r="M24" s="43">
        <f>'Guest Laundry'!M18</f>
        <v>3000</v>
      </c>
      <c r="N24" s="43">
        <f>'Guest Laundry'!N18</f>
        <v>3000</v>
      </c>
      <c r="O24" s="43">
        <f>'Guest Laundry'!O18</f>
        <v>3000</v>
      </c>
      <c r="P24" s="43">
        <f>'Guest Laundry'!P18</f>
        <v>3000</v>
      </c>
      <c r="Q24" s="61">
        <f t="shared" si="1"/>
        <v>36000</v>
      </c>
      <c r="T24" s="35"/>
      <c r="U24" s="40" t="e">
        <f t="shared" si="0"/>
        <v>#DIV/0!</v>
      </c>
    </row>
    <row r="25" spans="1:21" s="3" customFormat="1" ht="24.95" hidden="1" customHeight="1">
      <c r="A25" s="3" t="s">
        <v>719</v>
      </c>
      <c r="B25" s="3" t="s">
        <v>720</v>
      </c>
      <c r="D25" s="26" t="s">
        <v>721</v>
      </c>
      <c r="E25" s="43">
        <f>Apartment!E15</f>
        <v>0</v>
      </c>
      <c r="F25" s="43">
        <f>Apartment!F15</f>
        <v>0</v>
      </c>
      <c r="G25" s="43">
        <f>Apartment!G15</f>
        <v>0</v>
      </c>
      <c r="H25" s="43">
        <f>Apartment!H15</f>
        <v>0</v>
      </c>
      <c r="I25" s="43">
        <f>Apartment!I15</f>
        <v>0</v>
      </c>
      <c r="J25" s="43">
        <f>Apartment!J15</f>
        <v>0</v>
      </c>
      <c r="K25" s="43">
        <f>Apartment!K15</f>
        <v>0</v>
      </c>
      <c r="L25" s="43">
        <f>Apartment!L15</f>
        <v>0</v>
      </c>
      <c r="M25" s="43">
        <f>Apartment!M15</f>
        <v>0</v>
      </c>
      <c r="N25" s="43">
        <f>Apartment!N15</f>
        <v>0</v>
      </c>
      <c r="O25" s="43">
        <f>Apartment!O15</f>
        <v>0</v>
      </c>
      <c r="P25" s="43">
        <f>Apartment!P15</f>
        <v>0</v>
      </c>
      <c r="Q25" s="61">
        <f t="shared" si="1"/>
        <v>0</v>
      </c>
      <c r="T25" s="35"/>
      <c r="U25" s="40">
        <f t="shared" si="0"/>
        <v>0</v>
      </c>
    </row>
    <row r="26" spans="1:21" s="3" customFormat="1" ht="24.95" hidden="1" customHeight="1">
      <c r="A26" s="3" t="s">
        <v>722</v>
      </c>
      <c r="B26" s="3" t="s">
        <v>35</v>
      </c>
      <c r="D26" s="26" t="s">
        <v>723</v>
      </c>
      <c r="E26" s="129"/>
      <c r="F26" s="129"/>
      <c r="G26" s="129"/>
      <c r="H26" s="129"/>
      <c r="I26" s="129"/>
      <c r="J26" s="129"/>
      <c r="K26" s="132"/>
      <c r="L26" s="132"/>
      <c r="M26" s="27"/>
      <c r="N26" s="27"/>
      <c r="O26" s="27"/>
      <c r="P26" s="27"/>
      <c r="Q26" s="61">
        <f t="shared" si="1"/>
        <v>0</v>
      </c>
      <c r="T26" s="35"/>
      <c r="U26" s="40">
        <f t="shared" si="0"/>
        <v>0</v>
      </c>
    </row>
    <row r="27" spans="1:21" s="3" customFormat="1" ht="24.95" customHeight="1">
      <c r="D27" s="26" t="s">
        <v>724</v>
      </c>
      <c r="E27" s="45">
        <f>SUM(E12:E26)</f>
        <v>8500</v>
      </c>
      <c r="F27" s="45">
        <f t="shared" ref="F27:P27" si="2">SUM(F12:F26)</f>
        <v>8500</v>
      </c>
      <c r="G27" s="45">
        <f t="shared" si="2"/>
        <v>7500</v>
      </c>
      <c r="H27" s="45">
        <f t="shared" si="2"/>
        <v>7500</v>
      </c>
      <c r="I27" s="45">
        <f t="shared" si="2"/>
        <v>8500</v>
      </c>
      <c r="J27" s="45">
        <f t="shared" si="2"/>
        <v>7500</v>
      </c>
      <c r="K27" s="45">
        <f t="shared" si="2"/>
        <v>7500</v>
      </c>
      <c r="L27" s="45">
        <f t="shared" si="2"/>
        <v>7500</v>
      </c>
      <c r="M27" s="45">
        <f t="shared" si="2"/>
        <v>7500</v>
      </c>
      <c r="N27" s="45">
        <f t="shared" si="2"/>
        <v>8500</v>
      </c>
      <c r="O27" s="45">
        <f t="shared" si="2"/>
        <v>8800</v>
      </c>
      <c r="P27" s="45">
        <f t="shared" si="2"/>
        <v>8800</v>
      </c>
      <c r="Q27" s="45">
        <f>SUM(Q13:Q26)</f>
        <v>96600</v>
      </c>
      <c r="T27" s="35"/>
      <c r="U27" s="40" t="e">
        <f t="shared" si="0"/>
        <v>#DIV/0!</v>
      </c>
    </row>
    <row r="28" spans="1:21" s="3" customFormat="1" ht="24.95" customHeight="1">
      <c r="D28" s="26"/>
      <c r="E28" s="43"/>
      <c r="F28" s="130"/>
      <c r="G28" s="43"/>
      <c r="H28" s="130"/>
      <c r="I28" s="43"/>
      <c r="J28" s="130"/>
      <c r="K28" s="43"/>
      <c r="L28" s="130"/>
      <c r="M28" s="43"/>
      <c r="N28" s="130"/>
      <c r="T28" s="35"/>
      <c r="U28" s="40"/>
    </row>
    <row r="29" spans="1:21" s="3" customFormat="1" ht="24.95" customHeight="1">
      <c r="D29" s="21" t="s">
        <v>725</v>
      </c>
      <c r="E29" s="24"/>
      <c r="F29" s="131"/>
      <c r="G29" s="24"/>
      <c r="H29" s="131"/>
      <c r="I29" s="24"/>
      <c r="J29" s="131"/>
      <c r="K29" s="25"/>
      <c r="L29" s="135"/>
      <c r="M29" s="25"/>
      <c r="N29" s="131"/>
      <c r="T29" s="35"/>
      <c r="U29" s="40"/>
    </row>
    <row r="30" spans="1:21" s="3" customFormat="1" ht="24.95" customHeight="1">
      <c r="A30" s="3" t="s">
        <v>726</v>
      </c>
      <c r="B30" s="3" t="s">
        <v>682</v>
      </c>
      <c r="D30" s="3" t="s">
        <v>683</v>
      </c>
      <c r="E30" s="43"/>
      <c r="F30" s="132"/>
      <c r="G30" s="43"/>
      <c r="H30" s="132"/>
      <c r="I30" s="43"/>
      <c r="J30" s="132"/>
      <c r="K30" s="43"/>
      <c r="L30" s="132"/>
      <c r="M30" s="43"/>
      <c r="N30" s="132"/>
      <c r="O30" s="61"/>
      <c r="P30" s="61"/>
      <c r="Q30" s="61">
        <f>SUM(E30:P30)</f>
        <v>0</v>
      </c>
      <c r="T30" s="35"/>
      <c r="U30" s="40">
        <f t="shared" ref="U30:U45" si="3">-IF(Q30-T30=0,0,(Q30-T30)/T30)</f>
        <v>0</v>
      </c>
    </row>
    <row r="31" spans="1:21" s="3" customFormat="1" ht="24.95" customHeight="1">
      <c r="A31" s="3" t="s">
        <v>726</v>
      </c>
      <c r="B31" s="3" t="s">
        <v>685</v>
      </c>
      <c r="D31" s="26" t="s">
        <v>686</v>
      </c>
      <c r="E31" s="63">
        <f>'Health Club'!E47+'Health Club'!E120</f>
        <v>0</v>
      </c>
      <c r="F31" s="63">
        <f>'Health Club'!F47+'Health Club'!F120</f>
        <v>0</v>
      </c>
      <c r="G31" s="63">
        <f>'Health Club'!G47+'Health Club'!G120</f>
        <v>0</v>
      </c>
      <c r="H31" s="63">
        <f>'Health Club'!H47+'Health Club'!H120</f>
        <v>0</v>
      </c>
      <c r="I31" s="63">
        <f>'Health Club'!I47+'Health Club'!I120</f>
        <v>0</v>
      </c>
      <c r="J31" s="63">
        <f>'Health Club'!J47+'Health Club'!J120</f>
        <v>0</v>
      </c>
      <c r="K31" s="63">
        <f>'Health Club'!K47+'Health Club'!K120</f>
        <v>0</v>
      </c>
      <c r="L31" s="63">
        <f>'Health Club'!L47+'Health Club'!L120</f>
        <v>0</v>
      </c>
      <c r="M31" s="63">
        <f>'Health Club'!M47+'Health Club'!M120</f>
        <v>0</v>
      </c>
      <c r="N31" s="63">
        <f>'Health Club'!N47+'Health Club'!N120</f>
        <v>0</v>
      </c>
      <c r="O31" s="63">
        <f>'Health Club'!O47+'Health Club'!O120</f>
        <v>0</v>
      </c>
      <c r="P31" s="63">
        <f>'Health Club'!P47+'Health Club'!P120</f>
        <v>0</v>
      </c>
      <c r="Q31" s="61">
        <f>SUM(E31:P31)</f>
        <v>0</v>
      </c>
      <c r="R31" s="39">
        <f>IF(Q13=0,0,Q31/Q13)</f>
        <v>0</v>
      </c>
      <c r="S31" s="39"/>
      <c r="T31" s="35"/>
      <c r="U31" s="40">
        <f t="shared" si="3"/>
        <v>0</v>
      </c>
    </row>
    <row r="32" spans="1:21" s="3" customFormat="1" ht="24.95" hidden="1" customHeight="1">
      <c r="A32" s="3" t="s">
        <v>726</v>
      </c>
      <c r="B32" s="3" t="s">
        <v>688</v>
      </c>
      <c r="D32" s="26" t="s">
        <v>689</v>
      </c>
      <c r="E32" s="63"/>
      <c r="F32" s="63"/>
      <c r="G32" s="63"/>
      <c r="H32" s="63"/>
      <c r="I32" s="63"/>
      <c r="J32" s="63"/>
      <c r="K32" s="63"/>
      <c r="L32" s="63"/>
      <c r="M32" s="63"/>
      <c r="N32" s="63"/>
      <c r="O32" s="63"/>
      <c r="P32" s="63"/>
      <c r="Q32" s="61">
        <f t="shared" ref="Q32:Q38" si="4">SUM(E32:P32)</f>
        <v>0</v>
      </c>
      <c r="R32" s="39">
        <f t="shared" ref="R32:R44" si="5">IF(Q14=0,0,Q32/Q14)</f>
        <v>0</v>
      </c>
      <c r="T32" s="35"/>
      <c r="U32" s="40">
        <f t="shared" si="3"/>
        <v>0</v>
      </c>
    </row>
    <row r="33" spans="1:21" s="3" customFormat="1" ht="24.95" hidden="1" customHeight="1">
      <c r="A33" s="3" t="s">
        <v>726</v>
      </c>
      <c r="B33" s="3" t="s">
        <v>691</v>
      </c>
      <c r="D33" s="26" t="s">
        <v>692</v>
      </c>
      <c r="E33" s="63"/>
      <c r="F33" s="63"/>
      <c r="G33" s="63"/>
      <c r="H33" s="63"/>
      <c r="I33" s="63"/>
      <c r="J33" s="63"/>
      <c r="K33" s="63"/>
      <c r="L33" s="63"/>
      <c r="M33" s="63"/>
      <c r="N33" s="63"/>
      <c r="O33" s="63"/>
      <c r="P33" s="63"/>
      <c r="Q33" s="61">
        <f t="shared" si="4"/>
        <v>0</v>
      </c>
      <c r="R33" s="39">
        <f t="shared" si="5"/>
        <v>0</v>
      </c>
      <c r="T33" s="35"/>
      <c r="U33" s="40">
        <f t="shared" si="3"/>
        <v>0</v>
      </c>
    </row>
    <row r="34" spans="1:21" s="3" customFormat="1" ht="24.95" hidden="1" customHeight="1">
      <c r="A34" s="3" t="s">
        <v>726</v>
      </c>
      <c r="B34" s="3" t="s">
        <v>694</v>
      </c>
      <c r="D34" s="78" t="s">
        <v>695</v>
      </c>
      <c r="E34" s="63"/>
      <c r="F34" s="63"/>
      <c r="G34" s="63"/>
      <c r="H34" s="63"/>
      <c r="I34" s="63"/>
      <c r="J34" s="63"/>
      <c r="K34" s="63"/>
      <c r="L34" s="63"/>
      <c r="M34" s="63"/>
      <c r="N34" s="63"/>
      <c r="O34" s="63"/>
      <c r="P34" s="63"/>
      <c r="Q34" s="61">
        <f t="shared" si="4"/>
        <v>0</v>
      </c>
      <c r="R34" s="39">
        <f t="shared" si="5"/>
        <v>0</v>
      </c>
      <c r="T34" s="35"/>
      <c r="U34" s="40">
        <f t="shared" si="3"/>
        <v>0</v>
      </c>
    </row>
    <row r="35" spans="1:21" s="3" customFormat="1" ht="24.95" hidden="1" customHeight="1">
      <c r="A35" s="3" t="s">
        <v>726</v>
      </c>
      <c r="B35" s="3" t="s">
        <v>697</v>
      </c>
      <c r="D35" s="26" t="s">
        <v>698</v>
      </c>
      <c r="E35" s="63"/>
      <c r="F35" s="63"/>
      <c r="G35" s="63"/>
      <c r="H35" s="63"/>
      <c r="I35" s="63"/>
      <c r="J35" s="63"/>
      <c r="K35" s="63"/>
      <c r="L35" s="63"/>
      <c r="M35" s="63"/>
      <c r="N35" s="63"/>
      <c r="O35" s="63"/>
      <c r="P35" s="63"/>
      <c r="Q35" s="61">
        <f t="shared" si="4"/>
        <v>0</v>
      </c>
      <c r="R35" s="39">
        <f t="shared" si="5"/>
        <v>0</v>
      </c>
      <c r="T35" s="35"/>
      <c r="U35" s="40">
        <f t="shared" si="3"/>
        <v>0</v>
      </c>
    </row>
    <row r="36" spans="1:21" s="3" customFormat="1" ht="24.95" customHeight="1">
      <c r="A36" s="3" t="s">
        <v>726</v>
      </c>
      <c r="B36" s="3" t="s">
        <v>700</v>
      </c>
      <c r="D36" s="26" t="s">
        <v>701</v>
      </c>
      <c r="E36" s="63">
        <f>BC!E113+BC!E40</f>
        <v>0</v>
      </c>
      <c r="F36" s="63">
        <f>BC!F113+BC!F40</f>
        <v>0</v>
      </c>
      <c r="G36" s="63">
        <f>BC!G113+BC!G40</f>
        <v>0</v>
      </c>
      <c r="H36" s="63">
        <f>BC!H113+BC!H40</f>
        <v>0</v>
      </c>
      <c r="I36" s="63">
        <f>BC!I113+BC!I40</f>
        <v>0</v>
      </c>
      <c r="J36" s="63">
        <f>BC!J113+BC!J40</f>
        <v>0</v>
      </c>
      <c r="K36" s="63">
        <f>BC!K113+BC!K40</f>
        <v>0</v>
      </c>
      <c r="L36" s="63">
        <f>BC!L113+BC!L40</f>
        <v>0</v>
      </c>
      <c r="M36" s="63">
        <f>BC!M113+BC!M40</f>
        <v>0</v>
      </c>
      <c r="N36" s="63">
        <f>BC!N113+BC!N40</f>
        <v>0</v>
      </c>
      <c r="O36" s="63">
        <f>BC!O113+BC!O40</f>
        <v>0</v>
      </c>
      <c r="P36" s="63">
        <f>BC!P113+BC!P40</f>
        <v>0</v>
      </c>
      <c r="Q36" s="61">
        <f t="shared" si="4"/>
        <v>0</v>
      </c>
      <c r="R36" s="39">
        <f t="shared" si="5"/>
        <v>0</v>
      </c>
      <c r="S36" s="39"/>
      <c r="T36" s="35"/>
      <c r="U36" s="40">
        <f t="shared" si="3"/>
        <v>0</v>
      </c>
    </row>
    <row r="37" spans="1:21" s="3" customFormat="1" ht="24.95" customHeight="1">
      <c r="A37" s="3" t="s">
        <v>726</v>
      </c>
      <c r="B37" s="3" t="s">
        <v>703</v>
      </c>
      <c r="D37" s="26" t="s">
        <v>704</v>
      </c>
      <c r="E37" s="63">
        <f>Telephone!E25+Telephone!E98</f>
        <v>1823.49</v>
      </c>
      <c r="F37" s="63">
        <f>Telephone!F25+Telephone!F98</f>
        <v>1955.81</v>
      </c>
      <c r="G37" s="63">
        <f>Telephone!G25+Telephone!G98</f>
        <v>1818.6</v>
      </c>
      <c r="H37" s="63">
        <f>Telephone!H25+Telephone!H98</f>
        <v>1967.15</v>
      </c>
      <c r="I37" s="63">
        <f>Telephone!I25+Telephone!I98</f>
        <v>1985.46</v>
      </c>
      <c r="J37" s="63">
        <f>Telephone!J25+Telephone!J98</f>
        <v>1998.85</v>
      </c>
      <c r="K37" s="63">
        <f>Telephone!K25+Telephone!K98</f>
        <v>1984.1</v>
      </c>
      <c r="L37" s="63">
        <f>Telephone!L25+Telephone!L98</f>
        <v>1991.14</v>
      </c>
      <c r="M37" s="63">
        <f>Telephone!M25+Telephone!M98</f>
        <v>2083.35</v>
      </c>
      <c r="N37" s="63">
        <f>Telephone!N25+Telephone!N98</f>
        <v>2215.67</v>
      </c>
      <c r="O37" s="63">
        <f>Telephone!O25+Telephone!O98</f>
        <v>1929.87</v>
      </c>
      <c r="P37" s="63">
        <f>Telephone!P25+Telephone!P98</f>
        <v>1903.11</v>
      </c>
      <c r="Q37" s="355">
        <f t="shared" si="4"/>
        <v>23656.599999999995</v>
      </c>
      <c r="R37" s="39">
        <f t="shared" si="5"/>
        <v>0</v>
      </c>
      <c r="S37" s="39"/>
      <c r="T37" s="35"/>
      <c r="U37" s="40" t="e">
        <f t="shared" si="3"/>
        <v>#DIV/0!</v>
      </c>
    </row>
    <row r="38" spans="1:21" s="3" customFormat="1" ht="24.95" customHeight="1">
      <c r="A38" s="3" t="s">
        <v>726</v>
      </c>
      <c r="B38" s="3" t="s">
        <v>706</v>
      </c>
      <c r="D38" s="26" t="s">
        <v>707</v>
      </c>
      <c r="E38" s="63">
        <f>Transportation!E21+Transportation!E94</f>
        <v>1250</v>
      </c>
      <c r="F38" s="63">
        <f>Transportation!F21+Transportation!F94</f>
        <v>1250</v>
      </c>
      <c r="G38" s="63">
        <f>Transportation!G21+Transportation!G94</f>
        <v>1250</v>
      </c>
      <c r="H38" s="63">
        <f>Transportation!H21+Transportation!H94</f>
        <v>1250</v>
      </c>
      <c r="I38" s="63">
        <f>Transportation!I21+Transportation!I94</f>
        <v>1250</v>
      </c>
      <c r="J38" s="63">
        <f>Transportation!J21+Transportation!J94</f>
        <v>1250</v>
      </c>
      <c r="K38" s="63">
        <f>Transportation!K21+Transportation!K94</f>
        <v>2450</v>
      </c>
      <c r="L38" s="63">
        <f>Transportation!L21+Transportation!L94</f>
        <v>1250</v>
      </c>
      <c r="M38" s="63">
        <f>Transportation!M21+Transportation!M94</f>
        <v>1250</v>
      </c>
      <c r="N38" s="63">
        <f>Transportation!N21+Transportation!N94</f>
        <v>1250</v>
      </c>
      <c r="O38" s="63">
        <f>Transportation!O21+Transportation!O94</f>
        <v>1250</v>
      </c>
      <c r="P38" s="63">
        <f>Transportation!P21+Transportation!P94</f>
        <v>1250</v>
      </c>
      <c r="Q38" s="355">
        <f t="shared" si="4"/>
        <v>16200</v>
      </c>
      <c r="R38" s="39">
        <f t="shared" si="5"/>
        <v>0</v>
      </c>
      <c r="S38" s="39"/>
      <c r="T38" s="35"/>
      <c r="U38" s="40" t="e">
        <f t="shared" si="3"/>
        <v>#DIV/0!</v>
      </c>
    </row>
    <row r="39" spans="1:21" s="3" customFormat="1" ht="24.95" hidden="1" customHeight="1">
      <c r="A39" s="3" t="s">
        <v>726</v>
      </c>
      <c r="B39" s="3" t="s">
        <v>709</v>
      </c>
      <c r="D39" s="26" t="s">
        <v>710</v>
      </c>
      <c r="E39" s="63"/>
      <c r="F39" s="63"/>
      <c r="G39" s="63"/>
      <c r="H39" s="63"/>
      <c r="I39" s="63"/>
      <c r="J39" s="63"/>
      <c r="K39" s="63"/>
      <c r="L39" s="63"/>
      <c r="M39" s="63"/>
      <c r="N39" s="63"/>
      <c r="O39" s="63"/>
      <c r="P39" s="63"/>
      <c r="Q39" s="355">
        <f t="shared" ref="Q39:Q44" si="6">SUM(E39:P39)</f>
        <v>0</v>
      </c>
      <c r="R39" s="39">
        <f t="shared" si="5"/>
        <v>0</v>
      </c>
      <c r="S39" s="39"/>
      <c r="T39" s="35"/>
      <c r="U39" s="40">
        <f t="shared" si="3"/>
        <v>0</v>
      </c>
    </row>
    <row r="40" spans="1:21" s="3" customFormat="1" ht="24.95" customHeight="1">
      <c r="A40" s="3" t="s">
        <v>726</v>
      </c>
      <c r="B40" s="3" t="s">
        <v>712</v>
      </c>
      <c r="D40" s="26" t="s">
        <v>713</v>
      </c>
      <c r="E40" s="63">
        <f>'DYT Galleria'!E18+'DYT Galleria'!E91</f>
        <v>0</v>
      </c>
      <c r="F40" s="63">
        <f>'DYT Galleria'!F18+'DYT Galleria'!F91</f>
        <v>0</v>
      </c>
      <c r="G40" s="63">
        <f>'DYT Galleria'!G18+'DYT Galleria'!G91</f>
        <v>0</v>
      </c>
      <c r="H40" s="63">
        <f>'DYT Galleria'!H18+'DYT Galleria'!H91</f>
        <v>0</v>
      </c>
      <c r="I40" s="63">
        <f>'DYT Galleria'!I18+'DYT Galleria'!I91</f>
        <v>0</v>
      </c>
      <c r="J40" s="63">
        <f>'DYT Galleria'!J18+'DYT Galleria'!J91</f>
        <v>0</v>
      </c>
      <c r="K40" s="63">
        <f>'DYT Galleria'!K18+'DYT Galleria'!K91</f>
        <v>0</v>
      </c>
      <c r="L40" s="63">
        <f>'DYT Galleria'!L18+'DYT Galleria'!L91</f>
        <v>0</v>
      </c>
      <c r="M40" s="63">
        <f>'DYT Galleria'!M18+'DYT Galleria'!M91</f>
        <v>0</v>
      </c>
      <c r="N40" s="63">
        <f>'DYT Galleria'!N18+'DYT Galleria'!N91</f>
        <v>0</v>
      </c>
      <c r="O40" s="63">
        <f>'DYT Galleria'!O18+'DYT Galleria'!O91</f>
        <v>0</v>
      </c>
      <c r="P40" s="63">
        <f>'DYT Galleria'!P18+'DYT Galleria'!P91</f>
        <v>0</v>
      </c>
      <c r="Q40" s="355">
        <f t="shared" si="6"/>
        <v>0</v>
      </c>
      <c r="R40" s="39">
        <f t="shared" si="5"/>
        <v>0</v>
      </c>
      <c r="S40" s="39"/>
      <c r="T40" s="35"/>
      <c r="U40" s="40">
        <f t="shared" si="3"/>
        <v>0</v>
      </c>
    </row>
    <row r="41" spans="1:21" s="3" customFormat="1" ht="24.95" hidden="1" customHeight="1">
      <c r="A41" s="3" t="s">
        <v>726</v>
      </c>
      <c r="B41" s="3" t="s">
        <v>714</v>
      </c>
      <c r="D41" s="26" t="s">
        <v>715</v>
      </c>
      <c r="E41" s="63"/>
      <c r="F41" s="63"/>
      <c r="G41" s="63"/>
      <c r="H41" s="63"/>
      <c r="I41" s="63"/>
      <c r="J41" s="63"/>
      <c r="K41" s="63"/>
      <c r="L41" s="63"/>
      <c r="M41" s="63"/>
      <c r="N41" s="63"/>
      <c r="O41" s="63"/>
      <c r="P41" s="63"/>
      <c r="Q41" s="355">
        <f t="shared" si="6"/>
        <v>0</v>
      </c>
      <c r="R41" s="39">
        <f t="shared" si="5"/>
        <v>0</v>
      </c>
      <c r="S41" s="39"/>
      <c r="T41" s="35"/>
      <c r="U41" s="40">
        <f t="shared" si="3"/>
        <v>0</v>
      </c>
    </row>
    <row r="42" spans="1:21" s="3" customFormat="1" ht="24.95" customHeight="1">
      <c r="A42" s="3" t="s">
        <v>726</v>
      </c>
      <c r="B42" s="3" t="s">
        <v>717</v>
      </c>
      <c r="D42" s="26" t="s">
        <v>718</v>
      </c>
      <c r="E42" s="63">
        <f>'Guest Laundry'!E27+'Guest Laundry'!E100</f>
        <v>600</v>
      </c>
      <c r="F42" s="63">
        <f>'Guest Laundry'!F27+'Guest Laundry'!F100</f>
        <v>600</v>
      </c>
      <c r="G42" s="63">
        <f>'Guest Laundry'!G27+'Guest Laundry'!G100</f>
        <v>600</v>
      </c>
      <c r="H42" s="63">
        <f>'Guest Laundry'!H27+'Guest Laundry'!H100</f>
        <v>600</v>
      </c>
      <c r="I42" s="63">
        <f>'Guest Laundry'!I27+'Guest Laundry'!I100</f>
        <v>600</v>
      </c>
      <c r="J42" s="63">
        <f>'Guest Laundry'!J27+'Guest Laundry'!J100</f>
        <v>600</v>
      </c>
      <c r="K42" s="63">
        <f>'Guest Laundry'!K27+'Guest Laundry'!K100</f>
        <v>600</v>
      </c>
      <c r="L42" s="63">
        <f>'Guest Laundry'!L27+'Guest Laundry'!L100</f>
        <v>600</v>
      </c>
      <c r="M42" s="63">
        <f>'Guest Laundry'!M27+'Guest Laundry'!M100</f>
        <v>600</v>
      </c>
      <c r="N42" s="63">
        <f>'Guest Laundry'!N27+'Guest Laundry'!N100</f>
        <v>600</v>
      </c>
      <c r="O42" s="63">
        <f>'Guest Laundry'!O27+'Guest Laundry'!O100</f>
        <v>600</v>
      </c>
      <c r="P42" s="63">
        <f>'Guest Laundry'!P27+'Guest Laundry'!P100</f>
        <v>600</v>
      </c>
      <c r="Q42" s="355">
        <f t="shared" si="6"/>
        <v>7200</v>
      </c>
      <c r="R42" s="39">
        <f t="shared" si="5"/>
        <v>0.2</v>
      </c>
      <c r="S42" s="39"/>
      <c r="T42" s="35"/>
      <c r="U42" s="40" t="e">
        <f t="shared" si="3"/>
        <v>#DIV/0!</v>
      </c>
    </row>
    <row r="43" spans="1:21" s="3" customFormat="1" ht="24.95" customHeight="1">
      <c r="A43" s="3" t="s">
        <v>726</v>
      </c>
      <c r="B43" s="3" t="s">
        <v>720</v>
      </c>
      <c r="D43" s="26" t="s">
        <v>721</v>
      </c>
      <c r="E43" s="63">
        <f>Apartment!E106</f>
        <v>0</v>
      </c>
      <c r="F43" s="63">
        <f>Apartment!F106</f>
        <v>0</v>
      </c>
      <c r="G43" s="63">
        <f>Apartment!G106</f>
        <v>0</v>
      </c>
      <c r="H43" s="63">
        <f>Apartment!H106</f>
        <v>0</v>
      </c>
      <c r="I43" s="63">
        <f>Apartment!I106</f>
        <v>0</v>
      </c>
      <c r="J43" s="63">
        <f>Apartment!J106</f>
        <v>0</v>
      </c>
      <c r="K43" s="63">
        <f>Apartment!K106</f>
        <v>0</v>
      </c>
      <c r="L43" s="63">
        <f>Apartment!L106</f>
        <v>0</v>
      </c>
      <c r="M43" s="63">
        <f>Apartment!M106</f>
        <v>0</v>
      </c>
      <c r="N43" s="63">
        <f>Apartment!N106</f>
        <v>0</v>
      </c>
      <c r="O43" s="63">
        <f>Apartment!O106</f>
        <v>0</v>
      </c>
      <c r="P43" s="63">
        <f>Apartment!P106</f>
        <v>0</v>
      </c>
      <c r="Q43" s="355">
        <f t="shared" si="6"/>
        <v>0</v>
      </c>
      <c r="R43" s="39">
        <f t="shared" si="5"/>
        <v>0</v>
      </c>
      <c r="S43" s="39"/>
      <c r="T43" s="35"/>
      <c r="U43" s="40">
        <f t="shared" si="3"/>
        <v>0</v>
      </c>
    </row>
    <row r="44" spans="1:21" s="3" customFormat="1" ht="24.95" hidden="1" customHeight="1">
      <c r="A44" s="3" t="s">
        <v>726</v>
      </c>
      <c r="B44" s="3" t="s">
        <v>35</v>
      </c>
      <c r="D44" s="26" t="s">
        <v>723</v>
      </c>
      <c r="E44" s="63"/>
      <c r="F44" s="132">
        <v>0</v>
      </c>
      <c r="G44" s="63">
        <v>0</v>
      </c>
      <c r="H44" s="132">
        <v>0</v>
      </c>
      <c r="I44" s="63">
        <v>0</v>
      </c>
      <c r="J44" s="132">
        <v>0</v>
      </c>
      <c r="K44" s="63">
        <v>0</v>
      </c>
      <c r="L44" s="132">
        <v>0</v>
      </c>
      <c r="M44" s="27">
        <v>0</v>
      </c>
      <c r="N44" s="27">
        <v>0</v>
      </c>
      <c r="O44" s="27">
        <v>0</v>
      </c>
      <c r="P44" s="27">
        <v>0</v>
      </c>
      <c r="Q44" s="355">
        <f t="shared" si="6"/>
        <v>0</v>
      </c>
      <c r="R44" s="39">
        <f t="shared" si="5"/>
        <v>0</v>
      </c>
      <c r="S44" s="39"/>
      <c r="T44" s="35"/>
      <c r="U44" s="40">
        <f t="shared" si="3"/>
        <v>0</v>
      </c>
    </row>
    <row r="45" spans="1:21" s="3" customFormat="1" ht="24.95" customHeight="1">
      <c r="D45" s="26" t="s">
        <v>727</v>
      </c>
      <c r="E45" s="45">
        <f>SUM(E30:E44)</f>
        <v>3673.49</v>
      </c>
      <c r="F45" s="45">
        <f t="shared" ref="F45:P45" si="7">SUM(F30:F44)</f>
        <v>3805.81</v>
      </c>
      <c r="G45" s="45">
        <f t="shared" si="7"/>
        <v>3668.6</v>
      </c>
      <c r="H45" s="45">
        <f t="shared" si="7"/>
        <v>3817.15</v>
      </c>
      <c r="I45" s="45">
        <f t="shared" si="7"/>
        <v>3835.46</v>
      </c>
      <c r="J45" s="45">
        <f t="shared" si="7"/>
        <v>3848.85</v>
      </c>
      <c r="K45" s="45">
        <f t="shared" si="7"/>
        <v>5034.1000000000004</v>
      </c>
      <c r="L45" s="45">
        <f t="shared" si="7"/>
        <v>3841.1400000000003</v>
      </c>
      <c r="M45" s="45">
        <f t="shared" si="7"/>
        <v>3933.35</v>
      </c>
      <c r="N45" s="45">
        <f t="shared" si="7"/>
        <v>4065.67</v>
      </c>
      <c r="O45" s="45">
        <f t="shared" si="7"/>
        <v>3779.87</v>
      </c>
      <c r="P45" s="45">
        <f t="shared" si="7"/>
        <v>3753.1099999999997</v>
      </c>
      <c r="Q45" s="310">
        <f>SUM(Q31:Q44)</f>
        <v>47056.599999999991</v>
      </c>
      <c r="R45" s="39">
        <f t="shared" ref="R45" si="8">Q45/Q27</f>
        <v>0.48712836438923385</v>
      </c>
      <c r="S45" s="39"/>
      <c r="T45" s="35"/>
      <c r="U45" s="40" t="e">
        <f t="shared" si="3"/>
        <v>#DIV/0!</v>
      </c>
    </row>
    <row r="46" spans="1:21" s="3" customFormat="1" ht="24.95" customHeight="1">
      <c r="D46" s="26"/>
      <c r="E46" s="62"/>
      <c r="F46" s="133"/>
      <c r="G46" s="62"/>
      <c r="H46" s="133"/>
      <c r="I46" s="62"/>
      <c r="J46" s="133"/>
      <c r="K46" s="62"/>
      <c r="L46" s="136"/>
      <c r="M46" s="62"/>
      <c r="N46" s="136"/>
      <c r="O46" s="19"/>
      <c r="P46" s="19"/>
      <c r="Q46" s="19"/>
      <c r="T46" s="35"/>
      <c r="U46" s="40"/>
    </row>
    <row r="47" spans="1:21" s="19" customFormat="1" ht="24.95" customHeight="1">
      <c r="D47" s="21" t="s">
        <v>728</v>
      </c>
      <c r="E47" s="62"/>
      <c r="F47" s="133"/>
      <c r="G47" s="62"/>
      <c r="H47" s="133"/>
      <c r="I47" s="62"/>
      <c r="J47" s="133"/>
      <c r="K47" s="62"/>
      <c r="L47" s="136"/>
      <c r="M47" s="62"/>
      <c r="N47" s="136"/>
      <c r="T47" s="35"/>
      <c r="U47" s="40"/>
    </row>
    <row r="48" spans="1:21" s="19" customFormat="1" ht="24.95" customHeight="1">
      <c r="D48" s="3" t="s">
        <v>683</v>
      </c>
      <c r="E48" s="63">
        <f>+E12-E30</f>
        <v>0</v>
      </c>
      <c r="F48" s="63">
        <v>0</v>
      </c>
      <c r="G48" s="63">
        <v>0</v>
      </c>
      <c r="H48" s="63">
        <v>0</v>
      </c>
      <c r="I48" s="63">
        <v>0</v>
      </c>
      <c r="J48" s="63">
        <v>0</v>
      </c>
      <c r="K48" s="63">
        <v>0</v>
      </c>
      <c r="L48" s="63">
        <v>0</v>
      </c>
      <c r="M48" s="63">
        <f>+M12-M30</f>
        <v>0</v>
      </c>
      <c r="N48" s="63">
        <f>+N12-N30</f>
        <v>0</v>
      </c>
      <c r="O48" s="63">
        <f>+O12-O30</f>
        <v>0</v>
      </c>
      <c r="P48" s="63">
        <f>+P12-P30</f>
        <v>0</v>
      </c>
      <c r="Q48" s="63">
        <f t="shared" ref="Q48" si="9">+Q12-Q30</f>
        <v>0</v>
      </c>
      <c r="R48" s="39">
        <f>IF(Q12=0,0,Q48/Q12)</f>
        <v>0</v>
      </c>
      <c r="S48" s="3"/>
      <c r="T48" s="35"/>
      <c r="U48" s="40">
        <f t="shared" ref="U48:U64" si="10">IF(Q48-T48=0,0,(Q48-T48)/T48)</f>
        <v>0</v>
      </c>
    </row>
    <row r="49" spans="4:21" s="19" customFormat="1" ht="24.95" customHeight="1">
      <c r="D49" s="26" t="s">
        <v>686</v>
      </c>
      <c r="E49" s="63">
        <f>'Health Club'!E121</f>
        <v>0</v>
      </c>
      <c r="F49" s="63">
        <f>'Health Club'!F121</f>
        <v>0</v>
      </c>
      <c r="G49" s="63">
        <f>'Health Club'!G121</f>
        <v>0</v>
      </c>
      <c r="H49" s="63">
        <f>'Health Club'!H121</f>
        <v>0</v>
      </c>
      <c r="I49" s="63">
        <f>'Health Club'!I121</f>
        <v>0</v>
      </c>
      <c r="J49" s="63">
        <f>'Health Club'!J121</f>
        <v>0</v>
      </c>
      <c r="K49" s="63">
        <f>'Health Club'!K121</f>
        <v>0</v>
      </c>
      <c r="L49" s="63">
        <f>'Health Club'!L121</f>
        <v>0</v>
      </c>
      <c r="M49" s="63">
        <f>'Health Club'!M121</f>
        <v>0</v>
      </c>
      <c r="N49" s="63">
        <f>'Health Club'!N121</f>
        <v>0</v>
      </c>
      <c r="O49" s="63">
        <f>'Health Club'!O121</f>
        <v>0</v>
      </c>
      <c r="P49" s="63">
        <f>'Health Club'!P121</f>
        <v>0</v>
      </c>
      <c r="Q49" s="63">
        <f>SUM(E49:P49)</f>
        <v>0</v>
      </c>
      <c r="R49" s="39">
        <f t="shared" ref="R49:R62" si="11">IF(Q13=0,0,Q49/Q13)</f>
        <v>0</v>
      </c>
      <c r="S49" s="39"/>
      <c r="T49" s="35"/>
      <c r="U49" s="40">
        <f t="shared" si="10"/>
        <v>0</v>
      </c>
    </row>
    <row r="50" spans="4:21" s="19" customFormat="1" ht="24.95" hidden="1" customHeight="1">
      <c r="D50" s="26" t="s">
        <v>689</v>
      </c>
      <c r="E50" s="63">
        <f t="shared" ref="E50:E62" si="12">+E14-E32</f>
        <v>0</v>
      </c>
      <c r="F50" s="63">
        <f t="shared" ref="F50:P50" si="13">+F14-F32</f>
        <v>0</v>
      </c>
      <c r="G50" s="63">
        <f t="shared" si="13"/>
        <v>0</v>
      </c>
      <c r="H50" s="63">
        <f t="shared" si="13"/>
        <v>0</v>
      </c>
      <c r="I50" s="63">
        <f t="shared" si="13"/>
        <v>0</v>
      </c>
      <c r="J50" s="63">
        <f t="shared" si="13"/>
        <v>0</v>
      </c>
      <c r="K50" s="63">
        <f t="shared" si="13"/>
        <v>0</v>
      </c>
      <c r="L50" s="63">
        <f t="shared" si="13"/>
        <v>0</v>
      </c>
      <c r="M50" s="63">
        <f t="shared" si="13"/>
        <v>0</v>
      </c>
      <c r="N50" s="63">
        <f t="shared" si="13"/>
        <v>0</v>
      </c>
      <c r="O50" s="63">
        <f t="shared" si="13"/>
        <v>0</v>
      </c>
      <c r="P50" s="63">
        <f t="shared" si="13"/>
        <v>0</v>
      </c>
      <c r="Q50" s="63">
        <f t="shared" ref="Q50:Q61" si="14">SUM(E50:P50)</f>
        <v>0</v>
      </c>
      <c r="R50" s="39">
        <f t="shared" si="11"/>
        <v>0</v>
      </c>
      <c r="S50" s="39"/>
      <c r="T50" s="35"/>
      <c r="U50" s="40">
        <f t="shared" si="10"/>
        <v>0</v>
      </c>
    </row>
    <row r="51" spans="4:21" s="19" customFormat="1" ht="24.95" hidden="1" customHeight="1">
      <c r="D51" s="26" t="s">
        <v>692</v>
      </c>
      <c r="E51" s="63">
        <f t="shared" si="12"/>
        <v>0</v>
      </c>
      <c r="F51" s="63">
        <f t="shared" ref="F51:P51" si="15">+F15-F33</f>
        <v>0</v>
      </c>
      <c r="G51" s="63">
        <f t="shared" si="15"/>
        <v>0</v>
      </c>
      <c r="H51" s="63">
        <f t="shared" si="15"/>
        <v>0</v>
      </c>
      <c r="I51" s="63">
        <f t="shared" si="15"/>
        <v>0</v>
      </c>
      <c r="J51" s="63">
        <f t="shared" si="15"/>
        <v>0</v>
      </c>
      <c r="K51" s="63">
        <f t="shared" si="15"/>
        <v>0</v>
      </c>
      <c r="L51" s="63">
        <f t="shared" si="15"/>
        <v>0</v>
      </c>
      <c r="M51" s="63">
        <f t="shared" si="15"/>
        <v>0</v>
      </c>
      <c r="N51" s="63">
        <f t="shared" si="15"/>
        <v>0</v>
      </c>
      <c r="O51" s="63">
        <f t="shared" si="15"/>
        <v>0</v>
      </c>
      <c r="P51" s="63">
        <f t="shared" si="15"/>
        <v>0</v>
      </c>
      <c r="Q51" s="63">
        <f t="shared" si="14"/>
        <v>0</v>
      </c>
      <c r="R51" s="39">
        <f t="shared" si="11"/>
        <v>0</v>
      </c>
      <c r="S51" s="39"/>
      <c r="T51" s="35"/>
      <c r="U51" s="40">
        <f t="shared" si="10"/>
        <v>0</v>
      </c>
    </row>
    <row r="52" spans="4:21" s="19" customFormat="1" ht="24.95" hidden="1" customHeight="1">
      <c r="D52" s="78" t="s">
        <v>695</v>
      </c>
      <c r="E52" s="63">
        <f t="shared" si="12"/>
        <v>0</v>
      </c>
      <c r="F52" s="63">
        <f t="shared" ref="F52:P52" si="16">+F16-F34</f>
        <v>0</v>
      </c>
      <c r="G52" s="63">
        <f t="shared" si="16"/>
        <v>0</v>
      </c>
      <c r="H52" s="63">
        <f t="shared" si="16"/>
        <v>0</v>
      </c>
      <c r="I52" s="63">
        <f t="shared" si="16"/>
        <v>0</v>
      </c>
      <c r="J52" s="63">
        <f t="shared" si="16"/>
        <v>0</v>
      </c>
      <c r="K52" s="63">
        <f t="shared" si="16"/>
        <v>0</v>
      </c>
      <c r="L52" s="63">
        <f t="shared" si="16"/>
        <v>0</v>
      </c>
      <c r="M52" s="63">
        <f t="shared" si="16"/>
        <v>0</v>
      </c>
      <c r="N52" s="63">
        <f t="shared" si="16"/>
        <v>0</v>
      </c>
      <c r="O52" s="63">
        <f t="shared" si="16"/>
        <v>0</v>
      </c>
      <c r="P52" s="63">
        <f t="shared" si="16"/>
        <v>0</v>
      </c>
      <c r="Q52" s="63">
        <f t="shared" si="14"/>
        <v>0</v>
      </c>
      <c r="R52" s="39">
        <f t="shared" si="11"/>
        <v>0</v>
      </c>
      <c r="S52" s="39"/>
      <c r="T52" s="35"/>
      <c r="U52" s="40">
        <f t="shared" si="10"/>
        <v>0</v>
      </c>
    </row>
    <row r="53" spans="4:21" s="19" customFormat="1" ht="24.95" hidden="1" customHeight="1">
      <c r="D53" s="26" t="s">
        <v>698</v>
      </c>
      <c r="E53" s="63">
        <f t="shared" si="12"/>
        <v>0</v>
      </c>
      <c r="F53" s="63">
        <f t="shared" ref="F53:P53" si="17">+F17-F35</f>
        <v>0</v>
      </c>
      <c r="G53" s="63">
        <f t="shared" si="17"/>
        <v>0</v>
      </c>
      <c r="H53" s="63">
        <f t="shared" si="17"/>
        <v>0</v>
      </c>
      <c r="I53" s="63">
        <f t="shared" si="17"/>
        <v>0</v>
      </c>
      <c r="J53" s="63">
        <f t="shared" si="17"/>
        <v>0</v>
      </c>
      <c r="K53" s="63">
        <f t="shared" si="17"/>
        <v>0</v>
      </c>
      <c r="L53" s="63">
        <f t="shared" si="17"/>
        <v>0</v>
      </c>
      <c r="M53" s="63">
        <f t="shared" si="17"/>
        <v>0</v>
      </c>
      <c r="N53" s="63">
        <f t="shared" si="17"/>
        <v>0</v>
      </c>
      <c r="O53" s="63">
        <f t="shared" si="17"/>
        <v>0</v>
      </c>
      <c r="P53" s="63">
        <f t="shared" si="17"/>
        <v>0</v>
      </c>
      <c r="Q53" s="63">
        <f t="shared" si="14"/>
        <v>0</v>
      </c>
      <c r="R53" s="39">
        <f t="shared" si="11"/>
        <v>0</v>
      </c>
      <c r="S53" s="39"/>
      <c r="T53" s="35"/>
      <c r="U53" s="40">
        <f t="shared" si="10"/>
        <v>0</v>
      </c>
    </row>
    <row r="54" spans="4:21" s="19" customFormat="1" ht="24.95" customHeight="1">
      <c r="D54" s="26" t="s">
        <v>701</v>
      </c>
      <c r="E54" s="63">
        <f>BC!E114</f>
        <v>0</v>
      </c>
      <c r="F54" s="63">
        <f>BC!F114</f>
        <v>0</v>
      </c>
      <c r="G54" s="63">
        <f>BC!G114</f>
        <v>0</v>
      </c>
      <c r="H54" s="63">
        <f>BC!H114</f>
        <v>0</v>
      </c>
      <c r="I54" s="63">
        <f>BC!I114</f>
        <v>0</v>
      </c>
      <c r="J54" s="63">
        <f>BC!J114</f>
        <v>0</v>
      </c>
      <c r="K54" s="63">
        <f>BC!K114</f>
        <v>0</v>
      </c>
      <c r="L54" s="63">
        <f>BC!L114</f>
        <v>0</v>
      </c>
      <c r="M54" s="63">
        <f>BC!M114</f>
        <v>0</v>
      </c>
      <c r="N54" s="63">
        <f>BC!N114</f>
        <v>0</v>
      </c>
      <c r="O54" s="63">
        <f>BC!O114</f>
        <v>0</v>
      </c>
      <c r="P54" s="63">
        <f>BC!P114</f>
        <v>0</v>
      </c>
      <c r="Q54" s="63">
        <f t="shared" si="14"/>
        <v>0</v>
      </c>
      <c r="R54" s="39">
        <f t="shared" si="11"/>
        <v>0</v>
      </c>
      <c r="S54" s="39"/>
      <c r="T54" s="35"/>
      <c r="U54" s="40">
        <f t="shared" si="10"/>
        <v>0</v>
      </c>
    </row>
    <row r="55" spans="4:21" s="19" customFormat="1" ht="24.95" customHeight="1">
      <c r="D55" s="26" t="s">
        <v>704</v>
      </c>
      <c r="E55" s="63">
        <f>Telephone!E99</f>
        <v>-31883.870000000003</v>
      </c>
      <c r="F55" s="63">
        <f>Telephone!F99</f>
        <v>-34183.65</v>
      </c>
      <c r="G55" s="63">
        <f>Telephone!G99</f>
        <v>-30526.28</v>
      </c>
      <c r="H55" s="63">
        <f>Telephone!H99</f>
        <v>-32027.530000000002</v>
      </c>
      <c r="I55" s="63">
        <f>Telephone!I99</f>
        <v>-32045.84</v>
      </c>
      <c r="J55" s="63">
        <f>Telephone!J99</f>
        <v>-32059.23</v>
      </c>
      <c r="K55" s="63">
        <f>Telephone!K99</f>
        <v>-30691.78</v>
      </c>
      <c r="L55" s="63">
        <f>Telephone!L99</f>
        <v>-30698.82</v>
      </c>
      <c r="M55" s="63">
        <f>Telephone!M99</f>
        <v>-32143.73</v>
      </c>
      <c r="N55" s="63">
        <f>Telephone!N99</f>
        <v>-34443.51</v>
      </c>
      <c r="O55" s="63">
        <f>Telephone!O99</f>
        <v>-30637.55</v>
      </c>
      <c r="P55" s="63">
        <f>Telephone!P99</f>
        <v>-30610.79</v>
      </c>
      <c r="Q55" s="63">
        <f t="shared" si="14"/>
        <v>-381952.58</v>
      </c>
      <c r="R55" s="39">
        <f t="shared" si="11"/>
        <v>0</v>
      </c>
      <c r="S55" s="39"/>
      <c r="T55" s="35"/>
      <c r="U55" s="40" t="e">
        <f t="shared" si="10"/>
        <v>#DIV/0!</v>
      </c>
    </row>
    <row r="56" spans="4:21" s="19" customFormat="1" ht="24.95" customHeight="1">
      <c r="D56" s="26" t="s">
        <v>707</v>
      </c>
      <c r="E56" s="63">
        <f>Transportation!E95</f>
        <v>-1250</v>
      </c>
      <c r="F56" s="63">
        <f>Transportation!F95</f>
        <v>-1250</v>
      </c>
      <c r="G56" s="63">
        <f>Transportation!G95</f>
        <v>-1250</v>
      </c>
      <c r="H56" s="63">
        <f>Transportation!H95</f>
        <v>-1250</v>
      </c>
      <c r="I56" s="63">
        <f>Transportation!I95</f>
        <v>-1250</v>
      </c>
      <c r="J56" s="63">
        <f>Transportation!J95</f>
        <v>-1250</v>
      </c>
      <c r="K56" s="63">
        <f>Transportation!K95</f>
        <v>-2450</v>
      </c>
      <c r="L56" s="63">
        <f>Transportation!L95</f>
        <v>-1250</v>
      </c>
      <c r="M56" s="63">
        <f>Transportation!M95</f>
        <v>-1250</v>
      </c>
      <c r="N56" s="63">
        <f>Transportation!N95</f>
        <v>-1250</v>
      </c>
      <c r="O56" s="63">
        <f>Transportation!O95</f>
        <v>-1250</v>
      </c>
      <c r="P56" s="63">
        <f>Transportation!P95</f>
        <v>-1250</v>
      </c>
      <c r="Q56" s="63">
        <f t="shared" si="14"/>
        <v>-16200</v>
      </c>
      <c r="R56" s="39">
        <f t="shared" si="11"/>
        <v>0</v>
      </c>
      <c r="S56" s="39"/>
      <c r="T56" s="35"/>
      <c r="U56" s="40" t="e">
        <f t="shared" si="10"/>
        <v>#DIV/0!</v>
      </c>
    </row>
    <row r="57" spans="4:21" s="19" customFormat="1" ht="24.95" customHeight="1">
      <c r="D57" s="26" t="s">
        <v>710</v>
      </c>
      <c r="E57" s="63">
        <f t="shared" si="12"/>
        <v>5500</v>
      </c>
      <c r="F57" s="63">
        <f t="shared" ref="F57:P57" si="18">+F21-F39</f>
        <v>5500</v>
      </c>
      <c r="G57" s="63">
        <f t="shared" si="18"/>
        <v>4500</v>
      </c>
      <c r="H57" s="63">
        <f t="shared" si="18"/>
        <v>4500</v>
      </c>
      <c r="I57" s="63">
        <f t="shared" si="18"/>
        <v>5500</v>
      </c>
      <c r="J57" s="63">
        <f t="shared" si="18"/>
        <v>4500</v>
      </c>
      <c r="K57" s="63">
        <f t="shared" si="18"/>
        <v>4500</v>
      </c>
      <c r="L57" s="63">
        <f t="shared" si="18"/>
        <v>4500</v>
      </c>
      <c r="M57" s="63">
        <f t="shared" si="18"/>
        <v>4500</v>
      </c>
      <c r="N57" s="63">
        <f t="shared" si="18"/>
        <v>5500</v>
      </c>
      <c r="O57" s="63">
        <f t="shared" si="18"/>
        <v>5800</v>
      </c>
      <c r="P57" s="63">
        <f t="shared" si="18"/>
        <v>5800</v>
      </c>
      <c r="Q57" s="63">
        <f t="shared" si="14"/>
        <v>60600</v>
      </c>
      <c r="R57" s="39">
        <f t="shared" si="11"/>
        <v>1</v>
      </c>
      <c r="S57" s="39"/>
      <c r="T57" s="35"/>
      <c r="U57" s="40" t="e">
        <f t="shared" si="10"/>
        <v>#DIV/0!</v>
      </c>
    </row>
    <row r="58" spans="4:21" s="19" customFormat="1" ht="24.95" customHeight="1">
      <c r="D58" s="26" t="s">
        <v>713</v>
      </c>
      <c r="E58" s="63">
        <f>'DYT Galleria'!E92</f>
        <v>0</v>
      </c>
      <c r="F58" s="63">
        <f>'DYT Galleria'!F92</f>
        <v>0</v>
      </c>
      <c r="G58" s="63">
        <f>'DYT Galleria'!G92</f>
        <v>0</v>
      </c>
      <c r="H58" s="63">
        <f>'DYT Galleria'!H92</f>
        <v>0</v>
      </c>
      <c r="I58" s="63">
        <f>'DYT Galleria'!I92</f>
        <v>0</v>
      </c>
      <c r="J58" s="63">
        <f>'DYT Galleria'!J92</f>
        <v>0</v>
      </c>
      <c r="K58" s="63">
        <f>'DYT Galleria'!K92</f>
        <v>0</v>
      </c>
      <c r="L58" s="63">
        <f>'DYT Galleria'!L92</f>
        <v>0</v>
      </c>
      <c r="M58" s="63">
        <f>'DYT Galleria'!M92</f>
        <v>0</v>
      </c>
      <c r="N58" s="63">
        <f>'DYT Galleria'!N92</f>
        <v>0</v>
      </c>
      <c r="O58" s="63">
        <f>'DYT Galleria'!O92</f>
        <v>0</v>
      </c>
      <c r="P58" s="63">
        <f>'DYT Galleria'!P92</f>
        <v>0</v>
      </c>
      <c r="Q58" s="63">
        <f t="shared" si="14"/>
        <v>0</v>
      </c>
      <c r="R58" s="39">
        <f t="shared" si="11"/>
        <v>0</v>
      </c>
      <c r="S58" s="39"/>
      <c r="T58" s="35"/>
      <c r="U58" s="40">
        <f t="shared" si="10"/>
        <v>0</v>
      </c>
    </row>
    <row r="59" spans="4:21" s="19" customFormat="1" ht="24.95" customHeight="1">
      <c r="D59" s="26" t="s">
        <v>715</v>
      </c>
      <c r="E59" s="63">
        <f t="shared" si="12"/>
        <v>0</v>
      </c>
      <c r="F59" s="63">
        <f t="shared" ref="F59:P59" si="19">+F23-F41</f>
        <v>0</v>
      </c>
      <c r="G59" s="63">
        <f t="shared" si="19"/>
        <v>0</v>
      </c>
      <c r="H59" s="63">
        <f t="shared" si="19"/>
        <v>0</v>
      </c>
      <c r="I59" s="63">
        <f t="shared" si="19"/>
        <v>0</v>
      </c>
      <c r="J59" s="63">
        <f t="shared" si="19"/>
        <v>0</v>
      </c>
      <c r="K59" s="63">
        <f t="shared" si="19"/>
        <v>0</v>
      </c>
      <c r="L59" s="63">
        <f t="shared" si="19"/>
        <v>0</v>
      </c>
      <c r="M59" s="63">
        <f t="shared" si="19"/>
        <v>0</v>
      </c>
      <c r="N59" s="63">
        <f t="shared" si="19"/>
        <v>0</v>
      </c>
      <c r="O59" s="63">
        <f t="shared" si="19"/>
        <v>0</v>
      </c>
      <c r="P59" s="63">
        <f t="shared" si="19"/>
        <v>0</v>
      </c>
      <c r="Q59" s="63">
        <f t="shared" si="14"/>
        <v>0</v>
      </c>
      <c r="R59" s="39">
        <f t="shared" si="11"/>
        <v>0</v>
      </c>
      <c r="S59" s="39"/>
      <c r="T59" s="35"/>
      <c r="U59" s="40">
        <f t="shared" si="10"/>
        <v>0</v>
      </c>
    </row>
    <row r="60" spans="4:21" s="19" customFormat="1" ht="24.95" customHeight="1">
      <c r="D60" s="26" t="s">
        <v>718</v>
      </c>
      <c r="E60" s="63">
        <f>'Guest Laundry'!E101</f>
        <v>2400</v>
      </c>
      <c r="F60" s="63">
        <f>'Guest Laundry'!F101</f>
        <v>2400</v>
      </c>
      <c r="G60" s="63">
        <f>'Guest Laundry'!G101</f>
        <v>2400</v>
      </c>
      <c r="H60" s="63">
        <f>'Guest Laundry'!H101</f>
        <v>2400</v>
      </c>
      <c r="I60" s="63">
        <f>'Guest Laundry'!I101</f>
        <v>2400</v>
      </c>
      <c r="J60" s="63">
        <f>'Guest Laundry'!J101</f>
        <v>2400</v>
      </c>
      <c r="K60" s="63">
        <f>'Guest Laundry'!K101</f>
        <v>2400</v>
      </c>
      <c r="L60" s="63">
        <f>'Guest Laundry'!L101</f>
        <v>2400</v>
      </c>
      <c r="M60" s="63">
        <f>'Guest Laundry'!M101</f>
        <v>2400</v>
      </c>
      <c r="N60" s="63">
        <f>'Guest Laundry'!N101</f>
        <v>2400</v>
      </c>
      <c r="O60" s="63">
        <f>'Guest Laundry'!O101</f>
        <v>2400</v>
      </c>
      <c r="P60" s="63">
        <f>'Guest Laundry'!P101</f>
        <v>2400</v>
      </c>
      <c r="Q60" s="63">
        <f t="shared" si="14"/>
        <v>28800</v>
      </c>
      <c r="R60" s="39">
        <f t="shared" si="11"/>
        <v>0.8</v>
      </c>
      <c r="S60" s="39"/>
      <c r="T60" s="35"/>
      <c r="U60" s="40" t="e">
        <f t="shared" si="10"/>
        <v>#DIV/0!</v>
      </c>
    </row>
    <row r="61" spans="4:21" s="19" customFormat="1" ht="24.95" customHeight="1">
      <c r="D61" s="26" t="s">
        <v>721</v>
      </c>
      <c r="E61" s="63">
        <f>Apartment!E107</f>
        <v>0</v>
      </c>
      <c r="F61" s="63">
        <f>Apartment!F107</f>
        <v>0</v>
      </c>
      <c r="G61" s="63">
        <f>Apartment!G107</f>
        <v>0</v>
      </c>
      <c r="H61" s="63">
        <f>Apartment!H107</f>
        <v>0</v>
      </c>
      <c r="I61" s="63">
        <f>Apartment!I107</f>
        <v>0</v>
      </c>
      <c r="J61" s="63">
        <f>Apartment!J107</f>
        <v>0</v>
      </c>
      <c r="K61" s="63">
        <f>Apartment!K107</f>
        <v>0</v>
      </c>
      <c r="L61" s="63">
        <f>Apartment!L107</f>
        <v>0</v>
      </c>
      <c r="M61" s="63">
        <f>Apartment!M107</f>
        <v>0</v>
      </c>
      <c r="N61" s="63">
        <f>Apartment!N107</f>
        <v>0</v>
      </c>
      <c r="O61" s="63">
        <f>Apartment!O107</f>
        <v>0</v>
      </c>
      <c r="P61" s="63">
        <f>Apartment!P107</f>
        <v>0</v>
      </c>
      <c r="Q61" s="63">
        <f t="shared" si="14"/>
        <v>0</v>
      </c>
      <c r="R61" s="39">
        <f t="shared" si="11"/>
        <v>0</v>
      </c>
      <c r="S61" s="39"/>
      <c r="T61" s="35"/>
      <c r="U61" s="40">
        <f t="shared" si="10"/>
        <v>0</v>
      </c>
    </row>
    <row r="62" spans="4:21" s="19" customFormat="1" ht="24.95" customHeight="1">
      <c r="D62" s="26" t="s">
        <v>723</v>
      </c>
      <c r="E62" s="62">
        <f t="shared" si="12"/>
        <v>0</v>
      </c>
      <c r="F62" s="62">
        <f t="shared" ref="F62:P62" si="20">+F26-F44</f>
        <v>0</v>
      </c>
      <c r="G62" s="62">
        <f t="shared" si="20"/>
        <v>0</v>
      </c>
      <c r="H62" s="62">
        <f t="shared" si="20"/>
        <v>0</v>
      </c>
      <c r="I62" s="62">
        <f t="shared" si="20"/>
        <v>0</v>
      </c>
      <c r="J62" s="62">
        <f t="shared" si="20"/>
        <v>0</v>
      </c>
      <c r="K62" s="62">
        <f t="shared" si="20"/>
        <v>0</v>
      </c>
      <c r="L62" s="62">
        <f t="shared" si="20"/>
        <v>0</v>
      </c>
      <c r="M62" s="62">
        <f t="shared" si="20"/>
        <v>0</v>
      </c>
      <c r="N62" s="62">
        <f t="shared" si="20"/>
        <v>0</v>
      </c>
      <c r="O62" s="62">
        <f t="shared" si="20"/>
        <v>0</v>
      </c>
      <c r="P62" s="62">
        <f t="shared" si="20"/>
        <v>0</v>
      </c>
      <c r="Q62" s="62">
        <f t="shared" ref="Q62" si="21">SUM(E62:P62)</f>
        <v>0</v>
      </c>
      <c r="R62" s="39">
        <f t="shared" si="11"/>
        <v>0</v>
      </c>
      <c r="S62" s="137"/>
      <c r="T62" s="35"/>
      <c r="U62" s="40">
        <f t="shared" si="10"/>
        <v>0</v>
      </c>
    </row>
    <row r="63" spans="4:21" s="19" customFormat="1" ht="24.95" customHeight="1">
      <c r="D63" s="26" t="s">
        <v>729</v>
      </c>
      <c r="E63" s="45">
        <f>SUM(E48:E62)</f>
        <v>-25233.870000000003</v>
      </c>
      <c r="F63" s="45">
        <f t="shared" ref="F63:P63" si="22">SUM(F48:F62)</f>
        <v>-27533.65</v>
      </c>
      <c r="G63" s="45">
        <f t="shared" si="22"/>
        <v>-24876.28</v>
      </c>
      <c r="H63" s="45">
        <f t="shared" si="22"/>
        <v>-26377.53</v>
      </c>
      <c r="I63" s="45">
        <f t="shared" si="22"/>
        <v>-25395.839999999997</v>
      </c>
      <c r="J63" s="45">
        <f t="shared" si="22"/>
        <v>-26409.229999999996</v>
      </c>
      <c r="K63" s="45">
        <f t="shared" si="22"/>
        <v>-26241.78</v>
      </c>
      <c r="L63" s="45">
        <f t="shared" si="22"/>
        <v>-25048.82</v>
      </c>
      <c r="M63" s="45">
        <f t="shared" si="22"/>
        <v>-26493.729999999996</v>
      </c>
      <c r="N63" s="45">
        <f t="shared" si="22"/>
        <v>-27793.510000000002</v>
      </c>
      <c r="O63" s="45">
        <f t="shared" si="22"/>
        <v>-23687.55</v>
      </c>
      <c r="P63" s="45">
        <f t="shared" si="22"/>
        <v>-23660.79</v>
      </c>
      <c r="Q63" s="45">
        <f>SUM(Q49:Q62)</f>
        <v>-308752.58</v>
      </c>
      <c r="R63" s="39">
        <f>Q63/$Q$27</f>
        <v>-3.1961964803312632</v>
      </c>
      <c r="S63" s="39"/>
      <c r="T63" s="35"/>
      <c r="U63" s="40" t="e">
        <f t="shared" si="10"/>
        <v>#DIV/0!</v>
      </c>
    </row>
    <row r="64" spans="4:21" s="19" customFormat="1" ht="24.95" customHeight="1">
      <c r="D64" s="21"/>
      <c r="E64" s="134">
        <f>E63/E27</f>
        <v>-2.9686905882352943</v>
      </c>
      <c r="F64" s="134">
        <f t="shared" ref="F64:Q64" si="23">F63/F27</f>
        <v>-3.2392529411764706</v>
      </c>
      <c r="G64" s="134">
        <f t="shared" si="23"/>
        <v>-3.316837333333333</v>
      </c>
      <c r="H64" s="134">
        <f t="shared" si="23"/>
        <v>-3.517004</v>
      </c>
      <c r="I64" s="134">
        <f t="shared" si="23"/>
        <v>-2.9877458823529408</v>
      </c>
      <c r="J64" s="134">
        <f t="shared" si="23"/>
        <v>-3.521230666666666</v>
      </c>
      <c r="K64" s="134">
        <f t="shared" si="23"/>
        <v>-3.498904</v>
      </c>
      <c r="L64" s="134">
        <f t="shared" si="23"/>
        <v>-3.3398426666666667</v>
      </c>
      <c r="M64" s="134">
        <f t="shared" si="23"/>
        <v>-3.5324973333333327</v>
      </c>
      <c r="N64" s="134">
        <f t="shared" si="23"/>
        <v>-3.2698247058823533</v>
      </c>
      <c r="O64" s="134">
        <f t="shared" si="23"/>
        <v>-2.6917670454545455</v>
      </c>
      <c r="P64" s="134">
        <f t="shared" si="23"/>
        <v>-2.6887261363636363</v>
      </c>
      <c r="Q64" s="134">
        <f t="shared" si="23"/>
        <v>-3.1961964803312632</v>
      </c>
      <c r="T64" s="115"/>
      <c r="U64" s="40" t="e">
        <f t="shared" si="10"/>
        <v>#DIV/0!</v>
      </c>
    </row>
    <row r="65" spans="1:21" s="3" customFormat="1" ht="24.95" customHeight="1">
      <c r="D65" s="19" t="s">
        <v>293</v>
      </c>
      <c r="E65" s="62"/>
      <c r="F65" s="62"/>
      <c r="G65" s="62"/>
      <c r="H65" s="62"/>
      <c r="I65" s="62"/>
      <c r="J65" s="62"/>
      <c r="K65" s="62"/>
      <c r="L65" s="62"/>
      <c r="M65" s="62"/>
      <c r="N65" s="62"/>
      <c r="T65" s="35"/>
      <c r="U65" s="40"/>
    </row>
    <row r="66" spans="1:21" s="3" customFormat="1" ht="24.95" customHeight="1">
      <c r="D66" s="19" t="s">
        <v>444</v>
      </c>
      <c r="E66" s="62"/>
      <c r="F66" s="133"/>
      <c r="G66" s="62"/>
      <c r="H66" s="133"/>
      <c r="I66" s="62"/>
      <c r="J66" s="133"/>
      <c r="K66" s="62"/>
      <c r="L66" s="136"/>
      <c r="M66" s="62"/>
      <c r="N66" s="136"/>
      <c r="T66" s="35"/>
      <c r="U66" s="40"/>
    </row>
    <row r="67" spans="1:21" s="3" customFormat="1" ht="24.95" customHeight="1">
      <c r="A67" s="271" t="s">
        <v>295</v>
      </c>
      <c r="B67" s="51" t="s">
        <v>730</v>
      </c>
      <c r="D67" s="26" t="s">
        <v>297</v>
      </c>
      <c r="E67" s="63">
        <f>'Health Club'!E126+Telephone!E104+Apartment!E112</f>
        <v>6500</v>
      </c>
      <c r="F67" s="63">
        <f>'Health Club'!F126+Telephone!F104+Apartment!F112</f>
        <v>6500</v>
      </c>
      <c r="G67" s="63">
        <f>'Health Club'!G126+Telephone!G104+Apartment!G112</f>
        <v>6500</v>
      </c>
      <c r="H67" s="63">
        <f>'Health Club'!H126+Telephone!H104+Apartment!H112</f>
        <v>6500</v>
      </c>
      <c r="I67" s="63">
        <f>'Health Club'!I126+Telephone!I104+Apartment!I112</f>
        <v>6500</v>
      </c>
      <c r="J67" s="63">
        <f>'Health Club'!J126+Telephone!J104+Apartment!J112</f>
        <v>6500</v>
      </c>
      <c r="K67" s="63">
        <f>'Health Club'!K126+Telephone!K104+Apartment!K112</f>
        <v>6500</v>
      </c>
      <c r="L67" s="63">
        <f>'Health Club'!L126+Telephone!L104+Apartment!L112</f>
        <v>6500</v>
      </c>
      <c r="M67" s="63">
        <f>'Health Club'!M126+Telephone!M104+Apartment!M112</f>
        <v>6500</v>
      </c>
      <c r="N67" s="63">
        <f>'Health Club'!N126+Telephone!N104+Apartment!N112</f>
        <v>6500</v>
      </c>
      <c r="O67" s="63">
        <f>'Health Club'!O126+Telephone!O104+Apartment!O112</f>
        <v>6500</v>
      </c>
      <c r="P67" s="63">
        <f>'Health Club'!P126+Telephone!P104+Apartment!P112</f>
        <v>6500</v>
      </c>
      <c r="Q67" s="61">
        <f>SUM(E67:P67)</f>
        <v>78000</v>
      </c>
      <c r="R67" s="39">
        <f>Q67/$Q$27</f>
        <v>0.80745341614906829</v>
      </c>
      <c r="S67" s="39"/>
      <c r="T67" s="35"/>
      <c r="U67" s="40" t="e">
        <f>-IF(Q67-T67=0,0,(Q67-T67)/T67)</f>
        <v>#DIV/0!</v>
      </c>
    </row>
    <row r="68" spans="1:21" s="3" customFormat="1" ht="24.95" customHeight="1">
      <c r="A68" s="271" t="s">
        <v>298</v>
      </c>
      <c r="B68" s="51" t="s">
        <v>730</v>
      </c>
      <c r="D68" s="26" t="s">
        <v>447</v>
      </c>
      <c r="E68" s="63">
        <f>'Health Club'!E127+Telephone!E105+Apartment!E113</f>
        <v>7000</v>
      </c>
      <c r="F68" s="63">
        <f>'Health Club'!F127+Telephone!F105+Apartment!F113</f>
        <v>7000</v>
      </c>
      <c r="G68" s="63">
        <f>'Health Club'!G127+Telephone!G105+Apartment!G113</f>
        <v>7000</v>
      </c>
      <c r="H68" s="63">
        <f>'Health Club'!H127+Telephone!H105+Apartment!H113</f>
        <v>7000</v>
      </c>
      <c r="I68" s="63">
        <f>'Health Club'!I127+Telephone!I105+Apartment!I113</f>
        <v>7000</v>
      </c>
      <c r="J68" s="63">
        <f>'Health Club'!J127+Telephone!J105+Apartment!J113</f>
        <v>7000</v>
      </c>
      <c r="K68" s="63">
        <f>'Health Club'!K127+Telephone!K105+Apartment!K113</f>
        <v>7000</v>
      </c>
      <c r="L68" s="63">
        <f>'Health Club'!L127+Telephone!L105+Apartment!L113</f>
        <v>7000</v>
      </c>
      <c r="M68" s="63">
        <f>'Health Club'!M127+Telephone!M105+Apartment!M113</f>
        <v>7000</v>
      </c>
      <c r="N68" s="63">
        <f>'Health Club'!N127+Telephone!N105+Apartment!N113</f>
        <v>7000</v>
      </c>
      <c r="O68" s="63">
        <f>'Health Club'!O127+Telephone!O105+Apartment!O113</f>
        <v>7000</v>
      </c>
      <c r="P68" s="63">
        <f>'Health Club'!P127+Telephone!P105+Apartment!P113</f>
        <v>7000</v>
      </c>
      <c r="Q68" s="61">
        <f>SUM(E68:P68)</f>
        <v>84000</v>
      </c>
      <c r="R68" s="39">
        <f>Q68/$Q$27</f>
        <v>0.86956521739130432</v>
      </c>
      <c r="S68" s="39"/>
      <c r="T68" s="35"/>
      <c r="U68" s="40" t="e">
        <f>-IF(Q68-T68=0,0,(Q68-T68)/T68)</f>
        <v>#DIV/0!</v>
      </c>
    </row>
    <row r="69" spans="1:21" s="3" customFormat="1" ht="24.95" customHeight="1">
      <c r="B69" s="51"/>
      <c r="D69" s="21" t="s">
        <v>450</v>
      </c>
      <c r="E69" s="52">
        <f>SUM(E67:E68)</f>
        <v>13500</v>
      </c>
      <c r="F69" s="52">
        <f t="shared" ref="F69:Q69" si="24">SUM(F67:F68)</f>
        <v>13500</v>
      </c>
      <c r="G69" s="52">
        <f t="shared" si="24"/>
        <v>13500</v>
      </c>
      <c r="H69" s="52">
        <f t="shared" si="24"/>
        <v>13500</v>
      </c>
      <c r="I69" s="52">
        <f t="shared" si="24"/>
        <v>13500</v>
      </c>
      <c r="J69" s="52">
        <f t="shared" si="24"/>
        <v>13500</v>
      </c>
      <c r="K69" s="52">
        <f t="shared" si="24"/>
        <v>13500</v>
      </c>
      <c r="L69" s="52">
        <f t="shared" si="24"/>
        <v>13500</v>
      </c>
      <c r="M69" s="52">
        <f t="shared" si="24"/>
        <v>13500</v>
      </c>
      <c r="N69" s="52">
        <f t="shared" si="24"/>
        <v>13500</v>
      </c>
      <c r="O69" s="52">
        <f t="shared" si="24"/>
        <v>13500</v>
      </c>
      <c r="P69" s="52">
        <f t="shared" si="24"/>
        <v>13500</v>
      </c>
      <c r="Q69" s="52">
        <f t="shared" si="24"/>
        <v>162000</v>
      </c>
      <c r="R69" s="39">
        <f>Q69/$Q$27</f>
        <v>1.6770186335403727</v>
      </c>
      <c r="S69" s="39"/>
      <c r="T69" s="35"/>
      <c r="U69" s="40" t="e">
        <f>-IF(Q69-T69=0,0,(Q69-T69)/T69)</f>
        <v>#DIV/0!</v>
      </c>
    </row>
    <row r="70" spans="1:21" s="3" customFormat="1" ht="24.95" customHeight="1">
      <c r="B70" s="51"/>
      <c r="E70" s="53"/>
      <c r="F70" s="131"/>
      <c r="G70" s="53"/>
      <c r="H70" s="131"/>
      <c r="I70" s="53"/>
      <c r="J70" s="131"/>
      <c r="K70" s="25"/>
      <c r="L70" s="135"/>
      <c r="M70" s="25"/>
      <c r="N70" s="131"/>
      <c r="T70" s="35"/>
      <c r="U70" s="40"/>
    </row>
    <row r="71" spans="1:21" s="3" customFormat="1" ht="24.95" customHeight="1">
      <c r="A71" s="271" t="s">
        <v>619</v>
      </c>
      <c r="B71" s="51" t="s">
        <v>730</v>
      </c>
      <c r="D71" s="26" t="s">
        <v>307</v>
      </c>
      <c r="E71" s="63">
        <f>'Health Club'!E130+Telephone!E108+Apartment!E116</f>
        <v>1289.6600000000001</v>
      </c>
      <c r="F71" s="63">
        <f>'Health Club'!F130+Telephone!F108+Apartment!F116</f>
        <v>3331.03</v>
      </c>
      <c r="G71" s="63">
        <f>'Health Club'!G130+Telephone!G108+Apartment!G116</f>
        <v>0</v>
      </c>
      <c r="H71" s="63">
        <f>'Health Club'!H130+Telephone!H108+Apartment!H116</f>
        <v>1289.6600000000001</v>
      </c>
      <c r="I71" s="63">
        <f>'Health Club'!I130+Telephone!I108+Apartment!I116</f>
        <v>1289.6600000000001</v>
      </c>
      <c r="J71" s="63">
        <f>'Health Club'!J130+Telephone!J108+Apartment!J116</f>
        <v>1289.6600000000001</v>
      </c>
      <c r="K71" s="63">
        <f>'Health Club'!K130+Telephone!K108+Apartment!K116</f>
        <v>0</v>
      </c>
      <c r="L71" s="63">
        <f>'Health Club'!L130+Telephone!L108+Apartment!L116</f>
        <v>0</v>
      </c>
      <c r="M71" s="63">
        <f>'Health Club'!M130+Telephone!M108+Apartment!M116</f>
        <v>1289.6600000000001</v>
      </c>
      <c r="N71" s="63">
        <f>'Health Club'!N130+Telephone!N108+Apartment!N116</f>
        <v>3331.03</v>
      </c>
      <c r="O71" s="63">
        <f>'Health Club'!O130+Telephone!O108+Apartment!O116</f>
        <v>0</v>
      </c>
      <c r="P71" s="63">
        <f>'Health Club'!P130+Telephone!P108+Apartment!P116</f>
        <v>0</v>
      </c>
      <c r="Q71" s="61">
        <f>SUM(E71:P71)</f>
        <v>13110.36</v>
      </c>
      <c r="R71" s="39">
        <f t="shared" ref="R71:R78" si="25">Q71/$Q$27</f>
        <v>0.13571801242236026</v>
      </c>
      <c r="S71" s="39"/>
      <c r="T71" s="35"/>
      <c r="U71" s="40" t="e">
        <f t="shared" ref="U71:U78" si="26">-IF(Q71-T71=0,0,(Q71-T71)/T71)</f>
        <v>#DIV/0!</v>
      </c>
    </row>
    <row r="72" spans="1:21" s="3" customFormat="1" ht="24.95" customHeight="1">
      <c r="A72" s="54" t="s">
        <v>308</v>
      </c>
      <c r="B72" s="51" t="s">
        <v>730</v>
      </c>
      <c r="D72" s="26" t="s">
        <v>309</v>
      </c>
      <c r="E72" s="63">
        <f>'Health Club'!E131+Telephone!E109+Apartment!E117</f>
        <v>1687.5</v>
      </c>
      <c r="F72" s="63">
        <f>'Health Club'!F131+Telephone!F109+Apartment!F117</f>
        <v>1687.5</v>
      </c>
      <c r="G72" s="63">
        <f>'Health Club'!G131+Telephone!G109+Apartment!G117</f>
        <v>1687.5</v>
      </c>
      <c r="H72" s="63">
        <f>'Health Club'!H131+Telephone!H109+Apartment!H117</f>
        <v>1687.5</v>
      </c>
      <c r="I72" s="63">
        <f>'Health Club'!I131+Telephone!I109+Apartment!I117</f>
        <v>1687.5</v>
      </c>
      <c r="J72" s="63">
        <f>'Health Club'!J131+Telephone!J109+Apartment!J117</f>
        <v>1687.5</v>
      </c>
      <c r="K72" s="63">
        <f>'Health Club'!K131+Telephone!K109+Apartment!K117</f>
        <v>1687.5</v>
      </c>
      <c r="L72" s="63">
        <f>'Health Club'!L131+Telephone!L109+Apartment!L117</f>
        <v>1687.5</v>
      </c>
      <c r="M72" s="63">
        <f>'Health Club'!M131+Telephone!M109+Apartment!M117</f>
        <v>1687.5</v>
      </c>
      <c r="N72" s="63">
        <f>'Health Club'!N131+Telephone!N109+Apartment!N117</f>
        <v>1687.5</v>
      </c>
      <c r="O72" s="63">
        <f>'Health Club'!O131+Telephone!O109+Apartment!O117</f>
        <v>1687.5</v>
      </c>
      <c r="P72" s="63">
        <f>'Health Club'!P131+Telephone!P109+Apartment!P117</f>
        <v>1687.5</v>
      </c>
      <c r="Q72" s="61">
        <f t="shared" ref="Q72:Q77" si="27">SUM(E72:P72)</f>
        <v>20250</v>
      </c>
      <c r="R72" s="39">
        <f t="shared" si="25"/>
        <v>0.20962732919254659</v>
      </c>
      <c r="S72" s="39"/>
      <c r="T72" s="35"/>
      <c r="U72" s="40" t="e">
        <f t="shared" si="26"/>
        <v>#DIV/0!</v>
      </c>
    </row>
    <row r="73" spans="1:21" s="3" customFormat="1" ht="24.95" customHeight="1">
      <c r="A73" s="271" t="s">
        <v>620</v>
      </c>
      <c r="D73" s="26" t="s">
        <v>311</v>
      </c>
      <c r="E73" s="63">
        <f>'Health Club'!E132+Telephone!E110+Apartment!E118</f>
        <v>0</v>
      </c>
      <c r="F73" s="63">
        <f>'Health Club'!F132+Telephone!F110+Apartment!F118</f>
        <v>0</v>
      </c>
      <c r="G73" s="63">
        <f>'Health Club'!G132+Telephone!G110+Apartment!G118</f>
        <v>0</v>
      </c>
      <c r="H73" s="63">
        <f>'Health Club'!H132+Telephone!H110+Apartment!H118</f>
        <v>0</v>
      </c>
      <c r="I73" s="63">
        <f>'Health Club'!I132+Telephone!I110+Apartment!I118</f>
        <v>0</v>
      </c>
      <c r="J73" s="63">
        <f>'Health Club'!J132+Telephone!J110+Apartment!J118</f>
        <v>0</v>
      </c>
      <c r="K73" s="63">
        <f>'Health Club'!K132+Telephone!K110+Apartment!K118</f>
        <v>0</v>
      </c>
      <c r="L73" s="63">
        <f>'Health Club'!L132+Telephone!L110+Apartment!L118</f>
        <v>0</v>
      </c>
      <c r="M73" s="63">
        <f>'Health Club'!M132+Telephone!M110+Apartment!M118</f>
        <v>0</v>
      </c>
      <c r="N73" s="63">
        <f>'Health Club'!N132+Telephone!N110+Apartment!N118</f>
        <v>0</v>
      </c>
      <c r="O73" s="63">
        <f>'Health Club'!O132+Telephone!O110+Apartment!O118</f>
        <v>0</v>
      </c>
      <c r="P73" s="63">
        <f>'Health Club'!P132+Telephone!P110+Apartment!P118</f>
        <v>0</v>
      </c>
      <c r="Q73" s="61">
        <f t="shared" si="27"/>
        <v>0</v>
      </c>
      <c r="R73" s="39">
        <f t="shared" si="25"/>
        <v>0</v>
      </c>
      <c r="S73" s="39"/>
      <c r="T73" s="35"/>
      <c r="U73" s="40">
        <f t="shared" si="26"/>
        <v>0</v>
      </c>
    </row>
    <row r="74" spans="1:21" s="3" customFormat="1" ht="24.95" customHeight="1">
      <c r="A74" s="271" t="s">
        <v>621</v>
      </c>
      <c r="B74" s="51" t="s">
        <v>730</v>
      </c>
      <c r="D74" s="26" t="s">
        <v>313</v>
      </c>
      <c r="E74" s="63">
        <f>'Health Club'!E133+Telephone!E111+Apartment!E119</f>
        <v>0</v>
      </c>
      <c r="F74" s="63">
        <f>'Health Club'!F133+Telephone!F111+Apartment!F119</f>
        <v>0</v>
      </c>
      <c r="G74" s="63">
        <f>'Health Club'!G133+Telephone!G111+Apartment!G119</f>
        <v>0</v>
      </c>
      <c r="H74" s="63">
        <f>'Health Club'!H133+Telephone!H111+Apartment!H119</f>
        <v>0</v>
      </c>
      <c r="I74" s="63">
        <f>'Health Club'!I133+Telephone!I111+Apartment!I119</f>
        <v>0</v>
      </c>
      <c r="J74" s="63">
        <f>'Health Club'!J133+Telephone!J111+Apartment!J119</f>
        <v>0</v>
      </c>
      <c r="K74" s="63">
        <f>'Health Club'!K133+Telephone!K111+Apartment!K119</f>
        <v>0</v>
      </c>
      <c r="L74" s="63">
        <f>'Health Club'!L133+Telephone!L111+Apartment!L119</f>
        <v>0</v>
      </c>
      <c r="M74" s="63">
        <f>'Health Club'!M133+Telephone!M111+Apartment!M119</f>
        <v>0</v>
      </c>
      <c r="N74" s="63">
        <f>'Health Club'!N133+Telephone!N111+Apartment!N119</f>
        <v>0</v>
      </c>
      <c r="O74" s="63">
        <f>'Health Club'!O133+Telephone!O111+Apartment!O119</f>
        <v>0</v>
      </c>
      <c r="P74" s="63">
        <f>'Health Club'!P133+Telephone!P111+Apartment!P119</f>
        <v>0</v>
      </c>
      <c r="Q74" s="61">
        <f t="shared" ref="Q74:Q75" si="28">SUM(E74:P74)</f>
        <v>0</v>
      </c>
      <c r="R74" s="39">
        <f t="shared" ref="R74:R75" si="29">Q74/$Q$27</f>
        <v>0</v>
      </c>
      <c r="S74" s="39"/>
      <c r="T74" s="35"/>
      <c r="U74" s="40">
        <f t="shared" ref="U74:U75" si="30">-IF(Q74-T74=0,0,(Q74-T74)/T74)</f>
        <v>0</v>
      </c>
    </row>
    <row r="75" spans="1:21" s="3" customFormat="1" ht="24.95" customHeight="1">
      <c r="A75" s="271" t="s">
        <v>622</v>
      </c>
      <c r="B75" s="51" t="s">
        <v>730</v>
      </c>
      <c r="D75" s="26" t="s">
        <v>315</v>
      </c>
      <c r="E75" s="63">
        <f>'Health Club'!E134+Telephone!E112+Apartment!E120</f>
        <v>0</v>
      </c>
      <c r="F75" s="63">
        <f>'Health Club'!F134+Telephone!F112+Apartment!F120</f>
        <v>0</v>
      </c>
      <c r="G75" s="63">
        <f>'Health Club'!G134+Telephone!G112+Apartment!G120</f>
        <v>0</v>
      </c>
      <c r="H75" s="63">
        <f>'Health Club'!H134+Telephone!H112+Apartment!H120</f>
        <v>0</v>
      </c>
      <c r="I75" s="63">
        <f>'Health Club'!I134+Telephone!I112+Apartment!I120</f>
        <v>0</v>
      </c>
      <c r="J75" s="63">
        <f>'Health Club'!J134+Telephone!J112+Apartment!J120</f>
        <v>0</v>
      </c>
      <c r="K75" s="63">
        <f>'Health Club'!K134+Telephone!K112+Apartment!K120</f>
        <v>0</v>
      </c>
      <c r="L75" s="63">
        <f>'Health Club'!L134+Telephone!L112+Apartment!L120</f>
        <v>0</v>
      </c>
      <c r="M75" s="63">
        <f>'Health Club'!M134+Telephone!M112+Apartment!M120</f>
        <v>0</v>
      </c>
      <c r="N75" s="63">
        <f>'Health Club'!N134+Telephone!N112+Apartment!N120</f>
        <v>0</v>
      </c>
      <c r="O75" s="63">
        <f>'Health Club'!O134+Telephone!O112+Apartment!O120</f>
        <v>0</v>
      </c>
      <c r="P75" s="63">
        <f>'Health Club'!P134+Telephone!P112+Apartment!P120</f>
        <v>0</v>
      </c>
      <c r="Q75" s="61">
        <f t="shared" si="28"/>
        <v>0</v>
      </c>
      <c r="R75" s="39">
        <f t="shared" si="29"/>
        <v>0</v>
      </c>
      <c r="S75" s="39"/>
      <c r="T75" s="35"/>
      <c r="U75" s="40">
        <f t="shared" si="30"/>
        <v>0</v>
      </c>
    </row>
    <row r="76" spans="1:21" s="3" customFormat="1" ht="24.95" customHeight="1">
      <c r="A76" s="271" t="s">
        <v>1109</v>
      </c>
      <c r="B76" s="51" t="s">
        <v>730</v>
      </c>
      <c r="D76" s="26" t="s">
        <v>1113</v>
      </c>
      <c r="E76" s="63">
        <f>'Health Club'!E135+Telephone!E113+Apartment!E121</f>
        <v>5200</v>
      </c>
      <c r="F76" s="63">
        <f>'Health Club'!F135+Telephone!F113+Apartment!F121</f>
        <v>5200</v>
      </c>
      <c r="G76" s="63">
        <f>'Health Club'!G135+Telephone!G113+Apartment!G121</f>
        <v>5200</v>
      </c>
      <c r="H76" s="63">
        <f>'Health Club'!H135+Telephone!H113+Apartment!H121</f>
        <v>5200</v>
      </c>
      <c r="I76" s="63">
        <f>'Health Club'!I135+Telephone!I113+Apartment!I121</f>
        <v>5200</v>
      </c>
      <c r="J76" s="63">
        <f>'Health Club'!J135+Telephone!J113+Apartment!J121</f>
        <v>5200</v>
      </c>
      <c r="K76" s="63">
        <f>'Health Club'!K135+Telephone!K113+Apartment!K121</f>
        <v>5200</v>
      </c>
      <c r="L76" s="63">
        <f>'Health Club'!L135+Telephone!L113+Apartment!L121</f>
        <v>5200</v>
      </c>
      <c r="M76" s="63">
        <f>'Health Club'!M135+Telephone!M113+Apartment!M121</f>
        <v>5200</v>
      </c>
      <c r="N76" s="63">
        <f>'Health Club'!N135+Telephone!N113+Apartment!N121</f>
        <v>5200</v>
      </c>
      <c r="O76" s="63">
        <f>'Health Club'!O135+Telephone!O113+Apartment!O121</f>
        <v>5200</v>
      </c>
      <c r="P76" s="63">
        <f>'Health Club'!P135+Telephone!P113+Apartment!P121</f>
        <v>5200</v>
      </c>
      <c r="Q76" s="61">
        <f t="shared" si="27"/>
        <v>62400</v>
      </c>
      <c r="R76" s="39">
        <f t="shared" si="25"/>
        <v>0.64596273291925466</v>
      </c>
      <c r="S76" s="39"/>
      <c r="T76" s="35"/>
      <c r="U76" s="40" t="e">
        <f t="shared" si="26"/>
        <v>#DIV/0!</v>
      </c>
    </row>
    <row r="77" spans="1:21" s="3" customFormat="1" ht="24.95" customHeight="1">
      <c r="A77" s="271" t="s">
        <v>1109</v>
      </c>
      <c r="B77" s="51" t="s">
        <v>730</v>
      </c>
      <c r="D77" s="26" t="s">
        <v>1114</v>
      </c>
      <c r="E77" s="63">
        <f>'Health Club'!E136+Telephone!E114+Apartment!E122</f>
        <v>0</v>
      </c>
      <c r="F77" s="63">
        <f>'Health Club'!F136+Telephone!F114+Apartment!F122</f>
        <v>0</v>
      </c>
      <c r="G77" s="63">
        <f>'Health Club'!G136+Telephone!G114+Apartment!G122</f>
        <v>0</v>
      </c>
      <c r="H77" s="63">
        <f>'Health Club'!H136+Telephone!H114+Apartment!H122</f>
        <v>0</v>
      </c>
      <c r="I77" s="63">
        <f>'Health Club'!I136+Telephone!I114+Apartment!I122</f>
        <v>0</v>
      </c>
      <c r="J77" s="63">
        <f>'Health Club'!J136+Telephone!J114+Apartment!J122</f>
        <v>0</v>
      </c>
      <c r="K77" s="63">
        <f>'Health Club'!K136+Telephone!K114+Apartment!K122</f>
        <v>0</v>
      </c>
      <c r="L77" s="63">
        <f>'Health Club'!L136+Telephone!L114+Apartment!L122</f>
        <v>0</v>
      </c>
      <c r="M77" s="63">
        <f>'Health Club'!M136+Telephone!M114+Apartment!M122</f>
        <v>0</v>
      </c>
      <c r="N77" s="63">
        <f>'Health Club'!N136+Telephone!N114+Apartment!N122</f>
        <v>0</v>
      </c>
      <c r="O77" s="63">
        <f>'Health Club'!O136+Telephone!O114+Apartment!O122</f>
        <v>0</v>
      </c>
      <c r="P77" s="63">
        <f>'Health Club'!P136+Telephone!P114+Apartment!P122</f>
        <v>0</v>
      </c>
      <c r="Q77" s="61">
        <f t="shared" si="27"/>
        <v>0</v>
      </c>
      <c r="R77" s="39">
        <f t="shared" si="25"/>
        <v>0</v>
      </c>
      <c r="S77" s="39"/>
      <c r="T77" s="35"/>
      <c r="U77" s="40">
        <f t="shared" si="26"/>
        <v>0</v>
      </c>
    </row>
    <row r="78" spans="1:21" s="19" customFormat="1" ht="24.95" customHeight="1">
      <c r="A78" s="271" t="s">
        <v>623</v>
      </c>
      <c r="B78" s="51"/>
      <c r="D78" s="19" t="s">
        <v>316</v>
      </c>
      <c r="E78" s="52">
        <f>SUM(E71:E77)</f>
        <v>8177.16</v>
      </c>
      <c r="F78" s="52">
        <f t="shared" ref="F78:Q78" si="31">SUM(F71:F77)</f>
        <v>10218.530000000001</v>
      </c>
      <c r="G78" s="52">
        <f t="shared" si="31"/>
        <v>6887.5</v>
      </c>
      <c r="H78" s="52">
        <f t="shared" si="31"/>
        <v>8177.16</v>
      </c>
      <c r="I78" s="52">
        <f t="shared" si="31"/>
        <v>8177.16</v>
      </c>
      <c r="J78" s="52">
        <f t="shared" si="31"/>
        <v>8177.16</v>
      </c>
      <c r="K78" s="52">
        <f t="shared" si="31"/>
        <v>6887.5</v>
      </c>
      <c r="L78" s="52">
        <f t="shared" si="31"/>
        <v>6887.5</v>
      </c>
      <c r="M78" s="52">
        <f t="shared" si="31"/>
        <v>8177.16</v>
      </c>
      <c r="N78" s="52">
        <f t="shared" si="31"/>
        <v>10218.530000000001</v>
      </c>
      <c r="O78" s="52">
        <f t="shared" si="31"/>
        <v>6887.5</v>
      </c>
      <c r="P78" s="52">
        <f t="shared" si="31"/>
        <v>6887.5</v>
      </c>
      <c r="Q78" s="52">
        <f t="shared" si="31"/>
        <v>95760.36</v>
      </c>
      <c r="R78" s="39">
        <f t="shared" si="25"/>
        <v>0.99130807453416148</v>
      </c>
      <c r="S78" s="39"/>
      <c r="T78" s="35"/>
      <c r="U78" s="40" t="e">
        <f t="shared" si="26"/>
        <v>#DIV/0!</v>
      </c>
    </row>
    <row r="79" spans="1:21" s="3" customFormat="1" ht="24.95" customHeight="1">
      <c r="A79" s="50"/>
      <c r="D79" s="19"/>
      <c r="E79" s="53"/>
      <c r="F79" s="131"/>
      <c r="G79" s="53"/>
      <c r="H79" s="131"/>
      <c r="I79" s="53"/>
      <c r="J79" s="131"/>
      <c r="K79" s="25"/>
      <c r="L79" s="135"/>
      <c r="M79" s="25"/>
      <c r="N79" s="131"/>
      <c r="T79" s="35"/>
      <c r="U79" s="40"/>
    </row>
    <row r="80" spans="1:21" s="3" customFormat="1" ht="24.95" customHeight="1">
      <c r="A80" s="271" t="s">
        <v>625</v>
      </c>
      <c r="B80" s="51" t="s">
        <v>731</v>
      </c>
      <c r="D80" s="26" t="s">
        <v>318</v>
      </c>
      <c r="E80" s="97">
        <f>'Health Club'!E137+Telephone!E117+Apartment!E123</f>
        <v>2576</v>
      </c>
      <c r="F80" s="97">
        <f>'Health Club'!F137+Telephone!F117+Apartment!F123</f>
        <v>2576</v>
      </c>
      <c r="G80" s="97">
        <f>'Health Club'!G137+Telephone!G117+Apartment!G123</f>
        <v>2576</v>
      </c>
      <c r="H80" s="97">
        <f>'Health Club'!H137+Telephone!H117+Apartment!H123</f>
        <v>2576</v>
      </c>
      <c r="I80" s="97">
        <f>'Health Club'!I137+Telephone!I117+Apartment!I123</f>
        <v>2576</v>
      </c>
      <c r="J80" s="97">
        <f>'Health Club'!J137+Telephone!J117+Apartment!J123</f>
        <v>2576</v>
      </c>
      <c r="K80" s="97">
        <f>'Health Club'!K137+Telephone!K117+Apartment!K123</f>
        <v>2576</v>
      </c>
      <c r="L80" s="97">
        <f>'Health Club'!L137+Telephone!L117+Apartment!L123</f>
        <v>2576</v>
      </c>
      <c r="M80" s="97">
        <f>'Health Club'!M137+Telephone!M117+Apartment!M123</f>
        <v>2576</v>
      </c>
      <c r="N80" s="97">
        <f>'Health Club'!N137+Telephone!N117+Apartment!N123</f>
        <v>2576</v>
      </c>
      <c r="O80" s="97">
        <f>'Health Club'!O137+Telephone!O117+Apartment!O123</f>
        <v>2576</v>
      </c>
      <c r="P80" s="97">
        <f>'Health Club'!P137+Telephone!P117+Apartment!P123</f>
        <v>2576</v>
      </c>
      <c r="Q80" s="61">
        <f>SUM(E80:P80)</f>
        <v>30912</v>
      </c>
      <c r="R80" s="39">
        <f t="shared" ref="R80:R88" si="32">Q80/$Q$27</f>
        <v>0.32</v>
      </c>
      <c r="S80" s="39"/>
      <c r="T80" s="35"/>
      <c r="U80" s="40" t="e">
        <f t="shared" ref="U80:U88" si="33">-IF(Q80-T80=0,0,(Q80-T80)/T80)</f>
        <v>#DIV/0!</v>
      </c>
    </row>
    <row r="81" spans="1:21" s="3" customFormat="1" ht="24.95" customHeight="1">
      <c r="A81" s="271" t="s">
        <v>626</v>
      </c>
      <c r="B81" s="51" t="s">
        <v>731</v>
      </c>
      <c r="D81" s="26" t="s">
        <v>320</v>
      </c>
      <c r="E81" s="97">
        <f>'Health Club'!E138+Telephone!E118+Apartment!E124</f>
        <v>1127</v>
      </c>
      <c r="F81" s="97">
        <f>'Health Club'!F138+Telephone!F118+Apartment!F124</f>
        <v>1127</v>
      </c>
      <c r="G81" s="97">
        <f>'Health Club'!G138+Telephone!G118+Apartment!G124</f>
        <v>1127</v>
      </c>
      <c r="H81" s="97">
        <f>'Health Club'!H138+Telephone!H118+Apartment!H124</f>
        <v>1127</v>
      </c>
      <c r="I81" s="97">
        <f>'Health Club'!I138+Telephone!I118+Apartment!I124</f>
        <v>1127</v>
      </c>
      <c r="J81" s="97">
        <f>'Health Club'!J138+Telephone!J118+Apartment!J124</f>
        <v>1127</v>
      </c>
      <c r="K81" s="97">
        <f>'Health Club'!K138+Telephone!K118+Apartment!K124</f>
        <v>1127</v>
      </c>
      <c r="L81" s="97">
        <f>'Health Club'!L138+Telephone!L118+Apartment!L124</f>
        <v>1127</v>
      </c>
      <c r="M81" s="97">
        <f>'Health Club'!M138+Telephone!M118+Apartment!M124</f>
        <v>1127</v>
      </c>
      <c r="N81" s="97">
        <f>'Health Club'!N138+Telephone!N118+Apartment!N124</f>
        <v>1127</v>
      </c>
      <c r="O81" s="97">
        <f>'Health Club'!O138+Telephone!O118+Apartment!O124</f>
        <v>1127</v>
      </c>
      <c r="P81" s="97">
        <f>'Health Club'!P138+Telephone!P118+Apartment!P124</f>
        <v>1127</v>
      </c>
      <c r="Q81" s="61">
        <f t="shared" ref="Q81:Q85" si="34">SUM(E81:P81)</f>
        <v>13524</v>
      </c>
      <c r="R81" s="39">
        <f t="shared" si="32"/>
        <v>0.14000000000000001</v>
      </c>
      <c r="S81" s="39"/>
      <c r="T81" s="35"/>
      <c r="U81" s="40" t="e">
        <f t="shared" si="33"/>
        <v>#DIV/0!</v>
      </c>
    </row>
    <row r="82" spans="1:21" s="3" customFormat="1" ht="24.95" customHeight="1">
      <c r="A82" s="271" t="s">
        <v>627</v>
      </c>
      <c r="B82" s="51" t="s">
        <v>731</v>
      </c>
      <c r="D82" s="26" t="s">
        <v>322</v>
      </c>
      <c r="E82" s="97">
        <f>'Health Club'!E139+Telephone!E119+Apartment!E125</f>
        <v>80.5</v>
      </c>
      <c r="F82" s="97">
        <f>'Health Club'!F139+Telephone!F119+Apartment!F125</f>
        <v>80.5</v>
      </c>
      <c r="G82" s="97">
        <f>'Health Club'!G139+Telephone!G119+Apartment!G125</f>
        <v>80.5</v>
      </c>
      <c r="H82" s="97">
        <f>'Health Club'!H139+Telephone!H119+Apartment!H125</f>
        <v>80.5</v>
      </c>
      <c r="I82" s="97">
        <f>'Health Club'!I139+Telephone!I119+Apartment!I125</f>
        <v>80.5</v>
      </c>
      <c r="J82" s="97">
        <f>'Health Club'!J139+Telephone!J119+Apartment!J125</f>
        <v>80.5</v>
      </c>
      <c r="K82" s="97">
        <f>'Health Club'!K139+Telephone!K119+Apartment!K125</f>
        <v>80.5</v>
      </c>
      <c r="L82" s="97">
        <f>'Health Club'!L139+Telephone!L119+Apartment!L125</f>
        <v>80.5</v>
      </c>
      <c r="M82" s="97">
        <f>'Health Club'!M139+Telephone!M119+Apartment!M125</f>
        <v>80.5</v>
      </c>
      <c r="N82" s="97">
        <f>'Health Club'!N139+Telephone!N119+Apartment!N125</f>
        <v>80.5</v>
      </c>
      <c r="O82" s="97">
        <f>'Health Club'!O139+Telephone!O119+Apartment!O125</f>
        <v>80.5</v>
      </c>
      <c r="P82" s="97">
        <f>'Health Club'!P139+Telephone!P119+Apartment!P125</f>
        <v>80.5</v>
      </c>
      <c r="Q82" s="61">
        <f t="shared" si="34"/>
        <v>966</v>
      </c>
      <c r="R82" s="39">
        <f t="shared" si="32"/>
        <v>0.01</v>
      </c>
      <c r="S82" s="39"/>
      <c r="T82" s="35"/>
      <c r="U82" s="40" t="e">
        <f t="shared" si="33"/>
        <v>#DIV/0!</v>
      </c>
    </row>
    <row r="83" spans="1:21" s="3" customFormat="1" ht="24.75" customHeight="1">
      <c r="A83" s="271" t="s">
        <v>628</v>
      </c>
      <c r="B83" s="51" t="s">
        <v>731</v>
      </c>
      <c r="D83" s="26" t="s">
        <v>324</v>
      </c>
      <c r="E83" s="97">
        <f>'Health Club'!E140+Telephone!E120+Apartment!E126</f>
        <v>64.400000000000006</v>
      </c>
      <c r="F83" s="97">
        <f>'Health Club'!F140+Telephone!F120+Apartment!F126</f>
        <v>64.400000000000006</v>
      </c>
      <c r="G83" s="97">
        <f>'Health Club'!G140+Telephone!G120+Apartment!G126</f>
        <v>64.400000000000006</v>
      </c>
      <c r="H83" s="97">
        <f>'Health Club'!H140+Telephone!H120+Apartment!H126</f>
        <v>64.400000000000006</v>
      </c>
      <c r="I83" s="97">
        <f>'Health Club'!I140+Telephone!I120+Apartment!I126</f>
        <v>64.400000000000006</v>
      </c>
      <c r="J83" s="97">
        <f>'Health Club'!J140+Telephone!J120+Apartment!J126</f>
        <v>64.400000000000006</v>
      </c>
      <c r="K83" s="97">
        <f>'Health Club'!K140+Telephone!K120+Apartment!K126</f>
        <v>64.400000000000006</v>
      </c>
      <c r="L83" s="97">
        <f>'Health Club'!L140+Telephone!L120+Apartment!L126</f>
        <v>64.400000000000006</v>
      </c>
      <c r="M83" s="97">
        <f>'Health Club'!M140+Telephone!M120+Apartment!M126</f>
        <v>64.400000000000006</v>
      </c>
      <c r="N83" s="97">
        <f>'Health Club'!N140+Telephone!N120+Apartment!N126</f>
        <v>64.400000000000006</v>
      </c>
      <c r="O83" s="97">
        <f>'Health Club'!O140+Telephone!O120+Apartment!O126</f>
        <v>64.400000000000006</v>
      </c>
      <c r="P83" s="97">
        <f>'Health Club'!P140+Telephone!P120+Apartment!P126</f>
        <v>64.400000000000006</v>
      </c>
      <c r="Q83" s="61">
        <f t="shared" si="34"/>
        <v>772.79999999999984</v>
      </c>
      <c r="R83" s="39">
        <f t="shared" si="32"/>
        <v>7.9999999999999984E-3</v>
      </c>
      <c r="S83" s="39"/>
      <c r="T83" s="35"/>
      <c r="U83" s="40" t="e">
        <f t="shared" si="33"/>
        <v>#DIV/0!</v>
      </c>
    </row>
    <row r="84" spans="1:21" s="3" customFormat="1" ht="24.75" customHeight="1">
      <c r="A84" s="271" t="s">
        <v>629</v>
      </c>
      <c r="B84" s="51" t="s">
        <v>731</v>
      </c>
      <c r="D84" s="26" t="s">
        <v>326</v>
      </c>
      <c r="E84" s="97">
        <f>'Health Club'!E141+Telephone!E121+Apartment!E127</f>
        <v>128.80000000000001</v>
      </c>
      <c r="F84" s="97">
        <f>'Health Club'!F141+Telephone!F121+Apartment!F127</f>
        <v>128.80000000000001</v>
      </c>
      <c r="G84" s="97">
        <f>'Health Club'!G141+Telephone!G121+Apartment!G127</f>
        <v>128.80000000000001</v>
      </c>
      <c r="H84" s="97">
        <f>'Health Club'!H141+Telephone!H121+Apartment!H127</f>
        <v>128.80000000000001</v>
      </c>
      <c r="I84" s="97">
        <f>'Health Club'!I141+Telephone!I121+Apartment!I127</f>
        <v>128.80000000000001</v>
      </c>
      <c r="J84" s="97">
        <f>'Health Club'!J141+Telephone!J121+Apartment!J127</f>
        <v>128.80000000000001</v>
      </c>
      <c r="K84" s="97">
        <f>'Health Club'!K141+Telephone!K121+Apartment!K127</f>
        <v>128.80000000000001</v>
      </c>
      <c r="L84" s="97">
        <f>'Health Club'!L141+Telephone!L121+Apartment!L127</f>
        <v>128.80000000000001</v>
      </c>
      <c r="M84" s="97">
        <f>'Health Club'!M141+Telephone!M121+Apartment!M127</f>
        <v>128.80000000000001</v>
      </c>
      <c r="N84" s="97">
        <f>'Health Club'!N141+Telephone!N121+Apartment!N127</f>
        <v>128.80000000000001</v>
      </c>
      <c r="O84" s="97">
        <f>'Health Club'!O141+Telephone!O121+Apartment!O127</f>
        <v>128.80000000000001</v>
      </c>
      <c r="P84" s="97">
        <f>'Health Club'!P141+Telephone!P121+Apartment!P127</f>
        <v>128.80000000000001</v>
      </c>
      <c r="Q84" s="61">
        <f t="shared" si="34"/>
        <v>1545.5999999999997</v>
      </c>
      <c r="R84" s="39">
        <f t="shared" si="32"/>
        <v>1.5999999999999997E-2</v>
      </c>
      <c r="S84" s="39"/>
      <c r="T84" s="35"/>
      <c r="U84" s="40" t="e">
        <f t="shared" si="33"/>
        <v>#DIV/0!</v>
      </c>
    </row>
    <row r="85" spans="1:21" s="3" customFormat="1" ht="24.95" customHeight="1">
      <c r="A85" s="271" t="s">
        <v>630</v>
      </c>
      <c r="B85" s="51" t="s">
        <v>731</v>
      </c>
      <c r="D85" s="26" t="s">
        <v>328</v>
      </c>
      <c r="E85" s="97">
        <f>'Health Club'!E142+Telephone!E122+Apartment!E128</f>
        <v>1350</v>
      </c>
      <c r="F85" s="97">
        <f>'Health Club'!F142+Telephone!F122+Apartment!F128</f>
        <v>1350</v>
      </c>
      <c r="G85" s="97">
        <f>'Health Club'!G142+Telephone!G122+Apartment!G128</f>
        <v>1350</v>
      </c>
      <c r="H85" s="97">
        <f>'Health Club'!H142+Telephone!H122+Apartment!H128</f>
        <v>1350</v>
      </c>
      <c r="I85" s="97">
        <f>'Health Club'!I142+Telephone!I122+Apartment!I128</f>
        <v>1350</v>
      </c>
      <c r="J85" s="97">
        <f>'Health Club'!J142+Telephone!J122+Apartment!J128</f>
        <v>1350</v>
      </c>
      <c r="K85" s="97">
        <f>'Health Club'!K142+Telephone!K122+Apartment!K128</f>
        <v>1350</v>
      </c>
      <c r="L85" s="97">
        <f>'Health Club'!L142+Telephone!L122+Apartment!L128</f>
        <v>1350</v>
      </c>
      <c r="M85" s="97">
        <f>'Health Club'!M142+Telephone!M122+Apartment!M128</f>
        <v>1350</v>
      </c>
      <c r="N85" s="97">
        <f>'Health Club'!N142+Telephone!N122+Apartment!N128</f>
        <v>1350</v>
      </c>
      <c r="O85" s="97">
        <f>'Health Club'!O142+Telephone!O122+Apartment!O128</f>
        <v>1350</v>
      </c>
      <c r="P85" s="97">
        <f>'Health Club'!P142+Telephone!P122+Apartment!P128</f>
        <v>1350</v>
      </c>
      <c r="Q85" s="61">
        <f t="shared" si="34"/>
        <v>16200</v>
      </c>
      <c r="R85" s="39">
        <f t="shared" si="32"/>
        <v>0.16770186335403728</v>
      </c>
      <c r="S85" s="39"/>
      <c r="T85" s="35"/>
      <c r="U85" s="40" t="e">
        <f t="shared" si="33"/>
        <v>#DIV/0!</v>
      </c>
    </row>
    <row r="86" spans="1:21" s="3" customFormat="1" ht="24.95" customHeight="1">
      <c r="A86" s="271" t="s">
        <v>631</v>
      </c>
      <c r="B86" s="51" t="s">
        <v>731</v>
      </c>
      <c r="D86" s="26" t="s">
        <v>330</v>
      </c>
      <c r="E86" s="97">
        <f>'Health Club'!E143+Telephone!E123+Apartment!E129</f>
        <v>270</v>
      </c>
      <c r="F86" s="97">
        <f>'Health Club'!F143+Telephone!F123+Apartment!F129</f>
        <v>270</v>
      </c>
      <c r="G86" s="97">
        <f>'Health Club'!G143+Telephone!G123+Apartment!G129</f>
        <v>270</v>
      </c>
      <c r="H86" s="97">
        <f>'Health Club'!H143+Telephone!H123+Apartment!H129</f>
        <v>270</v>
      </c>
      <c r="I86" s="97">
        <f>'Health Club'!I143+Telephone!I123+Apartment!I129</f>
        <v>270</v>
      </c>
      <c r="J86" s="97">
        <f>'Health Club'!J143+Telephone!J123+Apartment!J129</f>
        <v>270</v>
      </c>
      <c r="K86" s="97">
        <f>'Health Club'!K143+Telephone!K123+Apartment!K129</f>
        <v>270</v>
      </c>
      <c r="L86" s="97">
        <f>'Health Club'!L143+Telephone!L123+Apartment!L129</f>
        <v>270</v>
      </c>
      <c r="M86" s="97">
        <f>'Health Club'!M143+Telephone!M123+Apartment!M129</f>
        <v>270</v>
      </c>
      <c r="N86" s="97">
        <f>'Health Club'!N143+Telephone!N123+Apartment!N129</f>
        <v>270</v>
      </c>
      <c r="O86" s="97">
        <f>'Health Club'!O143+Telephone!O123+Apartment!O129</f>
        <v>270</v>
      </c>
      <c r="P86" s="97">
        <f>'Health Club'!P143+Telephone!P123+Apartment!P129</f>
        <v>270</v>
      </c>
      <c r="Q86" s="61">
        <f t="shared" ref="Q86:Q87" si="35">SUM(E86:P86)</f>
        <v>3240</v>
      </c>
      <c r="R86" s="39">
        <f t="shared" si="32"/>
        <v>3.354037267080745E-2</v>
      </c>
      <c r="S86" s="39"/>
      <c r="T86" s="35"/>
      <c r="U86" s="40" t="e">
        <f t="shared" si="33"/>
        <v>#DIV/0!</v>
      </c>
    </row>
    <row r="87" spans="1:21" s="3" customFormat="1" ht="24.95" customHeight="1">
      <c r="A87" s="271" t="s">
        <v>632</v>
      </c>
      <c r="B87" s="51" t="s">
        <v>731</v>
      </c>
      <c r="D87" s="26" t="s">
        <v>332</v>
      </c>
      <c r="E87" s="63">
        <v>0</v>
      </c>
      <c r="F87" s="60">
        <v>0</v>
      </c>
      <c r="G87" s="43">
        <v>0</v>
      </c>
      <c r="H87" s="60">
        <v>0</v>
      </c>
      <c r="I87" s="97">
        <f>'Health Club'!I144+Telephone!I124+Apartment!I130</f>
        <v>0</v>
      </c>
      <c r="J87" s="97">
        <f>'Health Club'!J144+Telephone!J124+Apartment!J130</f>
        <v>0</v>
      </c>
      <c r="K87" s="97">
        <f>'Health Club'!K144+Telephone!K124+Apartment!K130</f>
        <v>0</v>
      </c>
      <c r="L87" s="97">
        <f>'Health Club'!L144+Telephone!L124+Apartment!L130</f>
        <v>0</v>
      </c>
      <c r="M87" s="97">
        <f>'Health Club'!M144+Telephone!M124+Apartment!M130</f>
        <v>0</v>
      </c>
      <c r="N87" s="97">
        <f>'Health Club'!N144+Telephone!N124+Apartment!N130</f>
        <v>0</v>
      </c>
      <c r="O87" s="97">
        <f>'Health Club'!O144+Telephone!O124+Apartment!O130</f>
        <v>0</v>
      </c>
      <c r="P87" s="97">
        <f>'Health Club'!P144+Telephone!P124+Apartment!P130</f>
        <v>0</v>
      </c>
      <c r="Q87" s="61">
        <f t="shared" si="35"/>
        <v>0</v>
      </c>
      <c r="R87" s="39">
        <f t="shared" si="32"/>
        <v>0</v>
      </c>
      <c r="S87" s="39"/>
      <c r="T87" s="35"/>
      <c r="U87" s="40">
        <f t="shared" si="33"/>
        <v>0</v>
      </c>
    </row>
    <row r="88" spans="1:21" s="19" customFormat="1" ht="24.95" customHeight="1">
      <c r="A88" s="54"/>
      <c r="B88" s="51"/>
      <c r="D88" s="19" t="s">
        <v>333</v>
      </c>
      <c r="E88" s="45">
        <f>SUM(E80:E87)</f>
        <v>5596.7000000000007</v>
      </c>
      <c r="F88" s="45">
        <f t="shared" ref="F88:Q88" si="36">SUM(F80:F87)</f>
        <v>5596.7000000000007</v>
      </c>
      <c r="G88" s="45">
        <f t="shared" si="36"/>
        <v>5596.7000000000007</v>
      </c>
      <c r="H88" s="45">
        <f t="shared" si="36"/>
        <v>5596.7000000000007</v>
      </c>
      <c r="I88" s="45">
        <f t="shared" si="36"/>
        <v>5596.7000000000007</v>
      </c>
      <c r="J88" s="45">
        <f t="shared" si="36"/>
        <v>5596.7000000000007</v>
      </c>
      <c r="K88" s="45">
        <f t="shared" si="36"/>
        <v>5596.7000000000007</v>
      </c>
      <c r="L88" s="45">
        <f t="shared" si="36"/>
        <v>5596.7000000000007</v>
      </c>
      <c r="M88" s="45">
        <f t="shared" si="36"/>
        <v>5596.7000000000007</v>
      </c>
      <c r="N88" s="45">
        <f t="shared" si="36"/>
        <v>5596.7000000000007</v>
      </c>
      <c r="O88" s="45">
        <f t="shared" si="36"/>
        <v>5596.7000000000007</v>
      </c>
      <c r="P88" s="45">
        <f t="shared" si="36"/>
        <v>5596.7000000000007</v>
      </c>
      <c r="Q88" s="45">
        <f t="shared" si="36"/>
        <v>67160.399999999994</v>
      </c>
      <c r="R88" s="39">
        <f t="shared" si="32"/>
        <v>0.6952422360248447</v>
      </c>
      <c r="S88" s="39"/>
      <c r="T88" s="35"/>
      <c r="U88" s="40" t="e">
        <f t="shared" si="33"/>
        <v>#DIV/0!</v>
      </c>
    </row>
    <row r="89" spans="1:21" s="19" customFormat="1" ht="24.95" customHeight="1">
      <c r="A89" s="54"/>
      <c r="B89" s="51"/>
      <c r="D89" s="21"/>
      <c r="E89" s="55"/>
      <c r="F89" s="138"/>
      <c r="G89" s="55"/>
      <c r="H89" s="138"/>
      <c r="I89" s="55"/>
      <c r="J89" s="138"/>
      <c r="K89" s="57"/>
      <c r="L89" s="140"/>
      <c r="M89" s="57"/>
      <c r="N89" s="138"/>
      <c r="O89" s="3"/>
      <c r="P89" s="3"/>
      <c r="Q89" s="3"/>
      <c r="R89" s="3"/>
      <c r="T89" s="35"/>
      <c r="U89" s="40"/>
    </row>
    <row r="90" spans="1:21" s="3" customFormat="1" ht="24.95" hidden="1" customHeight="1">
      <c r="A90" s="3" t="s">
        <v>334</v>
      </c>
      <c r="B90" s="51" t="s">
        <v>730</v>
      </c>
      <c r="D90" s="26" t="s">
        <v>335</v>
      </c>
      <c r="E90" s="63">
        <v>0</v>
      </c>
      <c r="F90" s="60">
        <v>0</v>
      </c>
      <c r="G90" s="43">
        <v>0</v>
      </c>
      <c r="H90" s="60">
        <v>0</v>
      </c>
      <c r="I90" s="63">
        <v>0</v>
      </c>
      <c r="J90" s="60">
        <v>0</v>
      </c>
      <c r="K90" s="60">
        <v>0</v>
      </c>
      <c r="L90" s="60">
        <v>0</v>
      </c>
      <c r="M90" s="60">
        <v>0</v>
      </c>
      <c r="N90" s="60">
        <v>0</v>
      </c>
      <c r="O90" s="61">
        <v>0</v>
      </c>
      <c r="P90" s="61">
        <v>0</v>
      </c>
      <c r="Q90" s="61">
        <f>SUM(E90:P90)</f>
        <v>0</v>
      </c>
      <c r="T90" s="35"/>
      <c r="U90" s="40">
        <f>-IF(Q90-T90=0,0,(Q90-T90)/T90)</f>
        <v>0</v>
      </c>
    </row>
    <row r="91" spans="1:21" s="3" customFormat="1" ht="24.95" hidden="1" customHeight="1">
      <c r="A91" s="3" t="s">
        <v>336</v>
      </c>
      <c r="B91" s="51" t="s">
        <v>730</v>
      </c>
      <c r="D91" s="3" t="s">
        <v>337</v>
      </c>
      <c r="E91" s="63">
        <v>0</v>
      </c>
      <c r="F91" s="60">
        <v>0</v>
      </c>
      <c r="G91" s="43">
        <v>0</v>
      </c>
      <c r="H91" s="60">
        <v>0</v>
      </c>
      <c r="I91" s="63">
        <v>0</v>
      </c>
      <c r="J91" s="60">
        <v>0</v>
      </c>
      <c r="K91" s="60">
        <v>0</v>
      </c>
      <c r="L91" s="60">
        <v>0</v>
      </c>
      <c r="M91" s="60">
        <v>0</v>
      </c>
      <c r="N91" s="60">
        <v>0</v>
      </c>
      <c r="O91" s="61">
        <v>0</v>
      </c>
      <c r="P91" s="61">
        <v>0</v>
      </c>
      <c r="Q91" s="61">
        <f t="shared" ref="Q91:Q96" si="37">SUM(E91:P91)</f>
        <v>0</v>
      </c>
      <c r="T91" s="35"/>
      <c r="U91" s="40">
        <f>-IF(Q91-T91=0,0,(Q91-T91)/T91)</f>
        <v>0</v>
      </c>
    </row>
    <row r="92" spans="1:21" s="3" customFormat="1" ht="24.95" hidden="1" customHeight="1">
      <c r="A92" s="3" t="s">
        <v>338</v>
      </c>
      <c r="B92" s="51" t="s">
        <v>730</v>
      </c>
      <c r="D92" s="26" t="s">
        <v>339</v>
      </c>
      <c r="E92" s="63">
        <v>0</v>
      </c>
      <c r="F92" s="60">
        <v>0</v>
      </c>
      <c r="G92" s="43">
        <v>0</v>
      </c>
      <c r="H92" s="60">
        <v>0</v>
      </c>
      <c r="I92" s="63">
        <v>0</v>
      </c>
      <c r="J92" s="60">
        <v>0</v>
      </c>
      <c r="K92" s="60">
        <v>0</v>
      </c>
      <c r="L92" s="60">
        <v>0</v>
      </c>
      <c r="M92" s="60">
        <v>0</v>
      </c>
      <c r="N92" s="60">
        <v>0</v>
      </c>
      <c r="O92" s="61">
        <v>0</v>
      </c>
      <c r="P92" s="61">
        <v>0</v>
      </c>
      <c r="Q92" s="61">
        <f t="shared" si="37"/>
        <v>0</v>
      </c>
      <c r="T92" s="35"/>
      <c r="U92" s="40">
        <f>-IF(Q92-T92=0,0,(Q92-T92)/T92)</f>
        <v>0</v>
      </c>
    </row>
    <row r="93" spans="1:21" s="3" customFormat="1" ht="24.95" hidden="1" customHeight="1">
      <c r="A93" s="3" t="s">
        <v>340</v>
      </c>
      <c r="B93" s="51" t="s">
        <v>730</v>
      </c>
      <c r="D93" s="26" t="s">
        <v>341</v>
      </c>
      <c r="E93" s="63">
        <v>0</v>
      </c>
      <c r="F93" s="60">
        <v>0</v>
      </c>
      <c r="G93" s="43">
        <v>0</v>
      </c>
      <c r="H93" s="60">
        <v>0</v>
      </c>
      <c r="I93" s="63">
        <v>0</v>
      </c>
      <c r="J93" s="60">
        <v>0</v>
      </c>
      <c r="K93" s="60">
        <v>0</v>
      </c>
      <c r="L93" s="60">
        <v>0</v>
      </c>
      <c r="M93" s="60">
        <v>0</v>
      </c>
      <c r="N93" s="60">
        <v>0</v>
      </c>
      <c r="O93" s="61">
        <v>0</v>
      </c>
      <c r="P93" s="61">
        <v>0</v>
      </c>
      <c r="Q93" s="61">
        <f t="shared" si="37"/>
        <v>0</v>
      </c>
      <c r="T93" s="35"/>
      <c r="U93" s="40">
        <f>-IF(Q93-T93=0,0,(Q93-T93)/T93)</f>
        <v>0</v>
      </c>
    </row>
    <row r="94" spans="1:21" s="3" customFormat="1" ht="24.95" customHeight="1">
      <c r="A94" s="3" t="s">
        <v>342</v>
      </c>
      <c r="B94" s="51" t="s">
        <v>730</v>
      </c>
      <c r="D94" s="26" t="s">
        <v>343</v>
      </c>
      <c r="E94" s="63">
        <f>'Health Club'!E151+Telephone!E131+Apartment!E137</f>
        <v>0</v>
      </c>
      <c r="F94" s="63">
        <f>'Health Club'!F151+Telephone!F131+Apartment!F137</f>
        <v>0</v>
      </c>
      <c r="G94" s="63">
        <f>'Health Club'!G151+Telephone!G131+Apartment!G137</f>
        <v>0</v>
      </c>
      <c r="H94" s="63">
        <f>'Health Club'!H151+Telephone!H131+Apartment!H137</f>
        <v>0</v>
      </c>
      <c r="I94" s="63">
        <f>'Health Club'!I151+Telephone!I131+Apartment!I137</f>
        <v>0</v>
      </c>
      <c r="J94" s="63">
        <f>'Health Club'!J151+Telephone!J131+Apartment!J137</f>
        <v>0</v>
      </c>
      <c r="K94" s="63">
        <f>'Health Club'!K151+Telephone!K131+Apartment!K137</f>
        <v>0</v>
      </c>
      <c r="L94" s="63">
        <f>'Health Club'!L151+Telephone!L131+Apartment!L137</f>
        <v>0</v>
      </c>
      <c r="M94" s="63">
        <f>'Health Club'!M151+Telephone!M131+Apartment!M137</f>
        <v>0</v>
      </c>
      <c r="N94" s="63">
        <f>'Health Club'!N151+Telephone!N131+Apartment!N137</f>
        <v>0</v>
      </c>
      <c r="O94" s="63">
        <f>'Health Club'!O151+Telephone!O131+Apartment!O137</f>
        <v>0</v>
      </c>
      <c r="P94" s="63">
        <f>'Health Club'!P151+Telephone!P131+Apartment!P137</f>
        <v>0</v>
      </c>
      <c r="Q94" s="61">
        <f t="shared" si="37"/>
        <v>0</v>
      </c>
      <c r="R94" s="39">
        <f>Q94/$Q$27</f>
        <v>0</v>
      </c>
      <c r="S94" s="39"/>
      <c r="T94" s="35"/>
      <c r="U94" s="40">
        <f>-IF(Q94-T94=0,0,(Q94-T94)/T94)</f>
        <v>0</v>
      </c>
    </row>
    <row r="95" spans="1:21" s="3" customFormat="1" ht="24.95" customHeight="1">
      <c r="A95" s="3" t="s">
        <v>344</v>
      </c>
      <c r="B95" s="51" t="s">
        <v>730</v>
      </c>
      <c r="D95" s="26" t="s">
        <v>345</v>
      </c>
      <c r="E95" s="63">
        <f>'Health Club'!E152+Telephone!E132+Apartment!E138</f>
        <v>0</v>
      </c>
      <c r="F95" s="63">
        <f>'Health Club'!F152+Telephone!F132+Apartment!F138</f>
        <v>0</v>
      </c>
      <c r="G95" s="63">
        <f>'Health Club'!G152+Telephone!G132+Apartment!G138</f>
        <v>0</v>
      </c>
      <c r="H95" s="63">
        <f>'Health Club'!H152+Telephone!H132+Apartment!H138</f>
        <v>0</v>
      </c>
      <c r="I95" s="63">
        <f>'Health Club'!I152+Telephone!I132+Apartment!I138</f>
        <v>0</v>
      </c>
      <c r="J95" s="63">
        <f>'Health Club'!J152+Telephone!J132+Apartment!J138</f>
        <v>0</v>
      </c>
      <c r="K95" s="63">
        <f>'Health Club'!K152+Telephone!K132+Apartment!K138</f>
        <v>0</v>
      </c>
      <c r="L95" s="63">
        <f>'Health Club'!L152+Telephone!L132+Apartment!L138</f>
        <v>0</v>
      </c>
      <c r="M95" s="63">
        <f>'Health Club'!M152+Telephone!M132+Apartment!M138</f>
        <v>0</v>
      </c>
      <c r="N95" s="63">
        <f>'Health Club'!N152+Telephone!N132+Apartment!N138</f>
        <v>0</v>
      </c>
      <c r="O95" s="63">
        <f>'Health Club'!O152+Telephone!O132+Apartment!O138</f>
        <v>0</v>
      </c>
      <c r="P95" s="63">
        <f>'Health Club'!P152+Telephone!P132+Apartment!P138</f>
        <v>0</v>
      </c>
      <c r="Q95" s="61">
        <f t="shared" si="37"/>
        <v>0</v>
      </c>
      <c r="R95" s="39">
        <f>Q95/$Q$27</f>
        <v>0</v>
      </c>
      <c r="S95" s="39"/>
      <c r="T95" s="35"/>
      <c r="U95" s="40"/>
    </row>
    <row r="96" spans="1:21" s="3" customFormat="1" ht="24.95" customHeight="1">
      <c r="A96" s="3" t="s">
        <v>346</v>
      </c>
      <c r="B96" s="51" t="s">
        <v>730</v>
      </c>
      <c r="D96" s="26" t="s">
        <v>347</v>
      </c>
      <c r="E96" s="63">
        <f>'Health Club'!E153+Telephone!E133+Apartment!E139</f>
        <v>2786.52</v>
      </c>
      <c r="F96" s="63">
        <f>'Health Club'!F153+Telephone!F133+Apartment!F139</f>
        <v>2912.61</v>
      </c>
      <c r="G96" s="63">
        <f>'Health Club'!G153+Telephone!G133+Apartment!G139</f>
        <v>2723.48</v>
      </c>
      <c r="H96" s="63">
        <f>'Health Club'!H153+Telephone!H133+Apartment!H139</f>
        <v>2786.52</v>
      </c>
      <c r="I96" s="63">
        <f>'Health Club'!I153+Telephone!I133+Apartment!I139</f>
        <v>2786.52</v>
      </c>
      <c r="J96" s="63">
        <f>'Health Club'!J153+Telephone!J133+Apartment!J139</f>
        <v>2786.52</v>
      </c>
      <c r="K96" s="63">
        <f>'Health Club'!K153+Telephone!K133+Apartment!K139</f>
        <v>2723.48</v>
      </c>
      <c r="L96" s="63">
        <f>'Health Club'!L153+Telephone!L133+Apartment!L139</f>
        <v>2723.48</v>
      </c>
      <c r="M96" s="63">
        <f>'Health Club'!M153+Telephone!M133+Apartment!M139</f>
        <v>2786.52</v>
      </c>
      <c r="N96" s="63">
        <f>'Health Club'!N153+Telephone!N133+Apartment!N139</f>
        <v>2912.61</v>
      </c>
      <c r="O96" s="63">
        <f>'Health Club'!O153+Telephone!O133+Apartment!O139</f>
        <v>2723.48</v>
      </c>
      <c r="P96" s="63">
        <f>'Health Club'!P153+Telephone!P133+Apartment!P139</f>
        <v>2723.48</v>
      </c>
      <c r="Q96" s="61">
        <f t="shared" si="37"/>
        <v>33375.22</v>
      </c>
      <c r="R96" s="39">
        <f>Q96/$Q$27</f>
        <v>0.34549917184265011</v>
      </c>
      <c r="S96" s="39"/>
      <c r="T96" s="35"/>
      <c r="U96" s="40" t="e">
        <f>-IF(Q96-T96=0,0,(Q96-T96)/T96)</f>
        <v>#DIV/0!</v>
      </c>
    </row>
    <row r="97" spans="1:21" s="3" customFormat="1" ht="24.95" customHeight="1">
      <c r="B97" s="51"/>
      <c r="D97" s="19" t="s">
        <v>348</v>
      </c>
      <c r="E97" s="52">
        <f>SUM(E90:E96)</f>
        <v>2786.52</v>
      </c>
      <c r="F97" s="52">
        <f t="shared" ref="F97:Q97" si="38">SUM(F90:F96)</f>
        <v>2912.61</v>
      </c>
      <c r="G97" s="52">
        <f t="shared" si="38"/>
        <v>2723.48</v>
      </c>
      <c r="H97" s="52">
        <f t="shared" si="38"/>
        <v>2786.52</v>
      </c>
      <c r="I97" s="52">
        <f t="shared" si="38"/>
        <v>2786.52</v>
      </c>
      <c r="J97" s="52">
        <f t="shared" si="38"/>
        <v>2786.52</v>
      </c>
      <c r="K97" s="52">
        <f t="shared" si="38"/>
        <v>2723.48</v>
      </c>
      <c r="L97" s="52">
        <f t="shared" si="38"/>
        <v>2723.48</v>
      </c>
      <c r="M97" s="52">
        <f t="shared" si="38"/>
        <v>2786.52</v>
      </c>
      <c r="N97" s="52">
        <f t="shared" si="38"/>
        <v>2912.61</v>
      </c>
      <c r="O97" s="52">
        <f t="shared" si="38"/>
        <v>2723.48</v>
      </c>
      <c r="P97" s="52">
        <f t="shared" si="38"/>
        <v>2723.48</v>
      </c>
      <c r="Q97" s="52">
        <f t="shared" si="38"/>
        <v>33375.22</v>
      </c>
      <c r="R97" s="39">
        <f>Q97/$Q$27</f>
        <v>0.34549917184265011</v>
      </c>
      <c r="S97" s="39"/>
      <c r="T97" s="35"/>
      <c r="U97" s="40" t="e">
        <f>-IF(Q97-T97=0,0,(Q97-T97)/T97)</f>
        <v>#DIV/0!</v>
      </c>
    </row>
    <row r="98" spans="1:21" s="3" customFormat="1" ht="24.95" customHeight="1">
      <c r="A98" s="54"/>
      <c r="B98" s="51"/>
      <c r="D98" s="19" t="s">
        <v>349</v>
      </c>
      <c r="E98" s="52">
        <f>E69+E78+E88+E97</f>
        <v>30060.38</v>
      </c>
      <c r="F98" s="52">
        <f t="shared" ref="F98:Q98" si="39">F69+F78+F88+F97</f>
        <v>32227.84</v>
      </c>
      <c r="G98" s="52">
        <f t="shared" si="39"/>
        <v>28707.68</v>
      </c>
      <c r="H98" s="52">
        <f t="shared" si="39"/>
        <v>30060.38</v>
      </c>
      <c r="I98" s="52">
        <f t="shared" si="39"/>
        <v>30060.38</v>
      </c>
      <c r="J98" s="52">
        <f t="shared" si="39"/>
        <v>30060.38</v>
      </c>
      <c r="K98" s="52">
        <f t="shared" si="39"/>
        <v>28707.68</v>
      </c>
      <c r="L98" s="52">
        <f t="shared" si="39"/>
        <v>28707.68</v>
      </c>
      <c r="M98" s="52">
        <f t="shared" si="39"/>
        <v>30060.38</v>
      </c>
      <c r="N98" s="52">
        <f t="shared" si="39"/>
        <v>32227.84</v>
      </c>
      <c r="O98" s="52">
        <f t="shared" si="39"/>
        <v>28707.68</v>
      </c>
      <c r="P98" s="52">
        <f t="shared" si="39"/>
        <v>28707.68</v>
      </c>
      <c r="Q98" s="52">
        <f t="shared" si="39"/>
        <v>358295.98</v>
      </c>
      <c r="R98" s="39">
        <f>Q98/$Q$27</f>
        <v>3.7090681159420287</v>
      </c>
      <c r="S98" s="39"/>
      <c r="T98" s="35"/>
      <c r="U98" s="40" t="e">
        <f>-IF(Q98-T98=0,0,(Q98-T98)/T98)</f>
        <v>#DIV/0!</v>
      </c>
    </row>
    <row r="99" spans="1:21" s="3" customFormat="1" ht="24.95" customHeight="1">
      <c r="A99" s="54"/>
      <c r="B99" s="51"/>
      <c r="D99" s="21"/>
      <c r="E99" s="53"/>
      <c r="F99" s="53"/>
      <c r="G99" s="53"/>
      <c r="H99" s="53"/>
      <c r="I99" s="53"/>
      <c r="J99" s="53"/>
      <c r="K99" s="53"/>
      <c r="L99" s="53"/>
      <c r="M99" s="53"/>
      <c r="N99" s="53"/>
      <c r="O99" s="53"/>
      <c r="P99" s="53"/>
      <c r="T99" s="35"/>
      <c r="U99" s="40"/>
    </row>
    <row r="100" spans="1:21" s="3" customFormat="1" ht="24.95" customHeight="1">
      <c r="A100" s="271" t="s">
        <v>105</v>
      </c>
      <c r="B100" s="51" t="s">
        <v>730</v>
      </c>
      <c r="D100" s="19" t="s">
        <v>352</v>
      </c>
      <c r="E100" s="139">
        <f>'Health Club'!E157+Telephone!E137+Transportation!E131+BC!E150+'DYT Galleria'!E128+Apartment!E143</f>
        <v>5</v>
      </c>
      <c r="F100" s="139">
        <f>'Health Club'!F157+Telephone!F137+Transportation!F131+BC!F150+'DYT Galleria'!F128+Apartment!F143</f>
        <v>5</v>
      </c>
      <c r="G100" s="139">
        <f>'Health Club'!G157+Telephone!G137+Transportation!G131+BC!G150+'DYT Galleria'!G128+Apartment!G143</f>
        <v>5</v>
      </c>
      <c r="H100" s="139">
        <f>'Health Club'!H157+Telephone!H137+Transportation!H131+BC!H150+'DYT Galleria'!H128+Apartment!H143</f>
        <v>5</v>
      </c>
      <c r="I100" s="139">
        <f>'Health Club'!I157+Telephone!I137+Transportation!I131+BC!I150+'DYT Galleria'!I128+Apartment!I143</f>
        <v>5</v>
      </c>
      <c r="J100" s="139">
        <f>'Health Club'!J157+Telephone!J137+Transportation!J131+BC!J150+'DYT Galleria'!J128+Apartment!J143</f>
        <v>5</v>
      </c>
      <c r="K100" s="139">
        <f>'Health Club'!K157+Telephone!K137+Transportation!K131+BC!K150+'DYT Galleria'!K128+Apartment!K143</f>
        <v>5</v>
      </c>
      <c r="L100" s="139">
        <f>'Health Club'!L157+Telephone!L137+Transportation!L131+BC!L150+'DYT Galleria'!L128+Apartment!L143</f>
        <v>5</v>
      </c>
      <c r="M100" s="139">
        <f>'Health Club'!M157+Telephone!M137+Transportation!M131+BC!M150+'DYT Galleria'!M128+Apartment!M143</f>
        <v>5</v>
      </c>
      <c r="N100" s="139">
        <f>'Health Club'!N157+Telephone!N137+Transportation!N131+BC!N150+'DYT Galleria'!N128+Apartment!N143</f>
        <v>5</v>
      </c>
      <c r="O100" s="139">
        <f>'Health Club'!O157+Telephone!O137+Transportation!O131+BC!O150+'DYT Galleria'!O128+Apartment!O143</f>
        <v>5</v>
      </c>
      <c r="P100" s="139">
        <f>'Health Club'!P157+Telephone!P137+Transportation!P131+BC!P150+'DYT Galleria'!P128+Apartment!P143</f>
        <v>5</v>
      </c>
      <c r="Q100" s="141">
        <f>SUM(E100:P100)/12</f>
        <v>5</v>
      </c>
      <c r="T100" s="35"/>
      <c r="U100" s="40" t="e">
        <f>-IF(Q100-T100=0,0,(Q100-T100)/T100)</f>
        <v>#DIV/0!</v>
      </c>
    </row>
  </sheetData>
  <phoneticPr fontId="57" type="noConversion"/>
  <dataValidations count="45">
    <dataValidation type="textLength" errorStyle="information" allowBlank="1" showInputMessage="1" showErrorMessage="1" error="XLBVal:6=1531.53_x000d__x000a_" sqref="E20:P20">
      <formula1>0</formula1>
      <formula2>300</formula2>
    </dataValidation>
    <dataValidation type="textLength" errorStyle="information" allowBlank="1" showInputMessage="1" showErrorMessage="1" error="XLBVal:6=24.37_x000d__x000a_" sqref="E19:P19">
      <formula1>0</formula1>
      <formula2>300</formula2>
    </dataValidation>
    <dataValidation type="textLength" errorStyle="information" allowBlank="1" showInputMessage="1" showErrorMessage="1" error="XLBVal:6=11232_x000d__x000a_" sqref="Q100">
      <formula1>0</formula1>
      <formula2>300</formula2>
    </dataValidation>
    <dataValidation type="textLength" errorStyle="information" allowBlank="1" showInputMessage="1" showErrorMessage="1" error="XLBVal:5=.526318345011041_x000d__x000a_" sqref="J29">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2=0_x000d__x000a_" sqref="E12:Q12 E25:P25 G26:P26 I28 E30:P30 Q31 Q33 Q36 Q87 G28:G29 Q13:Q26 Q67:Q68 E43:P44 E87:H87 E39:P41 E90:Q96 E15:P18 E32:P37 E21:P23">
      <formula1>0</formula1>
      <formula2>300</formula2>
    </dataValidation>
    <dataValidation type="textLength" errorStyle="information" allowBlank="1" showInputMessage="1" showErrorMessage="1" error="XLBVal:6=45043.68_x000d__x000a_" sqref="E13:P13">
      <formula1>0</formula1>
      <formula2>300</formula2>
    </dataValidation>
    <dataValidation type="textLength" errorStyle="information" allowBlank="1" showInputMessage="1" showErrorMessage="1" error="XLBVal:6=0_x000d__x000a_" sqref="E14:P14">
      <formula1>0</formula1>
      <formula2>300</formula2>
    </dataValidation>
    <dataValidation type="textLength" errorStyle="information" allowBlank="1" showInputMessage="1" showErrorMessage="1" error="XLBVal:6=12231.9_x000d__x000a_" sqref="E24:P24">
      <formula1>0</formula1>
      <formula2>300</formula2>
    </dataValidation>
    <dataValidation type="textLength" errorStyle="information" allowBlank="1" showInputMessage="1" showErrorMessage="1" error="XLBVal:6=6595485.04_x000d__x000a_" sqref="I29">
      <formula1>0</formula1>
      <formula2>300</formula2>
    </dataValidation>
    <dataValidation type="textLength" errorStyle="information" allowBlank="1" showInputMessage="1" showErrorMessage="1" error="XLBVal:6=3005.67_x000d__x000a_" sqref="E26">
      <formula1>0</formula1>
      <formula2>300</formula2>
    </dataValidation>
    <dataValidation type="textLength" errorStyle="information" allowBlank="1" showInputMessage="1" showErrorMessage="1" error="XLBVal:5=-2586288.67_x000d__x000a_" sqref="K29">
      <formula1>0</formula1>
      <formula2>300</formula2>
    </dataValidation>
    <dataValidation type="textLength" errorStyle="information" allowBlank="1" showInputMessage="1" showErrorMessage="1" error="XLBVal:5=1.05855104228974_x000d__x000a_" sqref="F29">
      <formula1>0</formula1>
      <formula2>300</formula2>
    </dataValidation>
    <dataValidation type="textLength" errorStyle="information" allowBlank="1" showInputMessage="1" showErrorMessage="1" error="XLBVal:6=5632.09_x000d__x000a_" sqref="F26">
      <formula1>0</formula1>
      <formula2>300</formula2>
    </dataValidation>
    <dataValidation type="textLength" errorStyle="information" allowBlank="1" showInputMessage="1" showErrorMessage="1" error="XLBVal:5=1285238.57_x000d__x000a_" sqref="E27:Q27 K28 E45:Q45 E63:Q63 F64:Q64 F65:N65 E64:E65">
      <formula1>0</formula1>
      <formula2>300</formula2>
    </dataValidation>
    <dataValidation type="textLength" errorStyle="information" allowBlank="1" showInputMessage="1" showErrorMessage="1" error="XLBVal:6=5959.13_x000d__x000a_" sqref="E67:P68">
      <formula1>0</formula1>
      <formula2>300</formula2>
    </dataValidation>
    <dataValidation type="textLength" errorStyle="information" allowBlank="1" showInputMessage="1" showErrorMessage="1" error="XLBVal:6=825.3_x000d__x000a_" sqref="E28">
      <formula1>0</formula1>
      <formula2>300</formula2>
    </dataValidation>
    <dataValidation type="textLength" errorStyle="information" allowBlank="1" showInputMessage="1" showErrorMessage="1" error="XLBVal:5=.795992234960888_x000d__x000a_" sqref="F28">
      <formula1>0</formula1>
      <formula2>300</formula2>
    </dataValidation>
    <dataValidation type="textLength" errorStyle="information" allowBlank="1" showInputMessage="1" showErrorMessage="1" error="XLBVal:6=8609.05_x000d__x000a_" sqref="E31:P31">
      <formula1>0</formula1>
      <formula2>300</formula2>
    </dataValidation>
    <dataValidation type="textLength" errorStyle="information" allowBlank="1" showInputMessage="1" showErrorMessage="1" error="XLBVal:5=.736072686217045_x000d__x000a_" sqref="J28">
      <formula1>0</formula1>
      <formula2>300</formula2>
    </dataValidation>
    <dataValidation type="textLength" errorStyle="information" allowBlank="1" showInputMessage="1" showErrorMessage="1" error="XLBVal:6=871596_x000d__x000a_" sqref="Q38:Q44">
      <formula1>0</formula1>
      <formula2>300</formula2>
    </dataValidation>
    <dataValidation type="textLength" errorStyle="information" allowBlank="1" showInputMessage="1" showErrorMessage="1" error="XLBVal:5=-331377.43_x000d__x000a_" sqref="M28">
      <formula1>0</formula1>
      <formula2>300</formula2>
    </dataValidation>
    <dataValidation type="textLength" errorStyle="information" allowBlank="1" showInputMessage="1" showErrorMessage="1" error="XLBVal:5=-.20498215407988_x000d__x000a_" sqref="N28">
      <formula1>0</formula1>
      <formula2>300</formula2>
    </dataValidation>
    <dataValidation type="textLength" errorStyle="information" allowBlank="1" showInputMessage="1" showErrorMessage="1" error="XLBVal:6=6688509.16_x000d__x000a_" sqref="E29">
      <formula1>0</formula1>
      <formula2>300</formula2>
    </dataValidation>
    <dataValidation type="textLength" errorStyle="information" allowBlank="1" showInputMessage="1" showErrorMessage="1" error="XLBVal:5=15426.66_x000d__x000a_" sqref="M29">
      <formula1>0</formula1>
      <formula2>300</formula2>
    </dataValidation>
    <dataValidation type="textLength" errorStyle="information" allowBlank="1" showInputMessage="1" showErrorMessage="1" error="XLBVal:5=-.452024345159023_x000d__x000a_" sqref="N29">
      <formula1>0</formula1>
      <formula2>300</formula2>
    </dataValidation>
    <dataValidation type="textLength" errorStyle="information" allowBlank="1" showInputMessage="1" showErrorMessage="1" error="XLBVal:6=28280_x000d__x000a_" sqref="Q30">
      <formula1>0</formula1>
      <formula2>300</formula2>
    </dataValidation>
    <dataValidation type="textLength" errorStyle="information" allowBlank="1" showInputMessage="1" showErrorMessage="1" error="XLBVal:6=2225772_x000d__x000a_" sqref="Q32">
      <formula1>0</formula1>
      <formula2>300</formula2>
    </dataValidation>
    <dataValidation type="textLength" errorStyle="information" allowBlank="1" showInputMessage="1" showErrorMessage="1" error="XLBVal:6=189254_x000d__x000a_" sqref="Q34">
      <formula1>0</formula1>
      <formula2>300</formula2>
    </dataValidation>
    <dataValidation type="textLength" errorStyle="information" allowBlank="1" showInputMessage="1" showErrorMessage="1" error="XLBVal:6=270684_x000d__x000a_" sqref="Q35">
      <formula1>0</formula1>
      <formula2>300</formula2>
    </dataValidation>
    <dataValidation type="textLength" errorStyle="information" allowBlank="1" showInputMessage="1" showErrorMessage="1" error="XLBVal:6=11712_x000d__x000a_" sqref="Q37">
      <formula1>0</formula1>
      <formula2>300</formula2>
    </dataValidation>
    <dataValidation type="textLength" errorStyle="information" allowBlank="1" showInputMessage="1" showErrorMessage="1" error="XLBVal:6=11_x000d__x000a_" sqref="E100:P100">
      <formula1>0</formula1>
      <formula2>300</formula2>
    </dataValidation>
    <dataValidation type="textLength" errorStyle="information" allowBlank="1" showInputMessage="1" showErrorMessage="1" error="XLBVal:6=-1453.98_x000d__x000a_" sqref="E38:P38">
      <formula1>0</formula1>
      <formula2>300</formula2>
    </dataValidation>
    <dataValidation type="textLength" errorStyle="information" allowBlank="1" showInputMessage="1" showErrorMessage="1" error="XLBVal:6=218.17_x000d__x000a_" sqref="E42:P42">
      <formula1>0</formula1>
      <formula2>300</formula2>
    </dataValidation>
    <dataValidation type="textLength" errorStyle="information" allowBlank="1" showInputMessage="1" showErrorMessage="1" error="XLBVal:5=-446484.289999999_x000d__x000a_" sqref="K66 K46:K47">
      <formula1>0</formula1>
      <formula2>300</formula2>
    </dataValidation>
    <dataValidation type="textLength" errorStyle="information" allowBlank="1" showInputMessage="1" showErrorMessage="1" error="XLBVal:6=3239.86_x000d__x000a_" sqref="E66 G66 I66 E46:E62 F48:F62 G46:G62 H48:H62 I46:I62 J48:Q62">
      <formula1>0</formula1>
      <formula2>300</formula2>
    </dataValidation>
    <dataValidation type="textLength" errorStyle="information" allowBlank="1" showInputMessage="1" showErrorMessage="1" error="XLBVal:5=0_x000d__x000a_" sqref="F66 H66 J66 L66 N66 F46:F47 H28:H29 H46:H47 J46:J47 L28:L29 L46:L47 N46:N47">
      <formula1>0</formula1>
      <formula2>300</formula2>
    </dataValidation>
    <dataValidation type="textLength" errorStyle="information" allowBlank="1" showInputMessage="1" showErrorMessage="1" error="XLBVal:5=-677276.26_x000d__x000a_" sqref="M66 M46:M47">
      <formula1>0</formula1>
      <formula2>300</formula2>
    </dataValidation>
    <dataValidation type="textLength" errorStyle="information" allowBlank="1" showInputMessage="1" showErrorMessage="1" sqref="F70 H70 J70:N70 F79 H79 J79:N79 F89 H89 J89:N89 E97:Q97 F98:Q98 E98:E99 F99:P99">
      <formula1>0</formula1>
      <formula2>300</formula2>
    </dataValidation>
    <dataValidation type="textLength" errorStyle="information" allowBlank="1" showInputMessage="1" showErrorMessage="1" error="XLBVal:6=1449408_x000d__x000a_" sqref="Q86">
      <formula1>0</formula1>
      <formula2>300</formula2>
    </dataValidation>
    <dataValidation type="textLength" errorStyle="information" allowBlank="1" showInputMessage="1" showErrorMessage="1" error="XLBVal:6=3678_x000d__x000a_" sqref="F88 H88 J88:Q88 E88:E89 G88:G89 I88:I89">
      <formula1>0</formula1>
      <formula2>300</formula2>
    </dataValidation>
    <dataValidation type="textLength" errorStyle="information" allowBlank="1" showInputMessage="1" showErrorMessage="1" error="XLBVal:6=2384822_x000d__x000a_" sqref="Q71:Q77">
      <formula1>0</formula1>
      <formula2>300</formula2>
    </dataValidation>
    <dataValidation type="textLength" errorStyle="information" allowBlank="1" showInputMessage="1" showErrorMessage="1" error="XLBVal:6=8014670_x000d__x000a_" sqref="Q80:Q85">
      <formula1>0</formula1>
      <formula2>300</formula2>
    </dataValidation>
    <dataValidation type="textLength" errorStyle="information" allowBlank="1" showInputMessage="1" showErrorMessage="1" error="XLBVal:6=3156.42_x000d__x000a_" sqref="E71:P77">
      <formula1>0</formula1>
      <formula2>300</formula2>
    </dataValidation>
    <dataValidation type="textLength" errorStyle="information" allowBlank="1" showInputMessage="1" showErrorMessage="1" error="XLBVal:6=3902.8_x000d__x000a_" sqref="I86:P87 F80:P85 E80:E86 F86:H86">
      <formula1>0</formula1>
      <formula2>300</formula2>
    </dataValidation>
  </dataValidations>
  <printOptions horizontalCentered="1"/>
  <pageMargins left="0.118110236220472" right="0.118110236220472" top="0.59055118110236204" bottom="0.39370078740157499" header="0" footer="0"/>
  <pageSetup paperSize="9" scale="39" fitToHeight="0" orientation="landscape" r:id="rId1"/>
  <headerFooter>
    <oddFooter>&amp;L&amp;"微软雅黑,Regular"&amp;F&amp;C&amp;"微软雅黑,Regular"Page &amp;P of &amp;N&amp;R&amp;"微软雅黑,Regular"&amp;D</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dimension ref="A1:T157"/>
  <sheetViews>
    <sheetView zoomScale="50" zoomScaleNormal="50" zoomScaleSheetLayoutView="40" workbookViewId="0">
      <pane xSplit="4" ySplit="9" topLeftCell="E122" activePane="bottomRight" state="frozen"/>
      <selection pane="topRight"/>
      <selection pane="bottomLeft"/>
      <selection pane="bottomRight" activeCell="H28" sqref="H28"/>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89.125" style="6" customWidth="1" collapsed="1"/>
    <col min="5" max="5" width="16.5" style="7" customWidth="1"/>
    <col min="6" max="6" width="16.5" style="89" customWidth="1"/>
    <col min="7" max="7" width="17.875" style="7" customWidth="1"/>
    <col min="8" max="8" width="17.875" style="6" customWidth="1"/>
    <col min="9" max="9" width="16.5" style="7" customWidth="1"/>
    <col min="10" max="10" width="16.5" style="89" customWidth="1"/>
    <col min="11" max="11" width="17.875" style="7" customWidth="1"/>
    <col min="12" max="12" width="16.5" style="90" customWidth="1"/>
    <col min="13" max="13" width="16.5" style="7" customWidth="1"/>
    <col min="14" max="14" width="16.5" style="89" customWidth="1"/>
    <col min="15" max="16" width="16.5" style="5" customWidth="1"/>
    <col min="17" max="17" width="18.875" style="5" customWidth="1"/>
    <col min="18" max="18" width="13.5" style="5" customWidth="1"/>
    <col min="19" max="19" width="22.5" style="8" customWidth="1"/>
    <col min="20" max="20" width="22.5" style="5"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732</v>
      </c>
      <c r="E6" s="13"/>
      <c r="F6" s="93"/>
      <c r="G6" s="13"/>
      <c r="H6" s="94"/>
      <c r="I6" s="13"/>
      <c r="J6" s="93"/>
      <c r="K6" s="13"/>
      <c r="L6" s="101"/>
      <c r="M6" s="13"/>
      <c r="N6" s="93"/>
      <c r="S6" s="33"/>
    </row>
    <row r="7" spans="1:20" s="2" customFormat="1" ht="24.95" customHeight="1">
      <c r="D7" s="15" t="str">
        <f>Summary!D7</f>
        <v>2025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116"/>
      <c r="T9" s="11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3" t="s">
        <v>684</v>
      </c>
      <c r="B12" s="3" t="s">
        <v>685</v>
      </c>
      <c r="D12" s="3" t="s">
        <v>732</v>
      </c>
      <c r="E12" s="27"/>
      <c r="F12" s="27"/>
      <c r="G12" s="27"/>
      <c r="H12" s="27"/>
      <c r="I12" s="27"/>
      <c r="J12" s="27"/>
      <c r="K12" s="27"/>
      <c r="L12" s="27"/>
      <c r="M12" s="27"/>
      <c r="N12" s="27"/>
      <c r="O12" s="27"/>
      <c r="P12" s="27"/>
      <c r="Q12" s="27">
        <f>SUM(E12:P12)</f>
        <v>0</v>
      </c>
      <c r="S12" s="35"/>
      <c r="T12" s="40">
        <f>IF(Q12-S12=0,0,(Q12-S12)/S12)</f>
        <v>0</v>
      </c>
    </row>
    <row r="13" spans="1:20" s="3" customFormat="1" ht="24.95" hidden="1" customHeight="1">
      <c r="A13" s="3" t="s">
        <v>733</v>
      </c>
      <c r="B13" s="3" t="s">
        <v>734</v>
      </c>
      <c r="C13" s="3" t="s">
        <v>735</v>
      </c>
      <c r="D13" s="26" t="s">
        <v>736</v>
      </c>
      <c r="E13" s="27">
        <v>0</v>
      </c>
      <c r="F13" s="27">
        <v>0</v>
      </c>
      <c r="G13" s="27">
        <v>0</v>
      </c>
      <c r="H13" s="27">
        <v>0</v>
      </c>
      <c r="I13" s="27">
        <v>0</v>
      </c>
      <c r="J13" s="27">
        <v>0</v>
      </c>
      <c r="K13" s="27">
        <v>0</v>
      </c>
      <c r="L13" s="27">
        <v>0</v>
      </c>
      <c r="M13" s="27">
        <v>0</v>
      </c>
      <c r="N13" s="27">
        <v>0</v>
      </c>
      <c r="O13" s="27">
        <v>0</v>
      </c>
      <c r="P13" s="27">
        <v>0</v>
      </c>
      <c r="Q13" s="27">
        <f t="shared" ref="Q13:Q27" si="0">SUM(E13:P13)</f>
        <v>0</v>
      </c>
      <c r="S13" s="35"/>
      <c r="T13" s="40">
        <f t="shared" ref="T13:T56" si="1">IF(Q13-S13=0,0,(Q13-S13)/S13)</f>
        <v>0</v>
      </c>
    </row>
    <row r="14" spans="1:20" s="3" customFormat="1" ht="24.95" hidden="1" customHeight="1">
      <c r="A14" s="3" t="s">
        <v>733</v>
      </c>
      <c r="B14" s="3" t="s">
        <v>734</v>
      </c>
      <c r="C14" s="3" t="s">
        <v>737</v>
      </c>
      <c r="D14" s="26" t="s">
        <v>738</v>
      </c>
      <c r="E14" s="27">
        <v>0</v>
      </c>
      <c r="F14" s="27">
        <v>0</v>
      </c>
      <c r="G14" s="27">
        <v>0</v>
      </c>
      <c r="H14" s="27">
        <v>0</v>
      </c>
      <c r="I14" s="27">
        <v>0</v>
      </c>
      <c r="J14" s="27">
        <v>0</v>
      </c>
      <c r="K14" s="27">
        <v>0</v>
      </c>
      <c r="L14" s="27">
        <v>0</v>
      </c>
      <c r="M14" s="27">
        <v>0</v>
      </c>
      <c r="N14" s="27">
        <v>0</v>
      </c>
      <c r="O14" s="27">
        <v>0</v>
      </c>
      <c r="P14" s="27">
        <v>0</v>
      </c>
      <c r="Q14" s="27">
        <f t="shared" si="0"/>
        <v>0</v>
      </c>
      <c r="S14" s="35"/>
      <c r="T14" s="40">
        <f t="shared" si="1"/>
        <v>0</v>
      </c>
    </row>
    <row r="15" spans="1:20" s="3" customFormat="1" ht="24.95" hidden="1" customHeight="1">
      <c r="A15" s="3" t="s">
        <v>733</v>
      </c>
      <c r="B15" s="3" t="s">
        <v>734</v>
      </c>
      <c r="C15" s="3" t="s">
        <v>739</v>
      </c>
      <c r="D15" s="26" t="s">
        <v>740</v>
      </c>
      <c r="E15" s="27">
        <v>0</v>
      </c>
      <c r="F15" s="27">
        <v>0</v>
      </c>
      <c r="G15" s="27">
        <v>0</v>
      </c>
      <c r="H15" s="27">
        <v>0</v>
      </c>
      <c r="I15" s="27">
        <v>0</v>
      </c>
      <c r="J15" s="27">
        <v>0</v>
      </c>
      <c r="K15" s="27">
        <v>0</v>
      </c>
      <c r="L15" s="27">
        <v>0</v>
      </c>
      <c r="M15" s="27">
        <v>0</v>
      </c>
      <c r="N15" s="27">
        <v>0</v>
      </c>
      <c r="O15" s="27">
        <v>0</v>
      </c>
      <c r="P15" s="27">
        <v>0</v>
      </c>
      <c r="Q15" s="27">
        <f t="shared" si="0"/>
        <v>0</v>
      </c>
      <c r="S15" s="35"/>
      <c r="T15" s="40">
        <f t="shared" si="1"/>
        <v>0</v>
      </c>
    </row>
    <row r="16" spans="1:20" s="3" customFormat="1" ht="24.95" hidden="1" customHeight="1">
      <c r="A16" s="3" t="s">
        <v>733</v>
      </c>
      <c r="B16" s="3" t="s">
        <v>734</v>
      </c>
      <c r="C16" s="3" t="s">
        <v>741</v>
      </c>
      <c r="D16" s="78" t="s">
        <v>742</v>
      </c>
      <c r="E16" s="27">
        <v>0</v>
      </c>
      <c r="F16" s="27">
        <v>0</v>
      </c>
      <c r="G16" s="27">
        <v>0</v>
      </c>
      <c r="H16" s="27">
        <v>0</v>
      </c>
      <c r="I16" s="27">
        <v>0</v>
      </c>
      <c r="J16" s="27">
        <v>0</v>
      </c>
      <c r="K16" s="27">
        <v>0</v>
      </c>
      <c r="L16" s="27">
        <v>0</v>
      </c>
      <c r="M16" s="27">
        <v>0</v>
      </c>
      <c r="N16" s="27">
        <v>0</v>
      </c>
      <c r="O16" s="27">
        <v>0</v>
      </c>
      <c r="P16" s="27">
        <v>0</v>
      </c>
      <c r="Q16" s="27">
        <f t="shared" si="0"/>
        <v>0</v>
      </c>
      <c r="S16" s="35"/>
      <c r="T16" s="40">
        <f t="shared" si="1"/>
        <v>0</v>
      </c>
    </row>
    <row r="17" spans="1:20" s="3" customFormat="1" ht="24.95" hidden="1" customHeight="1">
      <c r="A17" s="3" t="s">
        <v>733</v>
      </c>
      <c r="B17" s="3" t="s">
        <v>734</v>
      </c>
      <c r="C17" s="3" t="s">
        <v>743</v>
      </c>
      <c r="D17" s="26" t="s">
        <v>744</v>
      </c>
      <c r="E17" s="27">
        <v>0</v>
      </c>
      <c r="F17" s="27">
        <v>0</v>
      </c>
      <c r="G17" s="27">
        <v>0</v>
      </c>
      <c r="H17" s="27">
        <v>0</v>
      </c>
      <c r="I17" s="27">
        <v>0</v>
      </c>
      <c r="J17" s="27">
        <v>0</v>
      </c>
      <c r="K17" s="27">
        <v>0</v>
      </c>
      <c r="L17" s="27">
        <v>0</v>
      </c>
      <c r="M17" s="27">
        <v>0</v>
      </c>
      <c r="N17" s="27">
        <v>0</v>
      </c>
      <c r="O17" s="27">
        <v>0</v>
      </c>
      <c r="P17" s="27">
        <v>0</v>
      </c>
      <c r="Q17" s="27">
        <f t="shared" si="0"/>
        <v>0</v>
      </c>
      <c r="S17" s="35"/>
      <c r="T17" s="40">
        <f t="shared" si="1"/>
        <v>0</v>
      </c>
    </row>
    <row r="18" spans="1:20" s="3" customFormat="1" ht="24.95" hidden="1" customHeight="1">
      <c r="A18" s="3" t="s">
        <v>733</v>
      </c>
      <c r="B18" s="3" t="s">
        <v>734</v>
      </c>
      <c r="C18" s="3" t="s">
        <v>745</v>
      </c>
      <c r="D18" s="26" t="s">
        <v>746</v>
      </c>
      <c r="E18" s="27">
        <v>0</v>
      </c>
      <c r="F18" s="27">
        <v>0</v>
      </c>
      <c r="G18" s="27">
        <v>0</v>
      </c>
      <c r="H18" s="27">
        <v>0</v>
      </c>
      <c r="I18" s="27">
        <v>0</v>
      </c>
      <c r="J18" s="27">
        <v>0</v>
      </c>
      <c r="K18" s="27">
        <v>0</v>
      </c>
      <c r="L18" s="27">
        <v>0</v>
      </c>
      <c r="M18" s="27">
        <v>0</v>
      </c>
      <c r="N18" s="27">
        <v>0</v>
      </c>
      <c r="O18" s="27">
        <v>0</v>
      </c>
      <c r="P18" s="27">
        <v>0</v>
      </c>
      <c r="Q18" s="27">
        <f t="shared" si="0"/>
        <v>0</v>
      </c>
      <c r="S18" s="35"/>
      <c r="T18" s="40">
        <f t="shared" si="1"/>
        <v>0</v>
      </c>
    </row>
    <row r="19" spans="1:20" s="3" customFormat="1" ht="24.95" hidden="1" customHeight="1">
      <c r="A19" s="3" t="s">
        <v>733</v>
      </c>
      <c r="B19" s="3" t="s">
        <v>734</v>
      </c>
      <c r="C19" s="3" t="s">
        <v>747</v>
      </c>
      <c r="D19" s="26" t="s">
        <v>748</v>
      </c>
      <c r="E19" s="27">
        <v>0</v>
      </c>
      <c r="F19" s="27">
        <v>0</v>
      </c>
      <c r="G19" s="27">
        <v>0</v>
      </c>
      <c r="H19" s="27">
        <v>0</v>
      </c>
      <c r="I19" s="27">
        <v>0</v>
      </c>
      <c r="J19" s="27">
        <v>0</v>
      </c>
      <c r="K19" s="27">
        <v>0</v>
      </c>
      <c r="L19" s="27">
        <v>0</v>
      </c>
      <c r="M19" s="27">
        <v>0</v>
      </c>
      <c r="N19" s="27">
        <v>0</v>
      </c>
      <c r="O19" s="27">
        <v>0</v>
      </c>
      <c r="P19" s="27">
        <v>0</v>
      </c>
      <c r="Q19" s="27">
        <f t="shared" si="0"/>
        <v>0</v>
      </c>
      <c r="S19" s="35"/>
      <c r="T19" s="40">
        <f t="shared" si="1"/>
        <v>0</v>
      </c>
    </row>
    <row r="20" spans="1:20" s="3" customFormat="1" ht="24.95" hidden="1" customHeight="1">
      <c r="A20" s="3" t="s">
        <v>733</v>
      </c>
      <c r="B20" s="3" t="s">
        <v>734</v>
      </c>
      <c r="C20" s="3" t="s">
        <v>749</v>
      </c>
      <c r="D20" s="26" t="s">
        <v>750</v>
      </c>
      <c r="E20" s="27">
        <v>0</v>
      </c>
      <c r="F20" s="27">
        <v>0</v>
      </c>
      <c r="G20" s="27">
        <v>0</v>
      </c>
      <c r="H20" s="27">
        <v>0</v>
      </c>
      <c r="I20" s="27">
        <v>0</v>
      </c>
      <c r="J20" s="27">
        <v>0</v>
      </c>
      <c r="K20" s="27">
        <v>0</v>
      </c>
      <c r="L20" s="27">
        <v>0</v>
      </c>
      <c r="M20" s="27">
        <v>0</v>
      </c>
      <c r="N20" s="27">
        <v>0</v>
      </c>
      <c r="O20" s="27">
        <v>0</v>
      </c>
      <c r="P20" s="27">
        <v>0</v>
      </c>
      <c r="Q20" s="27">
        <f t="shared" si="0"/>
        <v>0</v>
      </c>
      <c r="S20" s="35"/>
      <c r="T20" s="40">
        <f t="shared" si="1"/>
        <v>0</v>
      </c>
    </row>
    <row r="21" spans="1:20" s="3" customFormat="1" ht="24.95" hidden="1" customHeight="1">
      <c r="A21" s="3" t="s">
        <v>733</v>
      </c>
      <c r="B21" s="3" t="s">
        <v>734</v>
      </c>
      <c r="C21" s="3" t="s">
        <v>751</v>
      </c>
      <c r="D21" s="26" t="s">
        <v>752</v>
      </c>
      <c r="E21" s="27">
        <v>0</v>
      </c>
      <c r="F21" s="27">
        <v>0</v>
      </c>
      <c r="G21" s="27">
        <v>0</v>
      </c>
      <c r="H21" s="27">
        <v>0</v>
      </c>
      <c r="I21" s="27">
        <v>0</v>
      </c>
      <c r="J21" s="27">
        <v>0</v>
      </c>
      <c r="K21" s="27">
        <v>0</v>
      </c>
      <c r="L21" s="27">
        <v>0</v>
      </c>
      <c r="M21" s="27">
        <v>0</v>
      </c>
      <c r="N21" s="27">
        <v>0</v>
      </c>
      <c r="O21" s="27">
        <v>0</v>
      </c>
      <c r="P21" s="27">
        <v>0</v>
      </c>
      <c r="Q21" s="27">
        <f t="shared" si="0"/>
        <v>0</v>
      </c>
      <c r="S21" s="35"/>
      <c r="T21" s="40">
        <f t="shared" si="1"/>
        <v>0</v>
      </c>
    </row>
    <row r="22" spans="1:20" s="3" customFormat="1" ht="24.95" hidden="1" customHeight="1">
      <c r="A22" s="3" t="s">
        <v>733</v>
      </c>
      <c r="B22" s="3" t="s">
        <v>734</v>
      </c>
      <c r="C22" s="3" t="s">
        <v>753</v>
      </c>
      <c r="D22" s="26" t="s">
        <v>754</v>
      </c>
      <c r="E22" s="27">
        <v>0</v>
      </c>
      <c r="F22" s="27">
        <v>0</v>
      </c>
      <c r="G22" s="27">
        <v>0</v>
      </c>
      <c r="H22" s="27">
        <v>0</v>
      </c>
      <c r="I22" s="27">
        <v>0</v>
      </c>
      <c r="J22" s="27">
        <v>0</v>
      </c>
      <c r="K22" s="27">
        <v>0</v>
      </c>
      <c r="L22" s="27">
        <v>0</v>
      </c>
      <c r="M22" s="27">
        <v>0</v>
      </c>
      <c r="N22" s="27">
        <v>0</v>
      </c>
      <c r="O22" s="27">
        <v>0</v>
      </c>
      <c r="P22" s="27">
        <v>0</v>
      </c>
      <c r="Q22" s="27">
        <f t="shared" si="0"/>
        <v>0</v>
      </c>
      <c r="S22" s="35"/>
      <c r="T22" s="40">
        <f t="shared" si="1"/>
        <v>0</v>
      </c>
    </row>
    <row r="23" spans="1:20" s="3" customFormat="1" ht="24.95" hidden="1" customHeight="1">
      <c r="A23" s="3" t="s">
        <v>733</v>
      </c>
      <c r="B23" s="3" t="s">
        <v>734</v>
      </c>
      <c r="C23" s="3" t="s">
        <v>755</v>
      </c>
      <c r="D23" s="26" t="s">
        <v>756</v>
      </c>
      <c r="E23" s="27">
        <v>0</v>
      </c>
      <c r="F23" s="27">
        <v>0</v>
      </c>
      <c r="G23" s="27">
        <v>0</v>
      </c>
      <c r="H23" s="27">
        <v>0</v>
      </c>
      <c r="I23" s="27">
        <v>0</v>
      </c>
      <c r="J23" s="27">
        <v>0</v>
      </c>
      <c r="K23" s="27">
        <v>0</v>
      </c>
      <c r="L23" s="27">
        <v>0</v>
      </c>
      <c r="M23" s="27">
        <v>0</v>
      </c>
      <c r="N23" s="27">
        <v>0</v>
      </c>
      <c r="O23" s="27">
        <v>0</v>
      </c>
      <c r="P23" s="27">
        <v>0</v>
      </c>
      <c r="Q23" s="27">
        <f t="shared" si="0"/>
        <v>0</v>
      </c>
      <c r="S23" s="35"/>
      <c r="T23" s="40">
        <f t="shared" si="1"/>
        <v>0</v>
      </c>
    </row>
    <row r="24" spans="1:20" s="3" customFormat="1" ht="24.95" hidden="1" customHeight="1">
      <c r="A24" s="3" t="s">
        <v>733</v>
      </c>
      <c r="B24" s="3" t="s">
        <v>734</v>
      </c>
      <c r="C24" s="3" t="s">
        <v>757</v>
      </c>
      <c r="D24" s="26" t="s">
        <v>758</v>
      </c>
      <c r="E24" s="27">
        <v>0</v>
      </c>
      <c r="F24" s="27">
        <v>0</v>
      </c>
      <c r="G24" s="27">
        <v>0</v>
      </c>
      <c r="H24" s="27">
        <v>0</v>
      </c>
      <c r="I24" s="27">
        <v>0</v>
      </c>
      <c r="J24" s="27">
        <v>0</v>
      </c>
      <c r="K24" s="27">
        <v>0</v>
      </c>
      <c r="L24" s="27">
        <v>0</v>
      </c>
      <c r="M24" s="27">
        <v>0</v>
      </c>
      <c r="N24" s="27">
        <v>0</v>
      </c>
      <c r="O24" s="27">
        <v>0</v>
      </c>
      <c r="P24" s="27">
        <v>0</v>
      </c>
      <c r="Q24" s="27">
        <f t="shared" si="0"/>
        <v>0</v>
      </c>
      <c r="S24" s="35"/>
      <c r="T24" s="40">
        <f t="shared" si="1"/>
        <v>0</v>
      </c>
    </row>
    <row r="25" spans="1:20" s="3" customFormat="1" ht="24.95" hidden="1" customHeight="1">
      <c r="A25" s="3" t="s">
        <v>733</v>
      </c>
      <c r="B25" s="3" t="s">
        <v>734</v>
      </c>
      <c r="C25" s="3" t="s">
        <v>759</v>
      </c>
      <c r="D25" s="26" t="s">
        <v>760</v>
      </c>
      <c r="E25" s="27">
        <v>0</v>
      </c>
      <c r="F25" s="27">
        <v>0</v>
      </c>
      <c r="G25" s="27">
        <v>0</v>
      </c>
      <c r="H25" s="27">
        <v>0</v>
      </c>
      <c r="I25" s="27">
        <v>0</v>
      </c>
      <c r="J25" s="27">
        <v>0</v>
      </c>
      <c r="K25" s="27">
        <v>0</v>
      </c>
      <c r="L25" s="27">
        <v>0</v>
      </c>
      <c r="M25" s="27">
        <v>0</v>
      </c>
      <c r="N25" s="27">
        <v>0</v>
      </c>
      <c r="O25" s="27">
        <v>0</v>
      </c>
      <c r="P25" s="27">
        <v>0</v>
      </c>
      <c r="Q25" s="27">
        <f t="shared" si="0"/>
        <v>0</v>
      </c>
      <c r="S25" s="35"/>
      <c r="T25" s="40">
        <f t="shared" si="1"/>
        <v>0</v>
      </c>
    </row>
    <row r="26" spans="1:20" s="3" customFormat="1" ht="24.95" hidden="1" customHeight="1">
      <c r="A26" s="3" t="s">
        <v>733</v>
      </c>
      <c r="B26" s="3" t="s">
        <v>734</v>
      </c>
      <c r="C26" s="3" t="s">
        <v>761</v>
      </c>
      <c r="D26" s="26" t="s">
        <v>762</v>
      </c>
      <c r="E26" s="27">
        <v>0</v>
      </c>
      <c r="F26" s="27">
        <v>0</v>
      </c>
      <c r="G26" s="27">
        <v>0</v>
      </c>
      <c r="H26" s="27">
        <v>0</v>
      </c>
      <c r="I26" s="27">
        <v>0</v>
      </c>
      <c r="J26" s="27">
        <v>0</v>
      </c>
      <c r="K26" s="27">
        <v>0</v>
      </c>
      <c r="L26" s="27">
        <v>0</v>
      </c>
      <c r="M26" s="27">
        <v>0</v>
      </c>
      <c r="N26" s="27">
        <v>0</v>
      </c>
      <c r="O26" s="27">
        <v>0</v>
      </c>
      <c r="P26" s="27">
        <v>0</v>
      </c>
      <c r="Q26" s="27">
        <f t="shared" si="0"/>
        <v>0</v>
      </c>
      <c r="S26" s="35"/>
      <c r="T26" s="40">
        <f t="shared" si="1"/>
        <v>0</v>
      </c>
    </row>
    <row r="27" spans="1:20" s="3" customFormat="1" ht="24.95" hidden="1" customHeight="1">
      <c r="A27" s="3" t="s">
        <v>763</v>
      </c>
      <c r="B27" s="3" t="s">
        <v>734</v>
      </c>
      <c r="D27" s="26" t="s">
        <v>764</v>
      </c>
      <c r="E27" s="27">
        <v>0</v>
      </c>
      <c r="F27" s="27">
        <v>0</v>
      </c>
      <c r="G27" s="27">
        <v>0</v>
      </c>
      <c r="H27" s="27">
        <v>0</v>
      </c>
      <c r="I27" s="27">
        <v>0</v>
      </c>
      <c r="J27" s="27">
        <v>0</v>
      </c>
      <c r="K27" s="27">
        <v>0</v>
      </c>
      <c r="L27" s="27">
        <v>0</v>
      </c>
      <c r="M27" s="27">
        <v>0</v>
      </c>
      <c r="N27" s="27">
        <v>0</v>
      </c>
      <c r="O27" s="27">
        <v>0</v>
      </c>
      <c r="P27" s="27">
        <v>0</v>
      </c>
      <c r="Q27" s="27">
        <f t="shared" si="0"/>
        <v>0</v>
      </c>
      <c r="S27" s="35"/>
      <c r="T27" s="40">
        <f t="shared" si="1"/>
        <v>0</v>
      </c>
    </row>
    <row r="28" spans="1:20" s="3" customFormat="1" ht="24.95" customHeight="1">
      <c r="D28" s="21" t="s">
        <v>671</v>
      </c>
      <c r="E28" s="30">
        <f>SUM(E12:E27)</f>
        <v>0</v>
      </c>
      <c r="F28" s="30">
        <f t="shared" ref="F28:P28" si="2">SUM(F12:F27)</f>
        <v>0</v>
      </c>
      <c r="G28" s="30">
        <f t="shared" si="2"/>
        <v>0</v>
      </c>
      <c r="H28" s="30">
        <f t="shared" si="2"/>
        <v>0</v>
      </c>
      <c r="I28" s="30">
        <f t="shared" si="2"/>
        <v>0</v>
      </c>
      <c r="J28" s="30">
        <f t="shared" si="2"/>
        <v>0</v>
      </c>
      <c r="K28" s="30">
        <f t="shared" si="2"/>
        <v>0</v>
      </c>
      <c r="L28" s="30">
        <f t="shared" si="2"/>
        <v>0</v>
      </c>
      <c r="M28" s="30">
        <f t="shared" si="2"/>
        <v>0</v>
      </c>
      <c r="N28" s="30">
        <f t="shared" si="2"/>
        <v>0</v>
      </c>
      <c r="O28" s="30">
        <f t="shared" si="2"/>
        <v>0</v>
      </c>
      <c r="P28" s="30">
        <f t="shared" si="2"/>
        <v>0</v>
      </c>
      <c r="Q28" s="30">
        <f t="shared" ref="Q28" si="3">SUM(Q12:Q27)</f>
        <v>0</v>
      </c>
      <c r="S28" s="35"/>
      <c r="T28" s="40">
        <f t="shared" si="1"/>
        <v>0</v>
      </c>
    </row>
    <row r="29" spans="1:20" s="3" customFormat="1" ht="24.95" customHeight="1">
      <c r="D29" s="21"/>
      <c r="E29" s="82"/>
      <c r="F29" s="82"/>
      <c r="G29" s="82"/>
      <c r="H29" s="82"/>
      <c r="I29" s="82"/>
      <c r="J29" s="82"/>
      <c r="K29" s="82"/>
      <c r="L29" s="82"/>
      <c r="M29" s="82"/>
      <c r="N29" s="82"/>
      <c r="O29" s="82"/>
      <c r="P29" s="82"/>
      <c r="Q29" s="82"/>
      <c r="S29" s="35"/>
      <c r="T29" s="40"/>
    </row>
    <row r="30" spans="1:20" s="3" customFormat="1" ht="24.95" customHeight="1">
      <c r="D30" s="21" t="s">
        <v>423</v>
      </c>
      <c r="E30" s="27"/>
      <c r="F30" s="96"/>
      <c r="G30" s="27"/>
      <c r="H30" s="96"/>
      <c r="I30" s="27"/>
      <c r="J30" s="96"/>
      <c r="K30" s="27"/>
      <c r="L30" s="96"/>
      <c r="M30" s="27"/>
      <c r="N30" s="96"/>
      <c r="O30" s="103"/>
      <c r="P30" s="103"/>
      <c r="Q30" s="103"/>
      <c r="S30" s="35"/>
      <c r="T30" s="40"/>
    </row>
    <row r="31" spans="1:20" s="3" customFormat="1" ht="24.95" hidden="1" customHeight="1">
      <c r="A31" s="3" t="s">
        <v>765</v>
      </c>
      <c r="B31" s="3" t="s">
        <v>734</v>
      </c>
      <c r="C31" s="3" t="s">
        <v>766</v>
      </c>
      <c r="D31" s="26" t="s">
        <v>767</v>
      </c>
      <c r="E31" s="27">
        <v>0</v>
      </c>
      <c r="F31" s="27">
        <v>0</v>
      </c>
      <c r="G31" s="27">
        <v>0</v>
      </c>
      <c r="H31" s="27">
        <v>0</v>
      </c>
      <c r="I31" s="27">
        <v>0</v>
      </c>
      <c r="J31" s="27">
        <v>0</v>
      </c>
      <c r="K31" s="27">
        <v>0</v>
      </c>
      <c r="L31" s="27">
        <v>0</v>
      </c>
      <c r="M31" s="27">
        <v>0</v>
      </c>
      <c r="N31" s="27">
        <v>0</v>
      </c>
      <c r="O31" s="27">
        <v>0</v>
      </c>
      <c r="P31" s="27">
        <v>0</v>
      </c>
      <c r="Q31" s="103">
        <f>SUM(E31:P31)</f>
        <v>0</v>
      </c>
      <c r="S31" s="35"/>
      <c r="T31" s="40">
        <f t="shared" si="1"/>
        <v>0</v>
      </c>
    </row>
    <row r="32" spans="1:20" s="3" customFormat="1" ht="24.95" hidden="1" customHeight="1">
      <c r="A32" s="3" t="s">
        <v>765</v>
      </c>
      <c r="B32" s="3" t="s">
        <v>734</v>
      </c>
      <c r="C32" s="3" t="s">
        <v>735</v>
      </c>
      <c r="D32" s="26" t="s">
        <v>736</v>
      </c>
      <c r="E32" s="27">
        <v>0</v>
      </c>
      <c r="F32" s="27">
        <v>0</v>
      </c>
      <c r="G32" s="27">
        <v>0</v>
      </c>
      <c r="H32" s="27">
        <v>0</v>
      </c>
      <c r="I32" s="27">
        <v>0</v>
      </c>
      <c r="J32" s="27">
        <v>0</v>
      </c>
      <c r="K32" s="27">
        <v>0</v>
      </c>
      <c r="L32" s="27">
        <v>0</v>
      </c>
      <c r="M32" s="27">
        <v>0</v>
      </c>
      <c r="N32" s="27">
        <v>0</v>
      </c>
      <c r="O32" s="27">
        <v>0</v>
      </c>
      <c r="P32" s="27">
        <v>0</v>
      </c>
      <c r="Q32" s="103">
        <f t="shared" ref="Q32:Q47" si="4">SUM(E32:P32)</f>
        <v>0</v>
      </c>
      <c r="S32" s="35"/>
      <c r="T32" s="40">
        <f t="shared" si="1"/>
        <v>0</v>
      </c>
    </row>
    <row r="33" spans="1:20" s="3" customFormat="1" ht="24.95" hidden="1" customHeight="1">
      <c r="A33" s="3" t="s">
        <v>765</v>
      </c>
      <c r="B33" s="3" t="s">
        <v>734</v>
      </c>
      <c r="C33" s="3" t="s">
        <v>737</v>
      </c>
      <c r="D33" s="26" t="s">
        <v>738</v>
      </c>
      <c r="E33" s="27">
        <v>0</v>
      </c>
      <c r="F33" s="27">
        <v>0</v>
      </c>
      <c r="G33" s="27">
        <v>0</v>
      </c>
      <c r="H33" s="27">
        <v>0</v>
      </c>
      <c r="I33" s="27">
        <v>0</v>
      </c>
      <c r="J33" s="27">
        <v>0</v>
      </c>
      <c r="K33" s="27">
        <v>0</v>
      </c>
      <c r="L33" s="27">
        <v>0</v>
      </c>
      <c r="M33" s="27">
        <v>0</v>
      </c>
      <c r="N33" s="27">
        <v>0</v>
      </c>
      <c r="O33" s="27">
        <v>0</v>
      </c>
      <c r="P33" s="27">
        <v>0</v>
      </c>
      <c r="Q33" s="103">
        <f t="shared" si="4"/>
        <v>0</v>
      </c>
      <c r="S33" s="35"/>
      <c r="T33" s="40">
        <f t="shared" si="1"/>
        <v>0</v>
      </c>
    </row>
    <row r="34" spans="1:20" s="3" customFormat="1" ht="24.95" hidden="1" customHeight="1">
      <c r="A34" s="3" t="s">
        <v>765</v>
      </c>
      <c r="B34" s="3" t="s">
        <v>734</v>
      </c>
      <c r="C34" s="3" t="s">
        <v>739</v>
      </c>
      <c r="D34" s="78" t="s">
        <v>740</v>
      </c>
      <c r="E34" s="27">
        <v>0</v>
      </c>
      <c r="F34" s="27">
        <v>0</v>
      </c>
      <c r="G34" s="27">
        <v>0</v>
      </c>
      <c r="H34" s="27">
        <v>0</v>
      </c>
      <c r="I34" s="27">
        <v>0</v>
      </c>
      <c r="J34" s="27">
        <v>0</v>
      </c>
      <c r="K34" s="27">
        <v>0</v>
      </c>
      <c r="L34" s="27">
        <v>0</v>
      </c>
      <c r="M34" s="27">
        <v>0</v>
      </c>
      <c r="N34" s="27">
        <v>0</v>
      </c>
      <c r="O34" s="27">
        <v>0</v>
      </c>
      <c r="P34" s="27">
        <v>0</v>
      </c>
      <c r="Q34" s="103">
        <f t="shared" si="4"/>
        <v>0</v>
      </c>
      <c r="S34" s="35"/>
      <c r="T34" s="40">
        <f t="shared" si="1"/>
        <v>0</v>
      </c>
    </row>
    <row r="35" spans="1:20" s="3" customFormat="1" ht="24.95" hidden="1" customHeight="1">
      <c r="A35" s="3" t="s">
        <v>765</v>
      </c>
      <c r="B35" s="3" t="s">
        <v>734</v>
      </c>
      <c r="C35" s="3" t="s">
        <v>741</v>
      </c>
      <c r="D35" s="26" t="s">
        <v>768</v>
      </c>
      <c r="E35" s="27">
        <v>0</v>
      </c>
      <c r="F35" s="27">
        <v>0</v>
      </c>
      <c r="G35" s="27">
        <v>0</v>
      </c>
      <c r="H35" s="27">
        <v>0</v>
      </c>
      <c r="I35" s="27">
        <v>0</v>
      </c>
      <c r="J35" s="27">
        <v>0</v>
      </c>
      <c r="K35" s="27">
        <v>0</v>
      </c>
      <c r="L35" s="27">
        <v>0</v>
      </c>
      <c r="M35" s="27">
        <v>0</v>
      </c>
      <c r="N35" s="27">
        <v>0</v>
      </c>
      <c r="O35" s="27">
        <v>0</v>
      </c>
      <c r="P35" s="27">
        <v>0</v>
      </c>
      <c r="Q35" s="103">
        <f t="shared" si="4"/>
        <v>0</v>
      </c>
      <c r="S35" s="35"/>
      <c r="T35" s="40">
        <f t="shared" si="1"/>
        <v>0</v>
      </c>
    </row>
    <row r="36" spans="1:20" s="3" customFormat="1" ht="24.95" hidden="1" customHeight="1">
      <c r="A36" s="3" t="s">
        <v>765</v>
      </c>
      <c r="B36" s="3" t="s">
        <v>734</v>
      </c>
      <c r="C36" s="3" t="s">
        <v>743</v>
      </c>
      <c r="D36" s="26" t="s">
        <v>744</v>
      </c>
      <c r="E36" s="27">
        <v>0</v>
      </c>
      <c r="F36" s="27">
        <v>0</v>
      </c>
      <c r="G36" s="27">
        <v>0</v>
      </c>
      <c r="H36" s="27">
        <v>0</v>
      </c>
      <c r="I36" s="27">
        <v>0</v>
      </c>
      <c r="J36" s="27">
        <v>0</v>
      </c>
      <c r="K36" s="27">
        <v>0</v>
      </c>
      <c r="L36" s="27">
        <v>0</v>
      </c>
      <c r="M36" s="27">
        <v>0</v>
      </c>
      <c r="N36" s="27">
        <v>0</v>
      </c>
      <c r="O36" s="27">
        <v>0</v>
      </c>
      <c r="P36" s="27">
        <v>0</v>
      </c>
      <c r="Q36" s="103">
        <f t="shared" si="4"/>
        <v>0</v>
      </c>
      <c r="S36" s="35"/>
      <c r="T36" s="40">
        <f t="shared" si="1"/>
        <v>0</v>
      </c>
    </row>
    <row r="37" spans="1:20" s="3" customFormat="1" ht="24.95" hidden="1" customHeight="1">
      <c r="A37" s="3" t="s">
        <v>765</v>
      </c>
      <c r="B37" s="3" t="s">
        <v>734</v>
      </c>
      <c r="C37" s="3" t="s">
        <v>745</v>
      </c>
      <c r="D37" s="26" t="s">
        <v>746</v>
      </c>
      <c r="E37" s="27">
        <v>0</v>
      </c>
      <c r="F37" s="27">
        <v>0</v>
      </c>
      <c r="G37" s="27">
        <v>0</v>
      </c>
      <c r="H37" s="27">
        <v>0</v>
      </c>
      <c r="I37" s="27">
        <v>0</v>
      </c>
      <c r="J37" s="27">
        <v>0</v>
      </c>
      <c r="K37" s="27">
        <v>0</v>
      </c>
      <c r="L37" s="27">
        <v>0</v>
      </c>
      <c r="M37" s="27">
        <v>0</v>
      </c>
      <c r="N37" s="27">
        <v>0</v>
      </c>
      <c r="O37" s="27">
        <v>0</v>
      </c>
      <c r="P37" s="27">
        <v>0</v>
      </c>
      <c r="Q37" s="103">
        <f t="shared" si="4"/>
        <v>0</v>
      </c>
      <c r="S37" s="35"/>
      <c r="T37" s="40">
        <f t="shared" si="1"/>
        <v>0</v>
      </c>
    </row>
    <row r="38" spans="1:20" s="3" customFormat="1" ht="24.95" hidden="1" customHeight="1">
      <c r="A38" s="3" t="s">
        <v>765</v>
      </c>
      <c r="B38" s="3" t="s">
        <v>734</v>
      </c>
      <c r="C38" s="3" t="s">
        <v>747</v>
      </c>
      <c r="D38" s="26" t="s">
        <v>748</v>
      </c>
      <c r="E38" s="27">
        <v>0</v>
      </c>
      <c r="F38" s="27">
        <v>0</v>
      </c>
      <c r="G38" s="27">
        <v>0</v>
      </c>
      <c r="H38" s="27">
        <v>0</v>
      </c>
      <c r="I38" s="27">
        <v>0</v>
      </c>
      <c r="J38" s="27">
        <v>0</v>
      </c>
      <c r="K38" s="27">
        <v>0</v>
      </c>
      <c r="L38" s="27">
        <v>0</v>
      </c>
      <c r="M38" s="27">
        <v>0</v>
      </c>
      <c r="N38" s="27">
        <v>0</v>
      </c>
      <c r="O38" s="27">
        <v>0</v>
      </c>
      <c r="P38" s="27">
        <v>0</v>
      </c>
      <c r="Q38" s="103">
        <f t="shared" si="4"/>
        <v>0</v>
      </c>
      <c r="S38" s="35"/>
      <c r="T38" s="40">
        <f t="shared" si="1"/>
        <v>0</v>
      </c>
    </row>
    <row r="39" spans="1:20" s="3" customFormat="1" ht="24.95" hidden="1" customHeight="1">
      <c r="A39" s="3" t="s">
        <v>765</v>
      </c>
      <c r="B39" s="3" t="s">
        <v>734</v>
      </c>
      <c r="C39" s="3" t="s">
        <v>749</v>
      </c>
      <c r="D39" s="26" t="s">
        <v>750</v>
      </c>
      <c r="E39" s="27">
        <v>0</v>
      </c>
      <c r="F39" s="27">
        <v>0</v>
      </c>
      <c r="G39" s="27">
        <v>0</v>
      </c>
      <c r="H39" s="27">
        <v>0</v>
      </c>
      <c r="I39" s="27">
        <v>0</v>
      </c>
      <c r="J39" s="27">
        <v>0</v>
      </c>
      <c r="K39" s="27">
        <v>0</v>
      </c>
      <c r="L39" s="27">
        <v>0</v>
      </c>
      <c r="M39" s="27">
        <v>0</v>
      </c>
      <c r="N39" s="27">
        <v>0</v>
      </c>
      <c r="O39" s="27">
        <v>0</v>
      </c>
      <c r="P39" s="27">
        <v>0</v>
      </c>
      <c r="Q39" s="103">
        <f t="shared" si="4"/>
        <v>0</v>
      </c>
      <c r="S39" s="35"/>
      <c r="T39" s="40">
        <f t="shared" si="1"/>
        <v>0</v>
      </c>
    </row>
    <row r="40" spans="1:20" s="3" customFormat="1" ht="24.95" hidden="1" customHeight="1">
      <c r="A40" s="3" t="s">
        <v>765</v>
      </c>
      <c r="B40" s="3" t="s">
        <v>734</v>
      </c>
      <c r="C40" s="3" t="s">
        <v>751</v>
      </c>
      <c r="D40" s="26" t="s">
        <v>752</v>
      </c>
      <c r="E40" s="27">
        <v>0</v>
      </c>
      <c r="F40" s="27">
        <v>0</v>
      </c>
      <c r="G40" s="27">
        <v>0</v>
      </c>
      <c r="H40" s="27">
        <v>0</v>
      </c>
      <c r="I40" s="27">
        <v>0</v>
      </c>
      <c r="J40" s="27">
        <v>0</v>
      </c>
      <c r="K40" s="27">
        <v>0</v>
      </c>
      <c r="L40" s="27">
        <v>0</v>
      </c>
      <c r="M40" s="27">
        <v>0</v>
      </c>
      <c r="N40" s="27">
        <v>0</v>
      </c>
      <c r="O40" s="27">
        <v>0</v>
      </c>
      <c r="P40" s="27">
        <v>0</v>
      </c>
      <c r="Q40" s="103">
        <f t="shared" si="4"/>
        <v>0</v>
      </c>
      <c r="S40" s="35"/>
      <c r="T40" s="40">
        <f t="shared" si="1"/>
        <v>0</v>
      </c>
    </row>
    <row r="41" spans="1:20" s="3" customFormat="1" ht="24.95" customHeight="1">
      <c r="A41" s="3" t="s">
        <v>765</v>
      </c>
      <c r="B41" s="3" t="s">
        <v>734</v>
      </c>
      <c r="D41" s="26" t="s">
        <v>769</v>
      </c>
      <c r="E41" s="97"/>
      <c r="F41" s="97"/>
      <c r="G41" s="97"/>
      <c r="H41" s="97"/>
      <c r="I41" s="97"/>
      <c r="J41" s="97"/>
      <c r="K41" s="97"/>
      <c r="L41" s="97"/>
      <c r="M41" s="97"/>
      <c r="N41" s="97"/>
      <c r="O41" s="97"/>
      <c r="P41" s="97"/>
      <c r="Q41" s="103">
        <f t="shared" si="4"/>
        <v>0</v>
      </c>
      <c r="S41" s="35"/>
      <c r="T41" s="40">
        <f>-IF(Q41-S41=0,0,(Q41-S41)/S41)</f>
        <v>0</v>
      </c>
    </row>
    <row r="42" spans="1:20" s="3" customFormat="1" ht="24.95" hidden="1" customHeight="1">
      <c r="A42" s="3" t="s">
        <v>765</v>
      </c>
      <c r="B42" s="3" t="s">
        <v>734</v>
      </c>
      <c r="C42" s="3" t="s">
        <v>753</v>
      </c>
      <c r="D42" s="26" t="s">
        <v>754</v>
      </c>
      <c r="E42" s="27">
        <v>0</v>
      </c>
      <c r="F42" s="27">
        <v>0</v>
      </c>
      <c r="G42" s="27">
        <v>0</v>
      </c>
      <c r="H42" s="27">
        <v>0</v>
      </c>
      <c r="I42" s="27">
        <v>0</v>
      </c>
      <c r="J42" s="27">
        <v>0</v>
      </c>
      <c r="K42" s="27">
        <v>0</v>
      </c>
      <c r="L42" s="27">
        <v>0</v>
      </c>
      <c r="M42" s="27">
        <v>0</v>
      </c>
      <c r="N42" s="27">
        <v>0</v>
      </c>
      <c r="O42" s="27">
        <v>0</v>
      </c>
      <c r="P42" s="27">
        <v>0</v>
      </c>
      <c r="Q42" s="103">
        <f t="shared" si="4"/>
        <v>0</v>
      </c>
      <c r="S42" s="35"/>
      <c r="T42" s="40">
        <f t="shared" ref="T42:T47" si="5">-IF(Q42-S42=0,0,(Q42-S42)/S42)</f>
        <v>0</v>
      </c>
    </row>
    <row r="43" spans="1:20" s="3" customFormat="1" ht="24.95" hidden="1" customHeight="1">
      <c r="A43" s="3" t="s">
        <v>765</v>
      </c>
      <c r="B43" s="3" t="s">
        <v>734</v>
      </c>
      <c r="C43" s="3" t="s">
        <v>755</v>
      </c>
      <c r="D43" s="26" t="s">
        <v>756</v>
      </c>
      <c r="E43" s="27">
        <v>0</v>
      </c>
      <c r="F43" s="27">
        <v>0</v>
      </c>
      <c r="G43" s="27">
        <v>0</v>
      </c>
      <c r="H43" s="27">
        <v>0</v>
      </c>
      <c r="I43" s="27">
        <v>0</v>
      </c>
      <c r="J43" s="27">
        <v>0</v>
      </c>
      <c r="K43" s="27">
        <v>0</v>
      </c>
      <c r="L43" s="27">
        <v>0</v>
      </c>
      <c r="M43" s="27">
        <v>0</v>
      </c>
      <c r="N43" s="27">
        <v>0</v>
      </c>
      <c r="O43" s="27">
        <v>0</v>
      </c>
      <c r="P43" s="27">
        <v>0</v>
      </c>
      <c r="Q43" s="103">
        <f t="shared" si="4"/>
        <v>0</v>
      </c>
      <c r="S43" s="35"/>
      <c r="T43" s="40">
        <f t="shared" si="5"/>
        <v>0</v>
      </c>
    </row>
    <row r="44" spans="1:20" s="3" customFormat="1" ht="24.95" hidden="1" customHeight="1">
      <c r="A44" s="3" t="s">
        <v>765</v>
      </c>
      <c r="B44" s="3" t="s">
        <v>734</v>
      </c>
      <c r="C44" s="3" t="s">
        <v>757</v>
      </c>
      <c r="D44" s="26" t="s">
        <v>758</v>
      </c>
      <c r="E44" s="27">
        <v>0</v>
      </c>
      <c r="F44" s="27">
        <v>0</v>
      </c>
      <c r="G44" s="27">
        <v>0</v>
      </c>
      <c r="H44" s="27">
        <v>0</v>
      </c>
      <c r="I44" s="27">
        <v>0</v>
      </c>
      <c r="J44" s="27">
        <v>0</v>
      </c>
      <c r="K44" s="27">
        <v>0</v>
      </c>
      <c r="L44" s="27">
        <v>0</v>
      </c>
      <c r="M44" s="27">
        <v>0</v>
      </c>
      <c r="N44" s="27">
        <v>0</v>
      </c>
      <c r="O44" s="27">
        <v>0</v>
      </c>
      <c r="P44" s="27">
        <v>0</v>
      </c>
      <c r="Q44" s="103">
        <f t="shared" si="4"/>
        <v>0</v>
      </c>
      <c r="S44" s="35"/>
      <c r="T44" s="40">
        <f t="shared" si="5"/>
        <v>0</v>
      </c>
    </row>
    <row r="45" spans="1:20" s="3" customFormat="1" ht="24.95" hidden="1" customHeight="1">
      <c r="A45" s="3" t="s">
        <v>765</v>
      </c>
      <c r="B45" s="3" t="s">
        <v>734</v>
      </c>
      <c r="C45" s="3" t="s">
        <v>759</v>
      </c>
      <c r="D45" s="26" t="s">
        <v>760</v>
      </c>
      <c r="E45" s="27">
        <v>0</v>
      </c>
      <c r="F45" s="27">
        <v>0</v>
      </c>
      <c r="G45" s="27">
        <v>0</v>
      </c>
      <c r="H45" s="27">
        <v>0</v>
      </c>
      <c r="I45" s="27">
        <v>0</v>
      </c>
      <c r="J45" s="27">
        <v>0</v>
      </c>
      <c r="K45" s="27">
        <v>0</v>
      </c>
      <c r="L45" s="27">
        <v>0</v>
      </c>
      <c r="M45" s="27">
        <v>0</v>
      </c>
      <c r="N45" s="27">
        <v>0</v>
      </c>
      <c r="O45" s="27">
        <v>0</v>
      </c>
      <c r="P45" s="27">
        <v>0</v>
      </c>
      <c r="Q45" s="103">
        <f t="shared" si="4"/>
        <v>0</v>
      </c>
      <c r="S45" s="35"/>
      <c r="T45" s="40">
        <f t="shared" si="5"/>
        <v>0</v>
      </c>
    </row>
    <row r="46" spans="1:20" s="3" customFormat="1" ht="24.95" hidden="1" customHeight="1">
      <c r="A46" s="3" t="s">
        <v>765</v>
      </c>
      <c r="B46" s="3" t="s">
        <v>734</v>
      </c>
      <c r="C46" s="3" t="s">
        <v>761</v>
      </c>
      <c r="D46" s="26" t="s">
        <v>762</v>
      </c>
      <c r="E46" s="27">
        <v>0</v>
      </c>
      <c r="F46" s="27">
        <v>0</v>
      </c>
      <c r="G46" s="27">
        <v>0</v>
      </c>
      <c r="H46" s="27">
        <v>0</v>
      </c>
      <c r="I46" s="27">
        <v>0</v>
      </c>
      <c r="J46" s="27">
        <v>0</v>
      </c>
      <c r="K46" s="27">
        <v>0</v>
      </c>
      <c r="L46" s="27">
        <v>0</v>
      </c>
      <c r="M46" s="27">
        <v>0</v>
      </c>
      <c r="N46" s="27">
        <v>0</v>
      </c>
      <c r="O46" s="27">
        <v>0</v>
      </c>
      <c r="P46" s="27">
        <v>0</v>
      </c>
      <c r="Q46" s="103">
        <f t="shared" si="4"/>
        <v>0</v>
      </c>
      <c r="S46" s="35"/>
      <c r="T46" s="40">
        <f t="shared" si="5"/>
        <v>0</v>
      </c>
    </row>
    <row r="47" spans="1:20" s="19" customFormat="1" ht="24.95" customHeight="1">
      <c r="A47" s="3" t="s">
        <v>770</v>
      </c>
      <c r="B47" s="3" t="s">
        <v>685</v>
      </c>
      <c r="C47" s="3"/>
      <c r="D47" s="21" t="s">
        <v>771</v>
      </c>
      <c r="E47" s="98">
        <f>SUM(E31:E46)</f>
        <v>0</v>
      </c>
      <c r="F47" s="98">
        <f t="shared" ref="F47:P47" si="6">SUM(F31:F46)</f>
        <v>0</v>
      </c>
      <c r="G47" s="98">
        <f t="shared" si="6"/>
        <v>0</v>
      </c>
      <c r="H47" s="98">
        <f t="shared" si="6"/>
        <v>0</v>
      </c>
      <c r="I47" s="98">
        <f t="shared" si="6"/>
        <v>0</v>
      </c>
      <c r="J47" s="98">
        <f t="shared" si="6"/>
        <v>0</v>
      </c>
      <c r="K47" s="98">
        <f t="shared" si="6"/>
        <v>0</v>
      </c>
      <c r="L47" s="98">
        <f t="shared" si="6"/>
        <v>0</v>
      </c>
      <c r="M47" s="98">
        <f t="shared" si="6"/>
        <v>0</v>
      </c>
      <c r="N47" s="98">
        <f t="shared" si="6"/>
        <v>0</v>
      </c>
      <c r="O47" s="98">
        <f t="shared" si="6"/>
        <v>0</v>
      </c>
      <c r="P47" s="98">
        <f t="shared" si="6"/>
        <v>0</v>
      </c>
      <c r="Q47" s="118">
        <f t="shared" si="4"/>
        <v>0</v>
      </c>
      <c r="R47" s="39" t="e">
        <f>Q47/$Q$28</f>
        <v>#DIV/0!</v>
      </c>
      <c r="S47" s="35"/>
      <c r="T47" s="40">
        <f t="shared" si="5"/>
        <v>0</v>
      </c>
    </row>
    <row r="48" spans="1:20" s="19" customFormat="1" ht="24.95" customHeight="1">
      <c r="A48" s="3"/>
      <c r="B48" s="3"/>
      <c r="C48" s="3"/>
      <c r="D48" s="21"/>
      <c r="E48" s="99"/>
      <c r="F48" s="99"/>
      <c r="G48" s="99"/>
      <c r="H48" s="99"/>
      <c r="I48" s="99"/>
      <c r="J48" s="99"/>
      <c r="K48" s="99"/>
      <c r="L48" s="99"/>
      <c r="M48" s="99"/>
      <c r="N48" s="99"/>
      <c r="O48" s="99"/>
      <c r="P48" s="99"/>
      <c r="Q48" s="103"/>
      <c r="R48" s="3"/>
      <c r="S48" s="35"/>
      <c r="T48" s="40"/>
    </row>
    <row r="49" spans="1:20" s="19" customFormat="1" ht="24.95" customHeight="1">
      <c r="A49" s="19" t="s">
        <v>482</v>
      </c>
      <c r="B49" s="19" t="s">
        <v>734</v>
      </c>
      <c r="D49" s="19" t="s">
        <v>772</v>
      </c>
      <c r="E49" s="99">
        <f>E155</f>
        <v>0</v>
      </c>
      <c r="F49" s="99">
        <f t="shared" ref="F49:P49" si="7">F155</f>
        <v>0</v>
      </c>
      <c r="G49" s="99">
        <f t="shared" si="7"/>
        <v>0</v>
      </c>
      <c r="H49" s="99">
        <f t="shared" si="7"/>
        <v>0</v>
      </c>
      <c r="I49" s="99">
        <f t="shared" si="7"/>
        <v>0</v>
      </c>
      <c r="J49" s="99">
        <f t="shared" si="7"/>
        <v>0</v>
      </c>
      <c r="K49" s="99">
        <f t="shared" si="7"/>
        <v>0</v>
      </c>
      <c r="L49" s="99">
        <f t="shared" si="7"/>
        <v>0</v>
      </c>
      <c r="M49" s="99">
        <f t="shared" si="7"/>
        <v>0</v>
      </c>
      <c r="N49" s="99">
        <f t="shared" si="7"/>
        <v>0</v>
      </c>
      <c r="O49" s="99">
        <f t="shared" si="7"/>
        <v>0</v>
      </c>
      <c r="P49" s="99">
        <f t="shared" si="7"/>
        <v>0</v>
      </c>
      <c r="Q49" s="104">
        <f>SUM(E49:P49)</f>
        <v>0</v>
      </c>
      <c r="R49" s="39" t="e">
        <f>Q49/$Q$28</f>
        <v>#DIV/0!</v>
      </c>
      <c r="S49" s="35"/>
      <c r="T49" s="40">
        <f>-IF(Q49-S49=0,0,(Q49-S49)/S49)</f>
        <v>0</v>
      </c>
    </row>
    <row r="50" spans="1:20" s="19" customFormat="1" ht="24.95" customHeight="1">
      <c r="D50" s="26"/>
      <c r="E50" s="99"/>
      <c r="F50" s="99"/>
      <c r="G50" s="99"/>
      <c r="H50" s="99"/>
      <c r="I50" s="99"/>
      <c r="J50" s="99"/>
      <c r="K50" s="99"/>
      <c r="L50" s="99"/>
      <c r="M50" s="99"/>
      <c r="N50" s="99"/>
      <c r="O50" s="99"/>
      <c r="P50" s="99"/>
      <c r="Q50" s="103"/>
      <c r="R50" s="3"/>
      <c r="S50" s="35"/>
      <c r="T50" s="40"/>
    </row>
    <row r="51" spans="1:20" s="19" customFormat="1" ht="24.95" customHeight="1">
      <c r="D51" s="21" t="s">
        <v>773</v>
      </c>
      <c r="E51" s="99"/>
      <c r="F51" s="99"/>
      <c r="G51" s="99"/>
      <c r="H51" s="99"/>
      <c r="I51" s="99"/>
      <c r="J51" s="99"/>
      <c r="K51" s="99"/>
      <c r="L51" s="99"/>
      <c r="M51" s="99"/>
      <c r="N51" s="99"/>
      <c r="O51" s="99"/>
      <c r="P51" s="99"/>
      <c r="Q51" s="103"/>
      <c r="R51" s="3"/>
      <c r="S51" s="35"/>
      <c r="T51" s="40"/>
    </row>
    <row r="52" spans="1:20" s="19" customFormat="1" ht="24.95" hidden="1" customHeight="1">
      <c r="A52" s="19" t="s">
        <v>484</v>
      </c>
      <c r="B52" s="19" t="s">
        <v>734</v>
      </c>
      <c r="D52" s="26" t="s">
        <v>141</v>
      </c>
      <c r="E52" s="27">
        <v>0</v>
      </c>
      <c r="F52" s="27">
        <v>0</v>
      </c>
      <c r="G52" s="27">
        <v>0</v>
      </c>
      <c r="H52" s="27">
        <v>0</v>
      </c>
      <c r="I52" s="27">
        <v>0</v>
      </c>
      <c r="J52" s="27">
        <v>0</v>
      </c>
      <c r="K52" s="27">
        <v>0</v>
      </c>
      <c r="L52" s="27">
        <v>0</v>
      </c>
      <c r="M52" s="27">
        <v>0</v>
      </c>
      <c r="N52" s="27">
        <v>0</v>
      </c>
      <c r="O52" s="27">
        <v>0</v>
      </c>
      <c r="P52" s="27">
        <v>0</v>
      </c>
      <c r="Q52" s="103">
        <f>SUM(E52:P52)</f>
        <v>0</v>
      </c>
      <c r="R52" s="3"/>
      <c r="S52" s="35"/>
      <c r="T52" s="40">
        <f t="shared" si="1"/>
        <v>0</v>
      </c>
    </row>
    <row r="53" spans="1:20" s="19" customFormat="1" ht="24.95" hidden="1" customHeight="1">
      <c r="A53" s="19" t="s">
        <v>486</v>
      </c>
      <c r="B53" s="19" t="s">
        <v>734</v>
      </c>
      <c r="D53" s="26" t="s">
        <v>143</v>
      </c>
      <c r="E53" s="27">
        <v>0</v>
      </c>
      <c r="F53" s="27">
        <v>0</v>
      </c>
      <c r="G53" s="27">
        <v>0</v>
      </c>
      <c r="H53" s="27">
        <v>0</v>
      </c>
      <c r="I53" s="27">
        <v>0</v>
      </c>
      <c r="J53" s="27">
        <v>0</v>
      </c>
      <c r="K53" s="27">
        <v>0</v>
      </c>
      <c r="L53" s="27">
        <v>0</v>
      </c>
      <c r="M53" s="27">
        <v>0</v>
      </c>
      <c r="N53" s="27">
        <v>0</v>
      </c>
      <c r="O53" s="27">
        <v>0</v>
      </c>
      <c r="P53" s="27">
        <v>0</v>
      </c>
      <c r="Q53" s="103">
        <f t="shared" ref="Q53:Q116" si="8">SUM(E53:P53)</f>
        <v>0</v>
      </c>
      <c r="R53" s="3"/>
      <c r="S53" s="35"/>
      <c r="T53" s="40">
        <f t="shared" si="1"/>
        <v>0</v>
      </c>
    </row>
    <row r="54" spans="1:20" s="19" customFormat="1" ht="24.95" hidden="1" customHeight="1">
      <c r="A54" s="19" t="s">
        <v>488</v>
      </c>
      <c r="B54" s="19" t="s">
        <v>734</v>
      </c>
      <c r="D54" s="26" t="s">
        <v>145</v>
      </c>
      <c r="E54" s="27">
        <v>0</v>
      </c>
      <c r="F54" s="27">
        <v>0</v>
      </c>
      <c r="G54" s="27">
        <v>0</v>
      </c>
      <c r="H54" s="27">
        <v>0</v>
      </c>
      <c r="I54" s="27">
        <v>0</v>
      </c>
      <c r="J54" s="27">
        <v>0</v>
      </c>
      <c r="K54" s="27">
        <v>0</v>
      </c>
      <c r="L54" s="27">
        <v>0</v>
      </c>
      <c r="M54" s="27">
        <v>0</v>
      </c>
      <c r="N54" s="27">
        <v>0</v>
      </c>
      <c r="O54" s="27">
        <v>0</v>
      </c>
      <c r="P54" s="27">
        <v>0</v>
      </c>
      <c r="Q54" s="103">
        <f t="shared" si="8"/>
        <v>0</v>
      </c>
      <c r="R54" s="3"/>
      <c r="S54" s="35"/>
      <c r="T54" s="40">
        <f t="shared" si="1"/>
        <v>0</v>
      </c>
    </row>
    <row r="55" spans="1:20" s="19" customFormat="1" ht="24.95" hidden="1" customHeight="1">
      <c r="A55" s="19" t="s">
        <v>490</v>
      </c>
      <c r="B55" s="19" t="s">
        <v>734</v>
      </c>
      <c r="D55" s="26" t="s">
        <v>147</v>
      </c>
      <c r="E55" s="27">
        <v>0</v>
      </c>
      <c r="F55" s="27">
        <v>0</v>
      </c>
      <c r="G55" s="27">
        <v>0</v>
      </c>
      <c r="H55" s="27">
        <v>0</v>
      </c>
      <c r="I55" s="27">
        <v>0</v>
      </c>
      <c r="J55" s="27">
        <v>0</v>
      </c>
      <c r="K55" s="27">
        <v>0</v>
      </c>
      <c r="L55" s="27">
        <v>0</v>
      </c>
      <c r="M55" s="27">
        <v>0</v>
      </c>
      <c r="N55" s="27">
        <v>0</v>
      </c>
      <c r="O55" s="27">
        <v>0</v>
      </c>
      <c r="P55" s="27">
        <v>0</v>
      </c>
      <c r="Q55" s="103">
        <f t="shared" si="8"/>
        <v>0</v>
      </c>
      <c r="R55" s="3"/>
      <c r="S55" s="35"/>
      <c r="T55" s="40">
        <f t="shared" si="1"/>
        <v>0</v>
      </c>
    </row>
    <row r="56" spans="1:20" s="19" customFormat="1" ht="24.95" hidden="1" customHeight="1">
      <c r="A56" s="19" t="s">
        <v>492</v>
      </c>
      <c r="B56" s="19" t="s">
        <v>734</v>
      </c>
      <c r="D56" s="26" t="s">
        <v>149</v>
      </c>
      <c r="E56" s="27">
        <v>0</v>
      </c>
      <c r="F56" s="27">
        <v>0</v>
      </c>
      <c r="G56" s="27">
        <v>0</v>
      </c>
      <c r="H56" s="27">
        <v>0</v>
      </c>
      <c r="I56" s="27">
        <v>0</v>
      </c>
      <c r="J56" s="27">
        <v>0</v>
      </c>
      <c r="K56" s="27">
        <v>0</v>
      </c>
      <c r="L56" s="27">
        <v>0</v>
      </c>
      <c r="M56" s="27">
        <v>0</v>
      </c>
      <c r="N56" s="27">
        <v>0</v>
      </c>
      <c r="O56" s="27">
        <v>0</v>
      </c>
      <c r="P56" s="27">
        <v>0</v>
      </c>
      <c r="Q56" s="103">
        <f t="shared" si="8"/>
        <v>0</v>
      </c>
      <c r="R56" s="3"/>
      <c r="S56" s="35"/>
      <c r="T56" s="40">
        <f t="shared" si="1"/>
        <v>0</v>
      </c>
    </row>
    <row r="57" spans="1:20" s="19" customFormat="1" ht="24.95" customHeight="1">
      <c r="A57" s="19" t="s">
        <v>494</v>
      </c>
      <c r="B57" s="19" t="s">
        <v>734</v>
      </c>
      <c r="D57" s="26" t="s">
        <v>151</v>
      </c>
      <c r="E57" s="97"/>
      <c r="F57" s="97"/>
      <c r="G57" s="97"/>
      <c r="H57" s="97"/>
      <c r="I57" s="97"/>
      <c r="J57" s="97"/>
      <c r="K57" s="97"/>
      <c r="L57" s="97"/>
      <c r="M57" s="97"/>
      <c r="N57" s="97"/>
      <c r="O57" s="97"/>
      <c r="P57" s="97"/>
      <c r="Q57" s="103">
        <f t="shared" si="8"/>
        <v>0</v>
      </c>
      <c r="R57" s="39" t="e">
        <f t="shared" ref="R57:R120" si="9">Q57/$Q$28</f>
        <v>#DIV/0!</v>
      </c>
      <c r="S57" s="35"/>
      <c r="T57" s="40">
        <f>-IF(Q57-S57=0,0,(Q57-S57)/S57)</f>
        <v>0</v>
      </c>
    </row>
    <row r="58" spans="1:20" s="19" customFormat="1" ht="24.95" hidden="1" customHeight="1">
      <c r="A58" s="19" t="s">
        <v>496</v>
      </c>
      <c r="B58" s="19" t="s">
        <v>734</v>
      </c>
      <c r="D58" s="26" t="s">
        <v>153</v>
      </c>
      <c r="E58" s="27"/>
      <c r="F58" s="27"/>
      <c r="G58" s="27"/>
      <c r="H58" s="27"/>
      <c r="I58" s="27"/>
      <c r="J58" s="27"/>
      <c r="K58" s="27"/>
      <c r="L58" s="27"/>
      <c r="M58" s="27"/>
      <c r="N58" s="27"/>
      <c r="O58" s="27"/>
      <c r="P58" s="27"/>
      <c r="Q58" s="103">
        <f t="shared" si="8"/>
        <v>0</v>
      </c>
      <c r="R58" s="39" t="e">
        <f t="shared" si="9"/>
        <v>#DIV/0!</v>
      </c>
      <c r="S58" s="35"/>
      <c r="T58" s="40">
        <f t="shared" ref="T58:T120" si="10">-IF(Q58-S58=0,0,(Q58-S58)/S58)</f>
        <v>0</v>
      </c>
    </row>
    <row r="59" spans="1:20" s="19" customFormat="1" ht="24.95" hidden="1" customHeight="1">
      <c r="A59" s="19" t="s">
        <v>498</v>
      </c>
      <c r="B59" s="19" t="s">
        <v>734</v>
      </c>
      <c r="D59" s="26" t="s">
        <v>155</v>
      </c>
      <c r="E59" s="27"/>
      <c r="F59" s="27"/>
      <c r="G59" s="27"/>
      <c r="H59" s="27"/>
      <c r="I59" s="27"/>
      <c r="J59" s="27"/>
      <c r="K59" s="27"/>
      <c r="L59" s="27"/>
      <c r="M59" s="27"/>
      <c r="N59" s="27"/>
      <c r="O59" s="27"/>
      <c r="P59" s="27"/>
      <c r="Q59" s="103">
        <f t="shared" si="8"/>
        <v>0</v>
      </c>
      <c r="R59" s="39" t="e">
        <f t="shared" si="9"/>
        <v>#DIV/0!</v>
      </c>
      <c r="S59" s="35"/>
      <c r="T59" s="40">
        <f t="shared" si="10"/>
        <v>0</v>
      </c>
    </row>
    <row r="60" spans="1:20" s="19" customFormat="1" ht="24.95" customHeight="1">
      <c r="A60" s="19" t="s">
        <v>500</v>
      </c>
      <c r="B60" s="19" t="s">
        <v>734</v>
      </c>
      <c r="D60" s="26" t="s">
        <v>157</v>
      </c>
      <c r="E60" s="27"/>
      <c r="F60" s="27"/>
      <c r="G60" s="27"/>
      <c r="H60" s="27"/>
      <c r="I60" s="27"/>
      <c r="J60" s="27"/>
      <c r="K60" s="27"/>
      <c r="L60" s="27"/>
      <c r="M60" s="27"/>
      <c r="N60" s="27"/>
      <c r="O60" s="27"/>
      <c r="P60" s="27"/>
      <c r="Q60" s="103">
        <f t="shared" si="8"/>
        <v>0</v>
      </c>
      <c r="R60" s="39" t="e">
        <f t="shared" si="9"/>
        <v>#DIV/0!</v>
      </c>
      <c r="S60" s="35"/>
      <c r="T60" s="40"/>
    </row>
    <row r="61" spans="1:20" s="19" customFormat="1" ht="24.95" hidden="1" customHeight="1">
      <c r="A61" s="19" t="s">
        <v>502</v>
      </c>
      <c r="B61" s="19" t="s">
        <v>734</v>
      </c>
      <c r="D61" s="26" t="s">
        <v>159</v>
      </c>
      <c r="E61" s="27"/>
      <c r="F61" s="27"/>
      <c r="G61" s="27"/>
      <c r="H61" s="27"/>
      <c r="I61" s="27"/>
      <c r="J61" s="27"/>
      <c r="K61" s="27"/>
      <c r="L61" s="27"/>
      <c r="M61" s="27"/>
      <c r="N61" s="27"/>
      <c r="O61" s="27"/>
      <c r="P61" s="27"/>
      <c r="Q61" s="103">
        <f t="shared" si="8"/>
        <v>0</v>
      </c>
      <c r="R61" s="39" t="e">
        <f t="shared" si="9"/>
        <v>#DIV/0!</v>
      </c>
      <c r="S61" s="35"/>
      <c r="T61" s="40">
        <f t="shared" si="10"/>
        <v>0</v>
      </c>
    </row>
    <row r="62" spans="1:20" s="19" customFormat="1" ht="24.95" hidden="1" customHeight="1">
      <c r="A62" s="19" t="s">
        <v>504</v>
      </c>
      <c r="B62" s="19" t="s">
        <v>734</v>
      </c>
      <c r="D62" s="26" t="s">
        <v>161</v>
      </c>
      <c r="E62" s="27"/>
      <c r="F62" s="27"/>
      <c r="G62" s="27"/>
      <c r="H62" s="27"/>
      <c r="I62" s="27"/>
      <c r="J62" s="27"/>
      <c r="K62" s="27"/>
      <c r="L62" s="27"/>
      <c r="M62" s="27"/>
      <c r="N62" s="27"/>
      <c r="O62" s="27"/>
      <c r="P62" s="27"/>
      <c r="Q62" s="103">
        <f t="shared" si="8"/>
        <v>0</v>
      </c>
      <c r="R62" s="39" t="e">
        <f t="shared" si="9"/>
        <v>#DIV/0!</v>
      </c>
      <c r="S62" s="35"/>
      <c r="T62" s="40">
        <f t="shared" si="10"/>
        <v>0</v>
      </c>
    </row>
    <row r="63" spans="1:20" s="19" customFormat="1" ht="24.95" hidden="1" customHeight="1">
      <c r="A63" s="19" t="s">
        <v>506</v>
      </c>
      <c r="B63" s="19" t="s">
        <v>734</v>
      </c>
      <c r="D63" s="26" t="s">
        <v>163</v>
      </c>
      <c r="E63" s="27"/>
      <c r="F63" s="27"/>
      <c r="G63" s="27"/>
      <c r="H63" s="27"/>
      <c r="I63" s="27"/>
      <c r="J63" s="27"/>
      <c r="K63" s="27"/>
      <c r="L63" s="27"/>
      <c r="M63" s="27"/>
      <c r="N63" s="27"/>
      <c r="O63" s="27"/>
      <c r="P63" s="27"/>
      <c r="Q63" s="103">
        <f t="shared" si="8"/>
        <v>0</v>
      </c>
      <c r="R63" s="39" t="e">
        <f t="shared" si="9"/>
        <v>#DIV/0!</v>
      </c>
      <c r="S63" s="35"/>
      <c r="T63" s="40">
        <f t="shared" si="10"/>
        <v>0</v>
      </c>
    </row>
    <row r="64" spans="1:20" s="19" customFormat="1" ht="24.95" hidden="1" customHeight="1">
      <c r="A64" s="19" t="s">
        <v>508</v>
      </c>
      <c r="B64" s="19" t="s">
        <v>734</v>
      </c>
      <c r="D64" s="26" t="s">
        <v>165</v>
      </c>
      <c r="E64" s="27"/>
      <c r="F64" s="27"/>
      <c r="G64" s="27"/>
      <c r="H64" s="27"/>
      <c r="I64" s="27"/>
      <c r="J64" s="27"/>
      <c r="K64" s="27"/>
      <c r="L64" s="27"/>
      <c r="M64" s="27"/>
      <c r="N64" s="27"/>
      <c r="O64" s="27"/>
      <c r="P64" s="27"/>
      <c r="Q64" s="103">
        <f t="shared" si="8"/>
        <v>0</v>
      </c>
      <c r="R64" s="39" t="e">
        <f t="shared" si="9"/>
        <v>#DIV/0!</v>
      </c>
      <c r="S64" s="35"/>
      <c r="T64" s="40">
        <f t="shared" si="10"/>
        <v>0</v>
      </c>
    </row>
    <row r="65" spans="1:20" s="19" customFormat="1" ht="24.95" hidden="1" customHeight="1">
      <c r="A65" s="19" t="s">
        <v>510</v>
      </c>
      <c r="B65" s="19" t="s">
        <v>734</v>
      </c>
      <c r="D65" s="26" t="s">
        <v>167</v>
      </c>
      <c r="E65" s="27"/>
      <c r="F65" s="27"/>
      <c r="G65" s="27"/>
      <c r="H65" s="27"/>
      <c r="I65" s="27"/>
      <c r="J65" s="27"/>
      <c r="K65" s="27"/>
      <c r="L65" s="27"/>
      <c r="M65" s="27"/>
      <c r="N65" s="27"/>
      <c r="O65" s="27"/>
      <c r="P65" s="27"/>
      <c r="Q65" s="103">
        <f t="shared" si="8"/>
        <v>0</v>
      </c>
      <c r="R65" s="39" t="e">
        <f t="shared" si="9"/>
        <v>#DIV/0!</v>
      </c>
      <c r="S65" s="35"/>
      <c r="T65" s="40">
        <f t="shared" si="10"/>
        <v>0</v>
      </c>
    </row>
    <row r="66" spans="1:20" s="3" customFormat="1" ht="24.95" hidden="1" customHeight="1">
      <c r="A66" s="3" t="s">
        <v>512</v>
      </c>
      <c r="B66" s="3" t="s">
        <v>734</v>
      </c>
      <c r="D66" s="26" t="s">
        <v>169</v>
      </c>
      <c r="E66" s="27"/>
      <c r="F66" s="27"/>
      <c r="G66" s="27"/>
      <c r="H66" s="27"/>
      <c r="I66" s="27"/>
      <c r="J66" s="27"/>
      <c r="K66" s="27"/>
      <c r="L66" s="27"/>
      <c r="M66" s="27"/>
      <c r="N66" s="27"/>
      <c r="O66" s="27"/>
      <c r="P66" s="27"/>
      <c r="Q66" s="103">
        <f t="shared" si="8"/>
        <v>0</v>
      </c>
      <c r="R66" s="39" t="e">
        <f t="shared" si="9"/>
        <v>#DIV/0!</v>
      </c>
      <c r="S66" s="35"/>
      <c r="T66" s="40">
        <f t="shared" si="10"/>
        <v>0</v>
      </c>
    </row>
    <row r="67" spans="1:20" s="3" customFormat="1" ht="24.95" customHeight="1">
      <c r="A67" s="3" t="s">
        <v>513</v>
      </c>
      <c r="B67" s="3" t="s">
        <v>734</v>
      </c>
      <c r="D67" s="26" t="s">
        <v>171</v>
      </c>
      <c r="E67" s="97"/>
      <c r="F67" s="97"/>
      <c r="G67" s="97"/>
      <c r="H67" s="97"/>
      <c r="I67" s="97"/>
      <c r="J67" s="97"/>
      <c r="K67" s="97"/>
      <c r="L67" s="97"/>
      <c r="M67" s="97"/>
      <c r="N67" s="97"/>
      <c r="O67" s="97"/>
      <c r="P67" s="97"/>
      <c r="Q67" s="103">
        <f t="shared" si="8"/>
        <v>0</v>
      </c>
      <c r="R67" s="39" t="e">
        <f t="shared" si="9"/>
        <v>#DIV/0!</v>
      </c>
      <c r="S67" s="35"/>
      <c r="T67" s="40">
        <f t="shared" si="10"/>
        <v>0</v>
      </c>
    </row>
    <row r="68" spans="1:20" s="3" customFormat="1" ht="24.95" hidden="1" customHeight="1">
      <c r="A68" s="271" t="s">
        <v>514</v>
      </c>
      <c r="B68" s="51" t="s">
        <v>734</v>
      </c>
      <c r="D68" s="26" t="s">
        <v>173</v>
      </c>
      <c r="E68" s="27"/>
      <c r="F68" s="27"/>
      <c r="G68" s="27"/>
      <c r="H68" s="27"/>
      <c r="I68" s="27"/>
      <c r="J68" s="27"/>
      <c r="K68" s="27"/>
      <c r="L68" s="27"/>
      <c r="M68" s="27"/>
      <c r="N68" s="27"/>
      <c r="O68" s="27"/>
      <c r="P68" s="27"/>
      <c r="Q68" s="103">
        <f t="shared" si="8"/>
        <v>0</v>
      </c>
      <c r="R68" s="39" t="e">
        <f t="shared" si="9"/>
        <v>#DIV/0!</v>
      </c>
      <c r="S68" s="35"/>
      <c r="T68" s="40">
        <f t="shared" si="10"/>
        <v>0</v>
      </c>
    </row>
    <row r="69" spans="1:20" s="3" customFormat="1" ht="24.95" hidden="1" customHeight="1">
      <c r="A69" s="271" t="s">
        <v>516</v>
      </c>
      <c r="B69" s="51" t="s">
        <v>734</v>
      </c>
      <c r="D69" s="26" t="s">
        <v>175</v>
      </c>
      <c r="E69" s="27"/>
      <c r="F69" s="27"/>
      <c r="G69" s="27"/>
      <c r="H69" s="27"/>
      <c r="I69" s="27"/>
      <c r="J69" s="27"/>
      <c r="K69" s="27"/>
      <c r="L69" s="27"/>
      <c r="M69" s="27"/>
      <c r="N69" s="27"/>
      <c r="O69" s="27"/>
      <c r="P69" s="27"/>
      <c r="Q69" s="103">
        <f t="shared" si="8"/>
        <v>0</v>
      </c>
      <c r="R69" s="39" t="e">
        <f t="shared" si="9"/>
        <v>#DIV/0!</v>
      </c>
      <c r="S69" s="35"/>
      <c r="T69" s="40">
        <f t="shared" si="10"/>
        <v>0</v>
      </c>
    </row>
    <row r="70" spans="1:20" s="3" customFormat="1" ht="24.95" hidden="1" customHeight="1">
      <c r="A70" s="3" t="s">
        <v>518</v>
      </c>
      <c r="B70" s="51" t="s">
        <v>734</v>
      </c>
      <c r="D70" s="26" t="s">
        <v>177</v>
      </c>
      <c r="E70" s="27"/>
      <c r="F70" s="27"/>
      <c r="G70" s="27"/>
      <c r="H70" s="27"/>
      <c r="I70" s="27"/>
      <c r="J70" s="27"/>
      <c r="K70" s="27"/>
      <c r="L70" s="27"/>
      <c r="M70" s="27"/>
      <c r="N70" s="27"/>
      <c r="O70" s="27"/>
      <c r="P70" s="27"/>
      <c r="Q70" s="103">
        <f t="shared" si="8"/>
        <v>0</v>
      </c>
      <c r="R70" s="39" t="e">
        <f t="shared" si="9"/>
        <v>#DIV/0!</v>
      </c>
      <c r="S70" s="35"/>
      <c r="T70" s="40">
        <f t="shared" si="10"/>
        <v>0</v>
      </c>
    </row>
    <row r="71" spans="1:20" s="3" customFormat="1" ht="24.95" hidden="1" customHeight="1">
      <c r="A71" s="3" t="s">
        <v>520</v>
      </c>
      <c r="B71" s="51" t="s">
        <v>734</v>
      </c>
      <c r="D71" s="26" t="s">
        <v>179</v>
      </c>
      <c r="E71" s="27"/>
      <c r="F71" s="27"/>
      <c r="G71" s="27"/>
      <c r="H71" s="27"/>
      <c r="I71" s="27"/>
      <c r="J71" s="27"/>
      <c r="K71" s="27"/>
      <c r="L71" s="27"/>
      <c r="M71" s="27"/>
      <c r="N71" s="27"/>
      <c r="O71" s="27"/>
      <c r="P71" s="27"/>
      <c r="Q71" s="103">
        <f t="shared" si="8"/>
        <v>0</v>
      </c>
      <c r="R71" s="39" t="e">
        <f t="shared" si="9"/>
        <v>#DIV/0!</v>
      </c>
      <c r="S71" s="35"/>
      <c r="T71" s="40">
        <f t="shared" si="10"/>
        <v>0</v>
      </c>
    </row>
    <row r="72" spans="1:20" s="3" customFormat="1" ht="24.95" customHeight="1">
      <c r="A72" s="271" t="s">
        <v>522</v>
      </c>
      <c r="B72" s="51" t="s">
        <v>734</v>
      </c>
      <c r="D72" s="26" t="s">
        <v>181</v>
      </c>
      <c r="E72" s="97"/>
      <c r="F72" s="97"/>
      <c r="G72" s="97"/>
      <c r="H72" s="97"/>
      <c r="I72" s="97"/>
      <c r="J72" s="97"/>
      <c r="K72" s="97"/>
      <c r="L72" s="97"/>
      <c r="M72" s="97"/>
      <c r="N72" s="97"/>
      <c r="O72" s="97"/>
      <c r="P72" s="97"/>
      <c r="Q72" s="103">
        <f t="shared" si="8"/>
        <v>0</v>
      </c>
      <c r="R72" s="39" t="e">
        <f t="shared" si="9"/>
        <v>#DIV/0!</v>
      </c>
      <c r="S72" s="35"/>
      <c r="T72" s="40">
        <f t="shared" si="10"/>
        <v>0</v>
      </c>
    </row>
    <row r="73" spans="1:20" s="3" customFormat="1" ht="24.95" hidden="1" customHeight="1">
      <c r="A73" s="54" t="s">
        <v>524</v>
      </c>
      <c r="B73" s="51" t="s">
        <v>734</v>
      </c>
      <c r="D73" s="26" t="s">
        <v>183</v>
      </c>
      <c r="E73" s="27"/>
      <c r="F73" s="27"/>
      <c r="G73" s="27"/>
      <c r="H73" s="27"/>
      <c r="I73" s="27"/>
      <c r="J73" s="27"/>
      <c r="K73" s="27"/>
      <c r="L73" s="27"/>
      <c r="M73" s="27"/>
      <c r="N73" s="27"/>
      <c r="O73" s="27"/>
      <c r="P73" s="27"/>
      <c r="Q73" s="103">
        <f t="shared" si="8"/>
        <v>0</v>
      </c>
      <c r="R73" s="39" t="e">
        <f t="shared" si="9"/>
        <v>#DIV/0!</v>
      </c>
      <c r="S73" s="35"/>
      <c r="T73" s="40">
        <f t="shared" si="10"/>
        <v>0</v>
      </c>
    </row>
    <row r="74" spans="1:20" s="3" customFormat="1" ht="24.95" hidden="1" customHeight="1">
      <c r="A74" s="271" t="s">
        <v>526</v>
      </c>
      <c r="B74" s="3" t="s">
        <v>734</v>
      </c>
      <c r="D74" s="26" t="s">
        <v>185</v>
      </c>
      <c r="E74" s="27"/>
      <c r="F74" s="27"/>
      <c r="G74" s="27"/>
      <c r="H74" s="27"/>
      <c r="I74" s="27"/>
      <c r="J74" s="27"/>
      <c r="K74" s="27"/>
      <c r="L74" s="27"/>
      <c r="M74" s="27"/>
      <c r="N74" s="27"/>
      <c r="O74" s="27"/>
      <c r="P74" s="27"/>
      <c r="Q74" s="103">
        <f t="shared" si="8"/>
        <v>0</v>
      </c>
      <c r="R74" s="39" t="e">
        <f t="shared" si="9"/>
        <v>#DIV/0!</v>
      </c>
      <c r="S74" s="35"/>
      <c r="T74" s="40">
        <f t="shared" si="10"/>
        <v>0</v>
      </c>
    </row>
    <row r="75" spans="1:20" s="3" customFormat="1" ht="24.95" customHeight="1">
      <c r="A75" s="271" t="s">
        <v>528</v>
      </c>
      <c r="B75" s="51" t="s">
        <v>734</v>
      </c>
      <c r="D75" s="26" t="s">
        <v>187</v>
      </c>
      <c r="E75" s="27"/>
      <c r="F75" s="27"/>
      <c r="G75" s="27"/>
      <c r="H75" s="27"/>
      <c r="I75" s="27"/>
      <c r="J75" s="27"/>
      <c r="K75" s="27"/>
      <c r="L75" s="27"/>
      <c r="M75" s="27"/>
      <c r="N75" s="27"/>
      <c r="O75" s="27"/>
      <c r="P75" s="27"/>
      <c r="Q75" s="103">
        <f t="shared" si="8"/>
        <v>0</v>
      </c>
      <c r="R75" s="39" t="e">
        <f t="shared" si="9"/>
        <v>#DIV/0!</v>
      </c>
      <c r="S75" s="35"/>
      <c r="T75" s="40">
        <f t="shared" si="10"/>
        <v>0</v>
      </c>
    </row>
    <row r="76" spans="1:20" s="3" customFormat="1" ht="24.95" hidden="1" customHeight="1">
      <c r="A76" s="271" t="s">
        <v>530</v>
      </c>
      <c r="B76" s="51" t="s">
        <v>734</v>
      </c>
      <c r="D76" s="26" t="s">
        <v>189</v>
      </c>
      <c r="E76" s="27"/>
      <c r="F76" s="27"/>
      <c r="G76" s="27"/>
      <c r="H76" s="27"/>
      <c r="I76" s="27"/>
      <c r="J76" s="27"/>
      <c r="K76" s="27"/>
      <c r="L76" s="27"/>
      <c r="M76" s="27"/>
      <c r="N76" s="27"/>
      <c r="O76" s="27"/>
      <c r="P76" s="27"/>
      <c r="Q76" s="103">
        <f t="shared" si="8"/>
        <v>0</v>
      </c>
      <c r="R76" s="39" t="e">
        <f t="shared" si="9"/>
        <v>#DIV/0!</v>
      </c>
      <c r="S76" s="35"/>
      <c r="T76" s="40">
        <f t="shared" si="10"/>
        <v>0</v>
      </c>
    </row>
    <row r="77" spans="1:20" s="19" customFormat="1" ht="24.95" customHeight="1">
      <c r="A77" s="271" t="s">
        <v>532</v>
      </c>
      <c r="B77" s="51" t="s">
        <v>734</v>
      </c>
      <c r="D77" s="26" t="s">
        <v>191</v>
      </c>
      <c r="E77" s="97"/>
      <c r="F77" s="97"/>
      <c r="G77" s="97"/>
      <c r="H77" s="97"/>
      <c r="I77" s="97"/>
      <c r="J77" s="97"/>
      <c r="K77" s="97"/>
      <c r="L77" s="97"/>
      <c r="M77" s="97"/>
      <c r="N77" s="97"/>
      <c r="O77" s="97"/>
      <c r="P77" s="97"/>
      <c r="Q77" s="103">
        <f t="shared" si="8"/>
        <v>0</v>
      </c>
      <c r="R77" s="39" t="e">
        <f t="shared" si="9"/>
        <v>#DIV/0!</v>
      </c>
      <c r="S77" s="35"/>
      <c r="T77" s="40">
        <f t="shared" si="10"/>
        <v>0</v>
      </c>
    </row>
    <row r="78" spans="1:20" s="3" customFormat="1" ht="24.95" hidden="1" customHeight="1">
      <c r="A78" s="50" t="s">
        <v>534</v>
      </c>
      <c r="B78" s="3" t="s">
        <v>734</v>
      </c>
      <c r="D78" s="26" t="s">
        <v>193</v>
      </c>
      <c r="E78" s="27"/>
      <c r="F78" s="27"/>
      <c r="G78" s="27"/>
      <c r="H78" s="27"/>
      <c r="I78" s="27"/>
      <c r="J78" s="27"/>
      <c r="K78" s="27"/>
      <c r="L78" s="27"/>
      <c r="M78" s="27"/>
      <c r="N78" s="27"/>
      <c r="O78" s="27"/>
      <c r="P78" s="27"/>
      <c r="Q78" s="103">
        <f t="shared" si="8"/>
        <v>0</v>
      </c>
      <c r="R78" s="39" t="e">
        <f t="shared" si="9"/>
        <v>#DIV/0!</v>
      </c>
      <c r="S78" s="35"/>
      <c r="T78" s="40">
        <f t="shared" si="10"/>
        <v>0</v>
      </c>
    </row>
    <row r="79" spans="1:20" s="3" customFormat="1" ht="24.95" hidden="1" customHeight="1">
      <c r="A79" s="271" t="s">
        <v>536</v>
      </c>
      <c r="B79" s="51" t="s">
        <v>734</v>
      </c>
      <c r="D79" s="26" t="s">
        <v>195</v>
      </c>
      <c r="E79" s="27"/>
      <c r="F79" s="27"/>
      <c r="G79" s="27"/>
      <c r="H79" s="27"/>
      <c r="I79" s="27"/>
      <c r="J79" s="27"/>
      <c r="K79" s="27"/>
      <c r="L79" s="27"/>
      <c r="M79" s="27"/>
      <c r="N79" s="27"/>
      <c r="O79" s="27"/>
      <c r="P79" s="27"/>
      <c r="Q79" s="103">
        <f t="shared" si="8"/>
        <v>0</v>
      </c>
      <c r="R79" s="39" t="e">
        <f t="shared" si="9"/>
        <v>#DIV/0!</v>
      </c>
      <c r="S79" s="35"/>
      <c r="T79" s="40">
        <f t="shared" si="10"/>
        <v>0</v>
      </c>
    </row>
    <row r="80" spans="1:20" s="3" customFormat="1" ht="24.95" hidden="1" customHeight="1">
      <c r="A80" s="271" t="s">
        <v>538</v>
      </c>
      <c r="B80" s="51" t="s">
        <v>734</v>
      </c>
      <c r="D80" s="26" t="s">
        <v>197</v>
      </c>
      <c r="E80" s="27"/>
      <c r="F80" s="27"/>
      <c r="G80" s="27"/>
      <c r="H80" s="27"/>
      <c r="I80" s="27"/>
      <c r="J80" s="27"/>
      <c r="K80" s="27"/>
      <c r="L80" s="27"/>
      <c r="M80" s="27"/>
      <c r="N80" s="27"/>
      <c r="O80" s="27"/>
      <c r="P80" s="27"/>
      <c r="Q80" s="103">
        <f t="shared" si="8"/>
        <v>0</v>
      </c>
      <c r="R80" s="39" t="e">
        <f t="shared" si="9"/>
        <v>#DIV/0!</v>
      </c>
      <c r="S80" s="35"/>
      <c r="T80" s="40">
        <f t="shared" si="10"/>
        <v>0</v>
      </c>
    </row>
    <row r="81" spans="1:20" s="3" customFormat="1" ht="24.95" hidden="1" customHeight="1">
      <c r="A81" s="271" t="s">
        <v>540</v>
      </c>
      <c r="B81" s="51" t="s">
        <v>734</v>
      </c>
      <c r="D81" s="26" t="s">
        <v>199</v>
      </c>
      <c r="E81" s="27"/>
      <c r="F81" s="27"/>
      <c r="G81" s="27"/>
      <c r="H81" s="27"/>
      <c r="I81" s="27"/>
      <c r="J81" s="27"/>
      <c r="K81" s="27"/>
      <c r="L81" s="27"/>
      <c r="M81" s="27"/>
      <c r="N81" s="27"/>
      <c r="O81" s="27"/>
      <c r="P81" s="27"/>
      <c r="Q81" s="103">
        <f t="shared" si="8"/>
        <v>0</v>
      </c>
      <c r="R81" s="39" t="e">
        <f t="shared" si="9"/>
        <v>#DIV/0!</v>
      </c>
      <c r="S81" s="35"/>
      <c r="T81" s="40">
        <f t="shared" si="10"/>
        <v>0</v>
      </c>
    </row>
    <row r="82" spans="1:20" s="3" customFormat="1" ht="24.95" hidden="1" customHeight="1">
      <c r="A82" s="271" t="s">
        <v>542</v>
      </c>
      <c r="B82" s="51" t="s">
        <v>734</v>
      </c>
      <c r="D82" s="26" t="s">
        <v>201</v>
      </c>
      <c r="E82" s="27"/>
      <c r="F82" s="27"/>
      <c r="G82" s="27"/>
      <c r="H82" s="27"/>
      <c r="I82" s="27"/>
      <c r="J82" s="27"/>
      <c r="K82" s="27"/>
      <c r="L82" s="27"/>
      <c r="M82" s="27"/>
      <c r="N82" s="27"/>
      <c r="O82" s="27"/>
      <c r="P82" s="27"/>
      <c r="Q82" s="103">
        <f t="shared" si="8"/>
        <v>0</v>
      </c>
      <c r="R82" s="39" t="e">
        <f t="shared" si="9"/>
        <v>#DIV/0!</v>
      </c>
      <c r="S82" s="35"/>
      <c r="T82" s="40">
        <f t="shared" si="10"/>
        <v>0</v>
      </c>
    </row>
    <row r="83" spans="1:20" s="3" customFormat="1" ht="24.95" hidden="1" customHeight="1">
      <c r="A83" s="271" t="s">
        <v>544</v>
      </c>
      <c r="B83" s="51" t="s">
        <v>734</v>
      </c>
      <c r="D83" s="26" t="s">
        <v>203</v>
      </c>
      <c r="E83" s="27"/>
      <c r="F83" s="27"/>
      <c r="G83" s="27"/>
      <c r="H83" s="27"/>
      <c r="I83" s="27"/>
      <c r="J83" s="27"/>
      <c r="K83" s="27"/>
      <c r="L83" s="27"/>
      <c r="M83" s="27"/>
      <c r="N83" s="27"/>
      <c r="O83" s="27"/>
      <c r="P83" s="27"/>
      <c r="Q83" s="103">
        <f t="shared" si="8"/>
        <v>0</v>
      </c>
      <c r="R83" s="39" t="e">
        <f t="shared" si="9"/>
        <v>#DIV/0!</v>
      </c>
      <c r="S83" s="35"/>
      <c r="T83" s="40">
        <f t="shared" si="10"/>
        <v>0</v>
      </c>
    </row>
    <row r="84" spans="1:20" s="3" customFormat="1" ht="24.95" hidden="1" customHeight="1">
      <c r="A84" s="271" t="s">
        <v>546</v>
      </c>
      <c r="B84" s="51" t="s">
        <v>734</v>
      </c>
      <c r="D84" s="26" t="s">
        <v>205</v>
      </c>
      <c r="E84" s="27"/>
      <c r="F84" s="27"/>
      <c r="G84" s="27"/>
      <c r="H84" s="27"/>
      <c r="I84" s="27"/>
      <c r="J84" s="27"/>
      <c r="K84" s="27"/>
      <c r="L84" s="27"/>
      <c r="M84" s="27"/>
      <c r="N84" s="27"/>
      <c r="O84" s="27"/>
      <c r="P84" s="27"/>
      <c r="Q84" s="103">
        <f t="shared" si="8"/>
        <v>0</v>
      </c>
      <c r="R84" s="39" t="e">
        <f t="shared" si="9"/>
        <v>#DIV/0!</v>
      </c>
      <c r="S84" s="35"/>
      <c r="T84" s="40">
        <f t="shared" si="10"/>
        <v>0</v>
      </c>
    </row>
    <row r="85" spans="1:20" s="3" customFormat="1" ht="24.95" hidden="1" customHeight="1">
      <c r="A85" s="271" t="s">
        <v>548</v>
      </c>
      <c r="B85" s="51" t="s">
        <v>734</v>
      </c>
      <c r="D85" s="26" t="s">
        <v>207</v>
      </c>
      <c r="E85" s="27"/>
      <c r="F85" s="27"/>
      <c r="G85" s="27"/>
      <c r="H85" s="27"/>
      <c r="I85" s="27"/>
      <c r="J85" s="27"/>
      <c r="K85" s="27"/>
      <c r="L85" s="27"/>
      <c r="M85" s="27"/>
      <c r="N85" s="27"/>
      <c r="O85" s="27"/>
      <c r="P85" s="27"/>
      <c r="Q85" s="103">
        <f t="shared" si="8"/>
        <v>0</v>
      </c>
      <c r="R85" s="39" t="e">
        <f t="shared" si="9"/>
        <v>#DIV/0!</v>
      </c>
      <c r="S85" s="35"/>
      <c r="T85" s="40">
        <f t="shared" si="10"/>
        <v>0</v>
      </c>
    </row>
    <row r="86" spans="1:20" s="3" customFormat="1" ht="24.95" hidden="1" customHeight="1">
      <c r="A86" s="271" t="s">
        <v>550</v>
      </c>
      <c r="B86" s="51" t="s">
        <v>734</v>
      </c>
      <c r="D86" s="26" t="s">
        <v>209</v>
      </c>
      <c r="E86" s="27"/>
      <c r="F86" s="27"/>
      <c r="G86" s="27"/>
      <c r="H86" s="27"/>
      <c r="I86" s="27"/>
      <c r="J86" s="27"/>
      <c r="K86" s="27"/>
      <c r="L86" s="27"/>
      <c r="M86" s="27"/>
      <c r="N86" s="27"/>
      <c r="O86" s="27"/>
      <c r="P86" s="27"/>
      <c r="Q86" s="103">
        <f t="shared" si="8"/>
        <v>0</v>
      </c>
      <c r="R86" s="39" t="e">
        <f t="shared" si="9"/>
        <v>#DIV/0!</v>
      </c>
      <c r="S86" s="35"/>
      <c r="T86" s="40">
        <f t="shared" si="10"/>
        <v>0</v>
      </c>
    </row>
    <row r="87" spans="1:20" s="19" customFormat="1" ht="24.95" customHeight="1">
      <c r="A87" s="271" t="s">
        <v>552</v>
      </c>
      <c r="B87" s="51" t="s">
        <v>734</v>
      </c>
      <c r="D87" s="26" t="s">
        <v>211</v>
      </c>
      <c r="E87" s="27"/>
      <c r="F87" s="27"/>
      <c r="G87" s="27"/>
      <c r="H87" s="27"/>
      <c r="I87" s="27"/>
      <c r="J87" s="27"/>
      <c r="K87" s="27"/>
      <c r="L87" s="27"/>
      <c r="M87" s="27"/>
      <c r="N87" s="27"/>
      <c r="O87" s="27"/>
      <c r="P87" s="27"/>
      <c r="Q87" s="103">
        <f t="shared" si="8"/>
        <v>0</v>
      </c>
      <c r="R87" s="39" t="e">
        <f t="shared" si="9"/>
        <v>#DIV/0!</v>
      </c>
      <c r="S87" s="35"/>
      <c r="T87" s="40"/>
    </row>
    <row r="88" spans="1:20" s="19" customFormat="1" ht="24.95" hidden="1" customHeight="1">
      <c r="A88" s="271" t="s">
        <v>554</v>
      </c>
      <c r="B88" s="51" t="s">
        <v>734</v>
      </c>
      <c r="D88" s="26" t="s">
        <v>213</v>
      </c>
      <c r="E88" s="27"/>
      <c r="F88" s="27"/>
      <c r="G88" s="27"/>
      <c r="H88" s="27"/>
      <c r="I88" s="27"/>
      <c r="J88" s="27"/>
      <c r="K88" s="27"/>
      <c r="L88" s="27"/>
      <c r="M88" s="27"/>
      <c r="N88" s="27"/>
      <c r="O88" s="27"/>
      <c r="P88" s="27"/>
      <c r="Q88" s="103">
        <f t="shared" si="8"/>
        <v>0</v>
      </c>
      <c r="R88" s="39" t="e">
        <f t="shared" si="9"/>
        <v>#DIV/0!</v>
      </c>
      <c r="S88" s="35"/>
      <c r="T88" s="40"/>
    </row>
    <row r="89" spans="1:20" s="3" customFormat="1" ht="24.95" hidden="1" customHeight="1">
      <c r="A89" s="3" t="s">
        <v>556</v>
      </c>
      <c r="B89" s="51" t="s">
        <v>734</v>
      </c>
      <c r="D89" s="26" t="s">
        <v>215</v>
      </c>
      <c r="E89" s="27"/>
      <c r="F89" s="27"/>
      <c r="G89" s="27"/>
      <c r="H89" s="27"/>
      <c r="I89" s="27"/>
      <c r="J89" s="27"/>
      <c r="K89" s="27"/>
      <c r="L89" s="27"/>
      <c r="M89" s="27"/>
      <c r="N89" s="27"/>
      <c r="O89" s="27"/>
      <c r="P89" s="27"/>
      <c r="Q89" s="103">
        <f t="shared" si="8"/>
        <v>0</v>
      </c>
      <c r="R89" s="39" t="e">
        <f t="shared" si="9"/>
        <v>#DIV/0!</v>
      </c>
      <c r="S89" s="35"/>
      <c r="T89" s="40"/>
    </row>
    <row r="90" spans="1:20" s="3" customFormat="1" ht="24.95" hidden="1" customHeight="1">
      <c r="A90" s="3" t="s">
        <v>558</v>
      </c>
      <c r="B90" s="51" t="s">
        <v>734</v>
      </c>
      <c r="D90" s="26" t="s">
        <v>217</v>
      </c>
      <c r="E90" s="27"/>
      <c r="F90" s="27"/>
      <c r="G90" s="27"/>
      <c r="H90" s="27"/>
      <c r="I90" s="27"/>
      <c r="J90" s="27"/>
      <c r="K90" s="27"/>
      <c r="L90" s="27"/>
      <c r="M90" s="27"/>
      <c r="N90" s="27"/>
      <c r="O90" s="27"/>
      <c r="P90" s="27"/>
      <c r="Q90" s="103">
        <f t="shared" si="8"/>
        <v>0</v>
      </c>
      <c r="R90" s="39" t="e">
        <f t="shared" si="9"/>
        <v>#DIV/0!</v>
      </c>
      <c r="S90" s="35"/>
      <c r="T90" s="40"/>
    </row>
    <row r="91" spans="1:20" s="3" customFormat="1" ht="24.95" hidden="1" customHeight="1">
      <c r="A91" s="3" t="s">
        <v>560</v>
      </c>
      <c r="B91" s="51" t="s">
        <v>734</v>
      </c>
      <c r="D91" s="26" t="s">
        <v>219</v>
      </c>
      <c r="E91" s="27"/>
      <c r="F91" s="27"/>
      <c r="G91" s="27"/>
      <c r="H91" s="27"/>
      <c r="I91" s="27"/>
      <c r="J91" s="27"/>
      <c r="K91" s="27"/>
      <c r="L91" s="27"/>
      <c r="M91" s="27"/>
      <c r="N91" s="27"/>
      <c r="O91" s="27"/>
      <c r="P91" s="27"/>
      <c r="Q91" s="103">
        <f t="shared" si="8"/>
        <v>0</v>
      </c>
      <c r="R91" s="39" t="e">
        <f t="shared" si="9"/>
        <v>#DIV/0!</v>
      </c>
      <c r="S91" s="35"/>
      <c r="T91" s="40"/>
    </row>
    <row r="92" spans="1:20" s="3" customFormat="1" ht="24.95" customHeight="1">
      <c r="A92" s="3" t="s">
        <v>562</v>
      </c>
      <c r="B92" s="51" t="s">
        <v>734</v>
      </c>
      <c r="D92" s="26" t="s">
        <v>221</v>
      </c>
      <c r="E92" s="27"/>
      <c r="F92" s="27"/>
      <c r="G92" s="27"/>
      <c r="H92" s="27"/>
      <c r="I92" s="27"/>
      <c r="J92" s="27"/>
      <c r="K92" s="27"/>
      <c r="L92" s="27"/>
      <c r="M92" s="27"/>
      <c r="N92" s="27"/>
      <c r="O92" s="27"/>
      <c r="P92" s="27"/>
      <c r="Q92" s="103">
        <f t="shared" si="8"/>
        <v>0</v>
      </c>
      <c r="R92" s="39" t="e">
        <f t="shared" si="9"/>
        <v>#DIV/0!</v>
      </c>
      <c r="S92" s="35"/>
      <c r="T92" s="40"/>
    </row>
    <row r="93" spans="1:20" s="3" customFormat="1" ht="24.95" hidden="1" customHeight="1">
      <c r="A93" s="3" t="s">
        <v>564</v>
      </c>
      <c r="B93" s="51" t="s">
        <v>734</v>
      </c>
      <c r="D93" s="26" t="s">
        <v>223</v>
      </c>
      <c r="E93" s="27"/>
      <c r="F93" s="27"/>
      <c r="G93" s="27"/>
      <c r="H93" s="27"/>
      <c r="I93" s="27"/>
      <c r="J93" s="27"/>
      <c r="K93" s="27"/>
      <c r="L93" s="27"/>
      <c r="M93" s="27"/>
      <c r="N93" s="27"/>
      <c r="O93" s="27"/>
      <c r="P93" s="27"/>
      <c r="Q93" s="103">
        <f t="shared" si="8"/>
        <v>0</v>
      </c>
      <c r="R93" s="39" t="e">
        <f t="shared" si="9"/>
        <v>#DIV/0!</v>
      </c>
      <c r="S93" s="35"/>
      <c r="T93" s="40">
        <f t="shared" si="10"/>
        <v>0</v>
      </c>
    </row>
    <row r="94" spans="1:20" s="3" customFormat="1" ht="24.95" hidden="1" customHeight="1">
      <c r="A94" s="3" t="s">
        <v>566</v>
      </c>
      <c r="B94" s="51" t="s">
        <v>734</v>
      </c>
      <c r="D94" s="26" t="s">
        <v>225</v>
      </c>
      <c r="E94" s="27"/>
      <c r="F94" s="27"/>
      <c r="G94" s="27"/>
      <c r="H94" s="27"/>
      <c r="I94" s="27"/>
      <c r="J94" s="27"/>
      <c r="K94" s="27"/>
      <c r="L94" s="27"/>
      <c r="M94" s="27"/>
      <c r="N94" s="27"/>
      <c r="O94" s="27"/>
      <c r="P94" s="27"/>
      <c r="Q94" s="103">
        <f t="shared" si="8"/>
        <v>0</v>
      </c>
      <c r="R94" s="39" t="e">
        <f t="shared" si="9"/>
        <v>#DIV/0!</v>
      </c>
      <c r="S94" s="35"/>
      <c r="T94" s="40">
        <f t="shared" si="10"/>
        <v>0</v>
      </c>
    </row>
    <row r="95" spans="1:20" s="3" customFormat="1" ht="24.95" hidden="1" customHeight="1">
      <c r="A95" s="3" t="s">
        <v>568</v>
      </c>
      <c r="B95" s="51" t="s">
        <v>734</v>
      </c>
      <c r="D95" s="26" t="s">
        <v>227</v>
      </c>
      <c r="E95" s="27"/>
      <c r="F95" s="27"/>
      <c r="G95" s="27"/>
      <c r="H95" s="27"/>
      <c r="I95" s="27"/>
      <c r="J95" s="27"/>
      <c r="K95" s="27"/>
      <c r="L95" s="27"/>
      <c r="M95" s="27"/>
      <c r="N95" s="27"/>
      <c r="O95" s="27"/>
      <c r="P95" s="27"/>
      <c r="Q95" s="103">
        <f t="shared" si="8"/>
        <v>0</v>
      </c>
      <c r="R95" s="39" t="e">
        <f t="shared" si="9"/>
        <v>#DIV/0!</v>
      </c>
      <c r="S95" s="35"/>
      <c r="T95" s="40">
        <f t="shared" si="10"/>
        <v>0</v>
      </c>
    </row>
    <row r="96" spans="1:20" s="3" customFormat="1" ht="24.95" hidden="1" customHeight="1">
      <c r="A96" s="3" t="s">
        <v>570</v>
      </c>
      <c r="B96" s="51" t="s">
        <v>734</v>
      </c>
      <c r="D96" s="26" t="s">
        <v>229</v>
      </c>
      <c r="E96" s="27"/>
      <c r="F96" s="27"/>
      <c r="G96" s="27"/>
      <c r="H96" s="27"/>
      <c r="I96" s="27"/>
      <c r="J96" s="27"/>
      <c r="K96" s="27"/>
      <c r="L96" s="27"/>
      <c r="M96" s="27"/>
      <c r="N96" s="27"/>
      <c r="O96" s="27"/>
      <c r="P96" s="27"/>
      <c r="Q96" s="103">
        <f t="shared" si="8"/>
        <v>0</v>
      </c>
      <c r="R96" s="39" t="e">
        <f t="shared" si="9"/>
        <v>#DIV/0!</v>
      </c>
      <c r="S96" s="35"/>
      <c r="T96" s="40">
        <f t="shared" si="10"/>
        <v>0</v>
      </c>
    </row>
    <row r="97" spans="1:20" s="3" customFormat="1" ht="24.95" hidden="1" customHeight="1">
      <c r="A97" s="271" t="s">
        <v>572</v>
      </c>
      <c r="B97" s="51" t="s">
        <v>734</v>
      </c>
      <c r="D97" s="26" t="s">
        <v>231</v>
      </c>
      <c r="E97" s="27"/>
      <c r="F97" s="27"/>
      <c r="G97" s="27"/>
      <c r="H97" s="27"/>
      <c r="I97" s="27"/>
      <c r="J97" s="27"/>
      <c r="K97" s="27"/>
      <c r="L97" s="27"/>
      <c r="M97" s="27"/>
      <c r="N97" s="27"/>
      <c r="O97" s="27"/>
      <c r="P97" s="27"/>
      <c r="Q97" s="103">
        <f t="shared" si="8"/>
        <v>0</v>
      </c>
      <c r="R97" s="39" t="e">
        <f t="shared" si="9"/>
        <v>#DIV/0!</v>
      </c>
      <c r="S97" s="35"/>
      <c r="T97" s="40">
        <f t="shared" si="10"/>
        <v>0</v>
      </c>
    </row>
    <row r="98" spans="1:20" s="3" customFormat="1" ht="24.95" hidden="1" customHeight="1">
      <c r="A98" s="271" t="s">
        <v>574</v>
      </c>
      <c r="B98" s="51" t="s">
        <v>734</v>
      </c>
      <c r="D98" s="26" t="s">
        <v>233</v>
      </c>
      <c r="E98" s="27"/>
      <c r="F98" s="27"/>
      <c r="G98" s="27"/>
      <c r="H98" s="27"/>
      <c r="I98" s="27"/>
      <c r="J98" s="27"/>
      <c r="K98" s="27"/>
      <c r="L98" s="27"/>
      <c r="M98" s="27"/>
      <c r="N98" s="27"/>
      <c r="O98" s="27"/>
      <c r="P98" s="27"/>
      <c r="Q98" s="103">
        <f t="shared" si="8"/>
        <v>0</v>
      </c>
      <c r="R98" s="39" t="e">
        <f t="shared" si="9"/>
        <v>#DIV/0!</v>
      </c>
      <c r="S98" s="35"/>
      <c r="T98" s="40">
        <f t="shared" si="10"/>
        <v>0</v>
      </c>
    </row>
    <row r="99" spans="1:20" s="3" customFormat="1" ht="24.95" hidden="1" customHeight="1">
      <c r="A99" s="271" t="s">
        <v>434</v>
      </c>
      <c r="B99" s="51" t="s">
        <v>734</v>
      </c>
      <c r="D99" s="26" t="s">
        <v>435</v>
      </c>
      <c r="E99" s="27"/>
      <c r="F99" s="27"/>
      <c r="G99" s="27"/>
      <c r="H99" s="27"/>
      <c r="I99" s="27"/>
      <c r="J99" s="27"/>
      <c r="K99" s="27"/>
      <c r="L99" s="27"/>
      <c r="M99" s="27"/>
      <c r="N99" s="27"/>
      <c r="O99" s="27"/>
      <c r="P99" s="27"/>
      <c r="Q99" s="103">
        <f t="shared" si="8"/>
        <v>0</v>
      </c>
      <c r="R99" s="39" t="e">
        <f t="shared" si="9"/>
        <v>#DIV/0!</v>
      </c>
      <c r="S99" s="35"/>
      <c r="T99" s="40">
        <f t="shared" si="10"/>
        <v>0</v>
      </c>
    </row>
    <row r="100" spans="1:20" ht="26.25" hidden="1" customHeight="1">
      <c r="A100" s="5" t="s">
        <v>576</v>
      </c>
      <c r="B100" s="5" t="s">
        <v>734</v>
      </c>
      <c r="D100" s="26" t="s">
        <v>235</v>
      </c>
      <c r="E100" s="27"/>
      <c r="F100" s="27"/>
      <c r="G100" s="27"/>
      <c r="H100" s="27"/>
      <c r="I100" s="27"/>
      <c r="J100" s="27"/>
      <c r="K100" s="27"/>
      <c r="L100" s="27"/>
      <c r="M100" s="27"/>
      <c r="N100" s="27"/>
      <c r="O100" s="27"/>
      <c r="P100" s="27"/>
      <c r="Q100" s="103">
        <f t="shared" si="8"/>
        <v>0</v>
      </c>
      <c r="R100" s="39" t="e">
        <f t="shared" si="9"/>
        <v>#DIV/0!</v>
      </c>
      <c r="S100" s="35"/>
      <c r="T100" s="40">
        <f t="shared" si="10"/>
        <v>0</v>
      </c>
    </row>
    <row r="101" spans="1:20" ht="26.25" hidden="1" customHeight="1">
      <c r="A101" s="5" t="s">
        <v>578</v>
      </c>
      <c r="B101" s="5" t="s">
        <v>734</v>
      </c>
      <c r="D101" s="26" t="s">
        <v>237</v>
      </c>
      <c r="E101" s="27"/>
      <c r="F101" s="27"/>
      <c r="G101" s="27"/>
      <c r="H101" s="27"/>
      <c r="I101" s="27"/>
      <c r="J101" s="27"/>
      <c r="K101" s="27"/>
      <c r="L101" s="27"/>
      <c r="M101" s="27"/>
      <c r="N101" s="27"/>
      <c r="O101" s="27"/>
      <c r="P101" s="27"/>
      <c r="Q101" s="103">
        <f t="shared" si="8"/>
        <v>0</v>
      </c>
      <c r="R101" s="39" t="e">
        <f t="shared" si="9"/>
        <v>#DIV/0!</v>
      </c>
      <c r="S101" s="35"/>
      <c r="T101" s="40">
        <f t="shared" si="10"/>
        <v>0</v>
      </c>
    </row>
    <row r="102" spans="1:20" ht="26.25" hidden="1" customHeight="1">
      <c r="A102" s="5" t="s">
        <v>580</v>
      </c>
      <c r="B102" s="5" t="s">
        <v>734</v>
      </c>
      <c r="D102" s="26" t="s">
        <v>239</v>
      </c>
      <c r="E102" s="27"/>
      <c r="F102" s="27"/>
      <c r="G102" s="27"/>
      <c r="H102" s="27"/>
      <c r="I102" s="27"/>
      <c r="J102" s="27"/>
      <c r="K102" s="27"/>
      <c r="L102" s="27"/>
      <c r="M102" s="27"/>
      <c r="N102" s="27"/>
      <c r="O102" s="27"/>
      <c r="P102" s="27"/>
      <c r="Q102" s="103">
        <f t="shared" si="8"/>
        <v>0</v>
      </c>
      <c r="R102" s="39" t="e">
        <f t="shared" si="9"/>
        <v>#DIV/0!</v>
      </c>
      <c r="S102" s="35"/>
      <c r="T102" s="40">
        <f t="shared" si="10"/>
        <v>0</v>
      </c>
    </row>
    <row r="103" spans="1:20" ht="26.25" hidden="1" customHeight="1">
      <c r="A103" s="5" t="s">
        <v>582</v>
      </c>
      <c r="B103" s="5" t="s">
        <v>734</v>
      </c>
      <c r="D103" s="26" t="s">
        <v>241</v>
      </c>
      <c r="E103" s="27"/>
      <c r="F103" s="27"/>
      <c r="G103" s="27"/>
      <c r="H103" s="27"/>
      <c r="I103" s="27"/>
      <c r="J103" s="27"/>
      <c r="K103" s="27"/>
      <c r="L103" s="27"/>
      <c r="M103" s="27"/>
      <c r="N103" s="27"/>
      <c r="O103" s="27"/>
      <c r="P103" s="27"/>
      <c r="Q103" s="103">
        <f t="shared" si="8"/>
        <v>0</v>
      </c>
      <c r="R103" s="39" t="e">
        <f t="shared" si="9"/>
        <v>#DIV/0!</v>
      </c>
      <c r="S103" s="35"/>
      <c r="T103" s="40">
        <f t="shared" si="10"/>
        <v>0</v>
      </c>
    </row>
    <row r="104" spans="1:20" ht="26.25" hidden="1" customHeight="1">
      <c r="A104" s="5" t="s">
        <v>584</v>
      </c>
      <c r="B104" s="5" t="s">
        <v>734</v>
      </c>
      <c r="D104" s="26" t="s">
        <v>243</v>
      </c>
      <c r="E104" s="27"/>
      <c r="F104" s="27"/>
      <c r="G104" s="27"/>
      <c r="H104" s="27"/>
      <c r="I104" s="27"/>
      <c r="J104" s="27"/>
      <c r="K104" s="27"/>
      <c r="L104" s="27"/>
      <c r="M104" s="27"/>
      <c r="N104" s="27"/>
      <c r="O104" s="27"/>
      <c r="P104" s="27"/>
      <c r="Q104" s="103">
        <f t="shared" si="8"/>
        <v>0</v>
      </c>
      <c r="R104" s="39" t="e">
        <f t="shared" si="9"/>
        <v>#DIV/0!</v>
      </c>
      <c r="S104" s="35"/>
      <c r="T104" s="40">
        <f t="shared" si="10"/>
        <v>0</v>
      </c>
    </row>
    <row r="105" spans="1:20" ht="26.25" hidden="1" customHeight="1">
      <c r="A105" s="5" t="s">
        <v>586</v>
      </c>
      <c r="B105" s="5" t="s">
        <v>734</v>
      </c>
      <c r="D105" s="26" t="s">
        <v>245</v>
      </c>
      <c r="E105" s="27"/>
      <c r="F105" s="27"/>
      <c r="G105" s="27"/>
      <c r="H105" s="27"/>
      <c r="I105" s="27"/>
      <c r="J105" s="27"/>
      <c r="K105" s="27"/>
      <c r="L105" s="27"/>
      <c r="M105" s="27"/>
      <c r="N105" s="27"/>
      <c r="O105" s="27"/>
      <c r="P105" s="27"/>
      <c r="Q105" s="103">
        <f t="shared" si="8"/>
        <v>0</v>
      </c>
      <c r="R105" s="39" t="e">
        <f t="shared" si="9"/>
        <v>#DIV/0!</v>
      </c>
      <c r="S105" s="35"/>
      <c r="T105" s="40">
        <f t="shared" si="10"/>
        <v>0</v>
      </c>
    </row>
    <row r="106" spans="1:20" ht="26.25" hidden="1" customHeight="1">
      <c r="A106" s="5" t="s">
        <v>588</v>
      </c>
      <c r="B106" s="5" t="s">
        <v>734</v>
      </c>
      <c r="D106" s="26" t="s">
        <v>247</v>
      </c>
      <c r="E106" s="27"/>
      <c r="F106" s="27"/>
      <c r="G106" s="27"/>
      <c r="H106" s="27"/>
      <c r="I106" s="27"/>
      <c r="J106" s="27"/>
      <c r="K106" s="27"/>
      <c r="L106" s="27"/>
      <c r="M106" s="27"/>
      <c r="N106" s="27"/>
      <c r="O106" s="27"/>
      <c r="P106" s="27"/>
      <c r="Q106" s="103">
        <f t="shared" si="8"/>
        <v>0</v>
      </c>
      <c r="R106" s="39" t="e">
        <f t="shared" si="9"/>
        <v>#DIV/0!</v>
      </c>
      <c r="S106" s="35"/>
      <c r="T106" s="40">
        <f t="shared" si="10"/>
        <v>0</v>
      </c>
    </row>
    <row r="107" spans="1:20" ht="26.25" customHeight="1">
      <c r="A107" s="5" t="s">
        <v>590</v>
      </c>
      <c r="B107" s="5" t="s">
        <v>734</v>
      </c>
      <c r="D107" s="26" t="s">
        <v>249</v>
      </c>
      <c r="E107" s="97"/>
      <c r="F107" s="97"/>
      <c r="G107" s="97"/>
      <c r="H107" s="97"/>
      <c r="I107" s="97"/>
      <c r="J107" s="97"/>
      <c r="K107" s="97"/>
      <c r="L107" s="97"/>
      <c r="M107" s="97"/>
      <c r="N107" s="97"/>
      <c r="O107" s="97"/>
      <c r="P107" s="97"/>
      <c r="Q107" s="103">
        <f t="shared" si="8"/>
        <v>0</v>
      </c>
      <c r="R107" s="39" t="e">
        <f t="shared" si="9"/>
        <v>#DIV/0!</v>
      </c>
      <c r="S107" s="35"/>
      <c r="T107" s="40">
        <f t="shared" si="10"/>
        <v>0</v>
      </c>
    </row>
    <row r="108" spans="1:20" ht="26.25" customHeight="1">
      <c r="A108" s="5" t="s">
        <v>592</v>
      </c>
      <c r="B108" s="5" t="s">
        <v>734</v>
      </c>
      <c r="D108" s="26" t="s">
        <v>251</v>
      </c>
      <c r="E108" s="97">
        <f>Laundry!E254+Laundry!E269</f>
        <v>0</v>
      </c>
      <c r="F108" s="97">
        <f>Laundry!F254+Laundry!F269</f>
        <v>0</v>
      </c>
      <c r="G108" s="97">
        <f>Laundry!G254+Laundry!G269</f>
        <v>0</v>
      </c>
      <c r="H108" s="97">
        <f>Laundry!H254+Laundry!H269</f>
        <v>0</v>
      </c>
      <c r="I108" s="97">
        <f>Laundry!I254+Laundry!I269</f>
        <v>0</v>
      </c>
      <c r="J108" s="97">
        <f>Laundry!J254+Laundry!J269</f>
        <v>0</v>
      </c>
      <c r="K108" s="97">
        <f>Laundry!K254+Laundry!K269</f>
        <v>0</v>
      </c>
      <c r="L108" s="97">
        <f>Laundry!L254+Laundry!L269</f>
        <v>0</v>
      </c>
      <c r="M108" s="97">
        <f>Laundry!M254+Laundry!M269</f>
        <v>0</v>
      </c>
      <c r="N108" s="97">
        <f>Laundry!N254+Laundry!N269</f>
        <v>0</v>
      </c>
      <c r="O108" s="97">
        <f>Laundry!O254+Laundry!O269</f>
        <v>0</v>
      </c>
      <c r="P108" s="97">
        <f>Laundry!P254+Laundry!P269</f>
        <v>0</v>
      </c>
      <c r="Q108" s="103">
        <f t="shared" si="8"/>
        <v>0</v>
      </c>
      <c r="R108" s="39" t="e">
        <f t="shared" si="9"/>
        <v>#DIV/0!</v>
      </c>
      <c r="S108" s="35"/>
      <c r="T108" s="40">
        <f t="shared" si="10"/>
        <v>0</v>
      </c>
    </row>
    <row r="109" spans="1:20" ht="26.25" hidden="1" customHeight="1">
      <c r="A109" s="5" t="s">
        <v>594</v>
      </c>
      <c r="B109" s="5" t="s">
        <v>734</v>
      </c>
      <c r="D109" s="26" t="s">
        <v>253</v>
      </c>
      <c r="E109" s="27">
        <v>0</v>
      </c>
      <c r="F109" s="27">
        <v>0</v>
      </c>
      <c r="G109" s="27">
        <v>0</v>
      </c>
      <c r="H109" s="27">
        <v>0</v>
      </c>
      <c r="I109" s="27">
        <v>0</v>
      </c>
      <c r="J109" s="27">
        <v>0</v>
      </c>
      <c r="K109" s="27">
        <v>0</v>
      </c>
      <c r="L109" s="27">
        <v>0</v>
      </c>
      <c r="M109" s="27">
        <v>0</v>
      </c>
      <c r="N109" s="27">
        <v>0</v>
      </c>
      <c r="O109" s="27">
        <v>0</v>
      </c>
      <c r="P109" s="27">
        <v>0</v>
      </c>
      <c r="Q109" s="103">
        <f t="shared" si="8"/>
        <v>0</v>
      </c>
      <c r="R109" s="39" t="e">
        <f t="shared" si="9"/>
        <v>#DIV/0!</v>
      </c>
      <c r="S109" s="35"/>
      <c r="T109" s="40">
        <f t="shared" si="10"/>
        <v>0</v>
      </c>
    </row>
    <row r="110" spans="1:20" ht="26.25" customHeight="1">
      <c r="A110" s="5" t="s">
        <v>596</v>
      </c>
      <c r="B110" s="5" t="s">
        <v>734</v>
      </c>
      <c r="D110" s="26" t="s">
        <v>255</v>
      </c>
      <c r="E110" s="97"/>
      <c r="F110" s="97"/>
      <c r="G110" s="97"/>
      <c r="H110" s="97"/>
      <c r="I110" s="97"/>
      <c r="J110" s="97"/>
      <c r="K110" s="97"/>
      <c r="L110" s="97"/>
      <c r="M110" s="97"/>
      <c r="N110" s="97"/>
      <c r="O110" s="97"/>
      <c r="P110" s="97"/>
      <c r="Q110" s="103">
        <f t="shared" si="8"/>
        <v>0</v>
      </c>
      <c r="R110" s="39" t="e">
        <f t="shared" si="9"/>
        <v>#DIV/0!</v>
      </c>
      <c r="S110" s="35"/>
      <c r="T110" s="40">
        <f t="shared" si="10"/>
        <v>0</v>
      </c>
    </row>
    <row r="111" spans="1:20" ht="26.25" hidden="1" customHeight="1">
      <c r="A111" s="5" t="s">
        <v>598</v>
      </c>
      <c r="B111" s="5" t="s">
        <v>734</v>
      </c>
      <c r="D111" s="26" t="s">
        <v>257</v>
      </c>
      <c r="E111" s="27"/>
      <c r="F111" s="27"/>
      <c r="G111" s="27"/>
      <c r="H111" s="27"/>
      <c r="I111" s="27"/>
      <c r="J111" s="27"/>
      <c r="K111" s="27"/>
      <c r="L111" s="27"/>
      <c r="M111" s="27"/>
      <c r="N111" s="27"/>
      <c r="O111" s="27"/>
      <c r="P111" s="27"/>
      <c r="Q111" s="103">
        <f t="shared" si="8"/>
        <v>0</v>
      </c>
      <c r="R111" s="39" t="e">
        <f t="shared" si="9"/>
        <v>#DIV/0!</v>
      </c>
      <c r="S111" s="35"/>
      <c r="T111" s="40">
        <f t="shared" si="10"/>
        <v>0</v>
      </c>
    </row>
    <row r="112" spans="1:20" ht="26.25" customHeight="1">
      <c r="A112" s="5" t="s">
        <v>600</v>
      </c>
      <c r="B112" s="5" t="s">
        <v>734</v>
      </c>
      <c r="D112" s="26" t="s">
        <v>259</v>
      </c>
      <c r="E112" s="27"/>
      <c r="F112" s="27"/>
      <c r="G112" s="27"/>
      <c r="H112" s="27"/>
      <c r="I112" s="27"/>
      <c r="J112" s="27"/>
      <c r="K112" s="27"/>
      <c r="L112" s="27"/>
      <c r="M112" s="27"/>
      <c r="N112" s="27"/>
      <c r="O112" s="27"/>
      <c r="P112" s="27"/>
      <c r="Q112" s="103">
        <f t="shared" si="8"/>
        <v>0</v>
      </c>
      <c r="R112" s="39" t="e">
        <f t="shared" si="9"/>
        <v>#DIV/0!</v>
      </c>
      <c r="S112" s="35"/>
      <c r="T112" s="40">
        <f t="shared" si="10"/>
        <v>0</v>
      </c>
    </row>
    <row r="113" spans="1:20" ht="26.25" hidden="1" customHeight="1">
      <c r="A113" s="5" t="s">
        <v>602</v>
      </c>
      <c r="B113" s="5" t="s">
        <v>734</v>
      </c>
      <c r="D113" s="26" t="s">
        <v>261</v>
      </c>
      <c r="E113" s="27"/>
      <c r="F113" s="27"/>
      <c r="G113" s="27"/>
      <c r="H113" s="27"/>
      <c r="I113" s="27"/>
      <c r="J113" s="27"/>
      <c r="K113" s="27"/>
      <c r="L113" s="27"/>
      <c r="M113" s="27"/>
      <c r="N113" s="27"/>
      <c r="O113" s="27"/>
      <c r="P113" s="27"/>
      <c r="Q113" s="103">
        <f t="shared" si="8"/>
        <v>0</v>
      </c>
      <c r="R113" s="39" t="e">
        <f t="shared" si="9"/>
        <v>#DIV/0!</v>
      </c>
      <c r="S113" s="35"/>
      <c r="T113" s="40">
        <f t="shared" si="10"/>
        <v>0</v>
      </c>
    </row>
    <row r="114" spans="1:20" ht="26.25" hidden="1" customHeight="1">
      <c r="A114" s="5" t="s">
        <v>604</v>
      </c>
      <c r="B114" s="5" t="s">
        <v>734</v>
      </c>
      <c r="D114" s="26" t="s">
        <v>263</v>
      </c>
      <c r="E114" s="27"/>
      <c r="F114" s="27"/>
      <c r="G114" s="27"/>
      <c r="H114" s="27"/>
      <c r="I114" s="27"/>
      <c r="J114" s="27"/>
      <c r="K114" s="27"/>
      <c r="L114" s="27"/>
      <c r="M114" s="27"/>
      <c r="N114" s="27"/>
      <c r="O114" s="27"/>
      <c r="P114" s="27"/>
      <c r="Q114" s="103">
        <f t="shared" si="8"/>
        <v>0</v>
      </c>
      <c r="R114" s="39" t="e">
        <f t="shared" si="9"/>
        <v>#DIV/0!</v>
      </c>
      <c r="S114" s="35"/>
      <c r="T114" s="40">
        <f t="shared" si="10"/>
        <v>0</v>
      </c>
    </row>
    <row r="115" spans="1:20" ht="26.25" hidden="1" customHeight="1">
      <c r="A115" s="5" t="s">
        <v>606</v>
      </c>
      <c r="B115" s="5" t="s">
        <v>734</v>
      </c>
      <c r="D115" s="26" t="s">
        <v>265</v>
      </c>
      <c r="E115" s="27"/>
      <c r="F115" s="27"/>
      <c r="G115" s="27"/>
      <c r="H115" s="27"/>
      <c r="I115" s="27"/>
      <c r="J115" s="27"/>
      <c r="K115" s="27"/>
      <c r="L115" s="27"/>
      <c r="M115" s="27"/>
      <c r="N115" s="27"/>
      <c r="O115" s="27"/>
      <c r="P115" s="27"/>
      <c r="Q115" s="103">
        <f t="shared" si="8"/>
        <v>0</v>
      </c>
      <c r="R115" s="39" t="e">
        <f t="shared" si="9"/>
        <v>#DIV/0!</v>
      </c>
      <c r="S115" s="35"/>
      <c r="T115" s="40">
        <f t="shared" si="10"/>
        <v>0</v>
      </c>
    </row>
    <row r="116" spans="1:20" ht="26.25" hidden="1" customHeight="1">
      <c r="A116" s="5" t="s">
        <v>608</v>
      </c>
      <c r="B116" s="5" t="s">
        <v>734</v>
      </c>
      <c r="D116" s="26" t="s">
        <v>267</v>
      </c>
      <c r="E116" s="27"/>
      <c r="F116" s="27"/>
      <c r="G116" s="27"/>
      <c r="H116" s="27"/>
      <c r="I116" s="27"/>
      <c r="J116" s="27"/>
      <c r="K116" s="27"/>
      <c r="L116" s="27"/>
      <c r="M116" s="27"/>
      <c r="N116" s="27"/>
      <c r="O116" s="27"/>
      <c r="P116" s="27"/>
      <c r="Q116" s="103">
        <f t="shared" si="8"/>
        <v>0</v>
      </c>
      <c r="R116" s="39" t="e">
        <f t="shared" si="9"/>
        <v>#DIV/0!</v>
      </c>
      <c r="S116" s="35"/>
      <c r="T116" s="40">
        <f t="shared" si="10"/>
        <v>0</v>
      </c>
    </row>
    <row r="117" spans="1:20" ht="26.25" hidden="1" customHeight="1">
      <c r="A117" s="5" t="s">
        <v>268</v>
      </c>
      <c r="B117" s="5" t="s">
        <v>734</v>
      </c>
      <c r="D117" s="26" t="s">
        <v>269</v>
      </c>
      <c r="E117" s="27"/>
      <c r="F117" s="27"/>
      <c r="G117" s="27"/>
      <c r="H117" s="27"/>
      <c r="I117" s="27"/>
      <c r="J117" s="27"/>
      <c r="K117" s="27"/>
      <c r="L117" s="27"/>
      <c r="M117" s="27"/>
      <c r="N117" s="27"/>
      <c r="O117" s="27"/>
      <c r="P117" s="27"/>
      <c r="Q117" s="103">
        <f>SUM(E117:P117)</f>
        <v>0</v>
      </c>
      <c r="R117" s="39" t="e">
        <f t="shared" si="9"/>
        <v>#DIV/0!</v>
      </c>
      <c r="S117" s="35"/>
      <c r="T117" s="40">
        <f t="shared" si="10"/>
        <v>0</v>
      </c>
    </row>
    <row r="118" spans="1:20" ht="26.25" hidden="1" customHeight="1">
      <c r="A118" s="5" t="s">
        <v>270</v>
      </c>
      <c r="B118" s="5" t="s">
        <v>734</v>
      </c>
      <c r="D118" s="26" t="s">
        <v>271</v>
      </c>
      <c r="E118" s="27"/>
      <c r="F118" s="27"/>
      <c r="G118" s="27"/>
      <c r="H118" s="27"/>
      <c r="I118" s="27"/>
      <c r="J118" s="27"/>
      <c r="K118" s="27"/>
      <c r="L118" s="27"/>
      <c r="M118" s="27"/>
      <c r="N118" s="27"/>
      <c r="O118" s="27"/>
      <c r="P118" s="27"/>
      <c r="Q118" s="103">
        <f>SUM(E118:P118)</f>
        <v>0</v>
      </c>
      <c r="R118" s="39" t="e">
        <f t="shared" si="9"/>
        <v>#DIV/0!</v>
      </c>
      <c r="S118" s="35"/>
      <c r="T118" s="40">
        <f t="shared" si="10"/>
        <v>0</v>
      </c>
    </row>
    <row r="119" spans="1:20" ht="26.25" customHeight="1">
      <c r="A119" s="5" t="s">
        <v>611</v>
      </c>
      <c r="B119" s="5" t="s">
        <v>734</v>
      </c>
      <c r="D119" s="26" t="s">
        <v>273</v>
      </c>
      <c r="E119" s="97"/>
      <c r="F119" s="97"/>
      <c r="G119" s="97"/>
      <c r="H119" s="97"/>
      <c r="I119" s="97"/>
      <c r="J119" s="97"/>
      <c r="K119" s="97"/>
      <c r="L119" s="97"/>
      <c r="M119" s="97"/>
      <c r="N119" s="97"/>
      <c r="O119" s="97"/>
      <c r="P119" s="97"/>
      <c r="Q119" s="103">
        <f>SUM(E119:P119)</f>
        <v>0</v>
      </c>
      <c r="R119" s="39" t="e">
        <f t="shared" si="9"/>
        <v>#DIV/0!</v>
      </c>
      <c r="S119" s="35"/>
      <c r="T119" s="40">
        <f t="shared" si="10"/>
        <v>0</v>
      </c>
    </row>
    <row r="120" spans="1:20" ht="26.25" customHeight="1">
      <c r="D120" s="21" t="s">
        <v>774</v>
      </c>
      <c r="E120" s="98">
        <f>SUM(E52:E119)</f>
        <v>0</v>
      </c>
      <c r="F120" s="98">
        <f t="shared" ref="F120:Q120" si="11">SUM(F52:F119)</f>
        <v>0</v>
      </c>
      <c r="G120" s="98">
        <f t="shared" si="11"/>
        <v>0</v>
      </c>
      <c r="H120" s="98">
        <f t="shared" si="11"/>
        <v>0</v>
      </c>
      <c r="I120" s="98">
        <f t="shared" si="11"/>
        <v>0</v>
      </c>
      <c r="J120" s="98">
        <f t="shared" si="11"/>
        <v>0</v>
      </c>
      <c r="K120" s="98">
        <f t="shared" si="11"/>
        <v>0</v>
      </c>
      <c r="L120" s="98">
        <f t="shared" si="11"/>
        <v>0</v>
      </c>
      <c r="M120" s="98">
        <f t="shared" si="11"/>
        <v>0</v>
      </c>
      <c r="N120" s="98">
        <f t="shared" si="11"/>
        <v>0</v>
      </c>
      <c r="O120" s="98">
        <f t="shared" si="11"/>
        <v>0</v>
      </c>
      <c r="P120" s="98">
        <f t="shared" si="11"/>
        <v>0</v>
      </c>
      <c r="Q120" s="98">
        <f t="shared" si="11"/>
        <v>0</v>
      </c>
      <c r="R120" s="39" t="e">
        <f t="shared" si="9"/>
        <v>#DIV/0!</v>
      </c>
      <c r="S120" s="35"/>
      <c r="T120" s="40">
        <f t="shared" si="10"/>
        <v>0</v>
      </c>
    </row>
    <row r="121" spans="1:20" ht="26.25" customHeight="1">
      <c r="D121" s="21" t="s">
        <v>775</v>
      </c>
      <c r="E121" s="98">
        <f>E28-E47-E49-E120</f>
        <v>0</v>
      </c>
      <c r="F121" s="98">
        <f t="shared" ref="F121:Q121" si="12">F28-F47-F49-F120</f>
        <v>0</v>
      </c>
      <c r="G121" s="98">
        <f t="shared" si="12"/>
        <v>0</v>
      </c>
      <c r="H121" s="98">
        <f t="shared" si="12"/>
        <v>0</v>
      </c>
      <c r="I121" s="98">
        <f t="shared" si="12"/>
        <v>0</v>
      </c>
      <c r="J121" s="98">
        <f t="shared" si="12"/>
        <v>0</v>
      </c>
      <c r="K121" s="98">
        <f t="shared" si="12"/>
        <v>0</v>
      </c>
      <c r="L121" s="98">
        <f t="shared" si="12"/>
        <v>0</v>
      </c>
      <c r="M121" s="98">
        <f t="shared" si="12"/>
        <v>0</v>
      </c>
      <c r="N121" s="98">
        <f t="shared" si="12"/>
        <v>0</v>
      </c>
      <c r="O121" s="98">
        <f t="shared" si="12"/>
        <v>0</v>
      </c>
      <c r="P121" s="98">
        <f t="shared" si="12"/>
        <v>0</v>
      </c>
      <c r="Q121" s="98">
        <f t="shared" si="12"/>
        <v>0</v>
      </c>
      <c r="R121" s="39" t="e">
        <f>Q121/$Q$28</f>
        <v>#DIV/0!</v>
      </c>
      <c r="S121" s="35"/>
      <c r="T121" s="40">
        <f t="shared" ref="T121:T123" si="13">IF(Q121-S121=0,0,(Q121-S121)/S121)</f>
        <v>0</v>
      </c>
    </row>
    <row r="122" spans="1:20" ht="26.25" customHeight="1">
      <c r="A122" s="5" t="s">
        <v>776</v>
      </c>
      <c r="B122" s="5" t="s">
        <v>734</v>
      </c>
      <c r="D122" s="21" t="s">
        <v>351</v>
      </c>
      <c r="E122" s="97"/>
      <c r="F122" s="97"/>
      <c r="G122" s="97"/>
      <c r="H122" s="97"/>
      <c r="I122" s="97"/>
      <c r="J122" s="97"/>
      <c r="K122" s="97"/>
      <c r="L122" s="97"/>
      <c r="M122" s="97"/>
      <c r="N122" s="97"/>
      <c r="O122" s="97"/>
      <c r="P122" s="97"/>
      <c r="Q122" s="97"/>
      <c r="S122" s="35"/>
      <c r="T122" s="40"/>
    </row>
    <row r="123" spans="1:20" ht="26.25" customHeight="1">
      <c r="E123" s="105" t="e">
        <f>E121/E28</f>
        <v>#DIV/0!</v>
      </c>
      <c r="F123" s="105" t="e">
        <f t="shared" ref="F123:Q123" si="14">F121/F28</f>
        <v>#DIV/0!</v>
      </c>
      <c r="G123" s="105" t="e">
        <f t="shared" si="14"/>
        <v>#DIV/0!</v>
      </c>
      <c r="H123" s="105" t="e">
        <f t="shared" si="14"/>
        <v>#DIV/0!</v>
      </c>
      <c r="I123" s="105" t="e">
        <f t="shared" si="14"/>
        <v>#DIV/0!</v>
      </c>
      <c r="J123" s="105" t="e">
        <f t="shared" si="14"/>
        <v>#DIV/0!</v>
      </c>
      <c r="K123" s="105" t="e">
        <f t="shared" si="14"/>
        <v>#DIV/0!</v>
      </c>
      <c r="L123" s="105" t="e">
        <f t="shared" si="14"/>
        <v>#DIV/0!</v>
      </c>
      <c r="M123" s="105" t="e">
        <f t="shared" si="14"/>
        <v>#DIV/0!</v>
      </c>
      <c r="N123" s="105" t="e">
        <f t="shared" si="14"/>
        <v>#DIV/0!</v>
      </c>
      <c r="O123" s="105" t="e">
        <f t="shared" si="14"/>
        <v>#DIV/0!</v>
      </c>
      <c r="P123" s="105" t="e">
        <f t="shared" si="14"/>
        <v>#DIV/0!</v>
      </c>
      <c r="Q123" s="105" t="e">
        <f t="shared" si="14"/>
        <v>#DIV/0!</v>
      </c>
      <c r="S123" s="115"/>
      <c r="T123" s="40" t="e">
        <f t="shared" si="13"/>
        <v>#DIV/0!</v>
      </c>
    </row>
    <row r="124" spans="1:20" ht="26.25" customHeight="1">
      <c r="D124" s="21" t="s">
        <v>777</v>
      </c>
      <c r="E124" s="72"/>
      <c r="F124" s="106"/>
      <c r="G124" s="72"/>
      <c r="H124" s="107"/>
      <c r="I124" s="72"/>
      <c r="J124" s="106"/>
      <c r="K124" s="72"/>
      <c r="L124" s="109"/>
      <c r="M124" s="72"/>
      <c r="N124" s="106"/>
      <c r="O124" s="110"/>
      <c r="P124" s="110"/>
      <c r="Q124" s="110"/>
      <c r="S124" s="35"/>
      <c r="T124" s="40"/>
    </row>
    <row r="125" spans="1:20" ht="26.25" customHeight="1">
      <c r="D125" s="21" t="s">
        <v>778</v>
      </c>
      <c r="E125" s="72"/>
      <c r="F125" s="106"/>
      <c r="G125" s="72"/>
      <c r="H125" s="107"/>
      <c r="I125" s="72"/>
      <c r="J125" s="106"/>
      <c r="K125" s="72"/>
      <c r="L125" s="109"/>
      <c r="M125" s="72"/>
      <c r="N125" s="106"/>
      <c r="O125" s="110"/>
      <c r="P125" s="110"/>
      <c r="Q125" s="110"/>
      <c r="S125" s="35"/>
      <c r="T125" s="40"/>
    </row>
    <row r="126" spans="1:20" ht="26.25" customHeight="1">
      <c r="A126" s="5" t="s">
        <v>295</v>
      </c>
      <c r="B126" s="5" t="s">
        <v>734</v>
      </c>
      <c r="D126" s="26" t="s">
        <v>779</v>
      </c>
      <c r="E126" s="97">
        <f>Summary!E$923</f>
        <v>0</v>
      </c>
      <c r="F126" s="97">
        <f>Summary!F$923</f>
        <v>0</v>
      </c>
      <c r="G126" s="97">
        <f>Summary!G$923</f>
        <v>0</v>
      </c>
      <c r="H126" s="97">
        <f>Summary!H$923</f>
        <v>0</v>
      </c>
      <c r="I126" s="97">
        <f>Summary!I$923</f>
        <v>0</v>
      </c>
      <c r="J126" s="97">
        <f>Summary!J$923</f>
        <v>0</v>
      </c>
      <c r="K126" s="97">
        <f>Summary!K$923</f>
        <v>0</v>
      </c>
      <c r="L126" s="97">
        <f>Summary!L$923</f>
        <v>0</v>
      </c>
      <c r="M126" s="97">
        <f>Summary!M$923</f>
        <v>0</v>
      </c>
      <c r="N126" s="97">
        <f>Summary!N$923</f>
        <v>0</v>
      </c>
      <c r="O126" s="97">
        <f>Summary!O$923</f>
        <v>0</v>
      </c>
      <c r="P126" s="97">
        <f>Summary!P$923</f>
        <v>0</v>
      </c>
      <c r="Q126" s="103">
        <f>SUM(E126:P126)</f>
        <v>0</v>
      </c>
      <c r="R126" s="39" t="e">
        <f>Q126/$Q$28</f>
        <v>#DIV/0!</v>
      </c>
      <c r="S126" s="35"/>
      <c r="T126" s="40">
        <f>-IF(Q126-S126=0,0,(Q126-S126)/S126)</f>
        <v>0</v>
      </c>
    </row>
    <row r="127" spans="1:20" ht="26.25" customHeight="1">
      <c r="A127" s="5" t="s">
        <v>298</v>
      </c>
      <c r="B127" s="5" t="s">
        <v>734</v>
      </c>
      <c r="D127" s="26" t="s">
        <v>780</v>
      </c>
      <c r="E127" s="108">
        <f>Summary!E$924</f>
        <v>0</v>
      </c>
      <c r="F127" s="108">
        <f>Summary!F$924</f>
        <v>0</v>
      </c>
      <c r="G127" s="108">
        <f>Summary!G$924</f>
        <v>0</v>
      </c>
      <c r="H127" s="108">
        <f>Summary!H$924</f>
        <v>0</v>
      </c>
      <c r="I127" s="108">
        <f>Summary!I$924</f>
        <v>0</v>
      </c>
      <c r="J127" s="108">
        <f>Summary!J$924</f>
        <v>0</v>
      </c>
      <c r="K127" s="108">
        <f>Summary!K$924</f>
        <v>0</v>
      </c>
      <c r="L127" s="108">
        <f>Summary!L$924</f>
        <v>0</v>
      </c>
      <c r="M127" s="108">
        <f>Summary!M$924</f>
        <v>0</v>
      </c>
      <c r="N127" s="108">
        <f>Summary!N$924</f>
        <v>0</v>
      </c>
      <c r="O127" s="108">
        <f>Summary!O$924</f>
        <v>0</v>
      </c>
      <c r="P127" s="108">
        <f>Summary!P$924</f>
        <v>0</v>
      </c>
      <c r="Q127" s="103">
        <f>SUM(E127:P127)</f>
        <v>0</v>
      </c>
      <c r="R127" s="39" t="e">
        <f>Q127/$Q$28</f>
        <v>#DIV/0!</v>
      </c>
      <c r="S127" s="35"/>
      <c r="T127" s="40">
        <f t="shared" ref="T127:T157" si="15">-IF(Q127-S127=0,0,(Q127-S127)/S127)</f>
        <v>0</v>
      </c>
    </row>
    <row r="128" spans="1:20" ht="26.25" customHeight="1">
      <c r="D128" s="21" t="s">
        <v>781</v>
      </c>
      <c r="E128" s="99">
        <f>SUM(E126:E127)</f>
        <v>0</v>
      </c>
      <c r="F128" s="99">
        <f t="shared" ref="F128:Q128" si="16">SUM(F126:F127)</f>
        <v>0</v>
      </c>
      <c r="G128" s="99">
        <f t="shared" si="16"/>
        <v>0</v>
      </c>
      <c r="H128" s="99">
        <f t="shared" si="16"/>
        <v>0</v>
      </c>
      <c r="I128" s="99">
        <f t="shared" si="16"/>
        <v>0</v>
      </c>
      <c r="J128" s="99">
        <f t="shared" si="16"/>
        <v>0</v>
      </c>
      <c r="K128" s="99">
        <f t="shared" si="16"/>
        <v>0</v>
      </c>
      <c r="L128" s="99">
        <f t="shared" si="16"/>
        <v>0</v>
      </c>
      <c r="M128" s="99">
        <f t="shared" si="16"/>
        <v>0</v>
      </c>
      <c r="N128" s="99">
        <f t="shared" si="16"/>
        <v>0</v>
      </c>
      <c r="O128" s="99">
        <f t="shared" si="16"/>
        <v>0</v>
      </c>
      <c r="P128" s="99">
        <f t="shared" si="16"/>
        <v>0</v>
      </c>
      <c r="Q128" s="99">
        <f t="shared" si="16"/>
        <v>0</v>
      </c>
      <c r="R128" s="39" t="e">
        <f>Q128/$Q$28</f>
        <v>#DIV/0!</v>
      </c>
      <c r="S128" s="35"/>
      <c r="T128" s="40">
        <f t="shared" si="15"/>
        <v>0</v>
      </c>
    </row>
    <row r="129" spans="1:20" ht="26.25" customHeight="1">
      <c r="E129" s="72"/>
      <c r="F129" s="72"/>
      <c r="G129" s="72"/>
      <c r="H129" s="72"/>
      <c r="I129" s="72"/>
      <c r="J129" s="106"/>
      <c r="K129" s="72"/>
      <c r="L129" s="109"/>
      <c r="M129" s="72"/>
      <c r="N129" s="106"/>
      <c r="O129" s="110"/>
      <c r="P129" s="110"/>
      <c r="Q129" s="110"/>
      <c r="S129" s="35"/>
      <c r="T129" s="40"/>
    </row>
    <row r="130" spans="1:20" ht="26.25" customHeight="1">
      <c r="A130" s="5" t="s">
        <v>619</v>
      </c>
      <c r="B130" s="5" t="s">
        <v>734</v>
      </c>
      <c r="D130" s="26" t="s">
        <v>782</v>
      </c>
      <c r="E130" s="97">
        <f>Summary!E$925</f>
        <v>0</v>
      </c>
      <c r="F130" s="97">
        <f>Summary!F$925</f>
        <v>0</v>
      </c>
      <c r="G130" s="97">
        <f>Summary!G$925</f>
        <v>0</v>
      </c>
      <c r="H130" s="97">
        <f>Summary!H$925</f>
        <v>0</v>
      </c>
      <c r="I130" s="97">
        <f>Summary!I$925</f>
        <v>0</v>
      </c>
      <c r="J130" s="97">
        <f>Summary!J$925</f>
        <v>0</v>
      </c>
      <c r="K130" s="97">
        <f>Summary!K$925</f>
        <v>0</v>
      </c>
      <c r="L130" s="97">
        <f>Summary!L$925</f>
        <v>0</v>
      </c>
      <c r="M130" s="97">
        <f>Summary!M$925</f>
        <v>0</v>
      </c>
      <c r="N130" s="97">
        <f>Summary!N$925</f>
        <v>0</v>
      </c>
      <c r="O130" s="97">
        <f>Summary!O$925</f>
        <v>0</v>
      </c>
      <c r="P130" s="97">
        <f>Summary!P$925</f>
        <v>0</v>
      </c>
      <c r="Q130" s="103">
        <f>SUM(E130:P130)</f>
        <v>0</v>
      </c>
      <c r="R130" s="39" t="e">
        <f t="shared" ref="R130:R135" si="17">Q130/$Q$28</f>
        <v>#DIV/0!</v>
      </c>
      <c r="S130" s="35"/>
      <c r="T130" s="40">
        <f t="shared" si="15"/>
        <v>0</v>
      </c>
    </row>
    <row r="131" spans="1:20" ht="26.25" customHeight="1">
      <c r="A131" s="5" t="s">
        <v>308</v>
      </c>
      <c r="B131" s="5" t="s">
        <v>734</v>
      </c>
      <c r="D131" s="26" t="s">
        <v>783</v>
      </c>
      <c r="E131" s="97">
        <f>Summary!E$926</f>
        <v>0</v>
      </c>
      <c r="F131" s="97">
        <f>Summary!F$926</f>
        <v>0</v>
      </c>
      <c r="G131" s="97">
        <f>Summary!G$926</f>
        <v>0</v>
      </c>
      <c r="H131" s="97">
        <f>Summary!H$926</f>
        <v>0</v>
      </c>
      <c r="I131" s="97">
        <f>Summary!I$926</f>
        <v>0</v>
      </c>
      <c r="J131" s="97">
        <f>Summary!J$926</f>
        <v>0</v>
      </c>
      <c r="K131" s="97">
        <f>Summary!K$926</f>
        <v>0</v>
      </c>
      <c r="L131" s="97">
        <f>Summary!L$926</f>
        <v>0</v>
      </c>
      <c r="M131" s="97">
        <f>Summary!M$926</f>
        <v>0</v>
      </c>
      <c r="N131" s="97">
        <f>Summary!N$926</f>
        <v>0</v>
      </c>
      <c r="O131" s="97">
        <f>Summary!O$926</f>
        <v>0</v>
      </c>
      <c r="P131" s="97">
        <f>Summary!P$926</f>
        <v>0</v>
      </c>
      <c r="Q131" s="103">
        <f t="shared" ref="Q131:Q134" si="18">SUM(E131:P131)</f>
        <v>0</v>
      </c>
      <c r="R131" s="39" t="e">
        <f t="shared" si="17"/>
        <v>#DIV/0!</v>
      </c>
      <c r="S131" s="35"/>
      <c r="T131" s="40">
        <f t="shared" si="15"/>
        <v>0</v>
      </c>
    </row>
    <row r="132" spans="1:20" ht="26.25" hidden="1" customHeight="1">
      <c r="A132" s="5" t="s">
        <v>620</v>
      </c>
      <c r="B132" s="5" t="s">
        <v>734</v>
      </c>
      <c r="D132" s="26" t="s">
        <v>784</v>
      </c>
      <c r="E132" s="97">
        <f>Summary!E$927</f>
        <v>0</v>
      </c>
      <c r="F132" s="97">
        <f>Summary!F$927</f>
        <v>0</v>
      </c>
      <c r="G132" s="97">
        <f>Summary!G$927</f>
        <v>0</v>
      </c>
      <c r="H132" s="97">
        <f>Summary!H$927</f>
        <v>0</v>
      </c>
      <c r="I132" s="97">
        <f>Summary!I$927</f>
        <v>0</v>
      </c>
      <c r="J132" s="97">
        <f>Summary!J$927</f>
        <v>0</v>
      </c>
      <c r="K132" s="97">
        <f>Summary!K$927</f>
        <v>0</v>
      </c>
      <c r="L132" s="97">
        <f>Summary!L$927</f>
        <v>0</v>
      </c>
      <c r="M132" s="97">
        <f>Summary!M$927</f>
        <v>0</v>
      </c>
      <c r="N132" s="97">
        <f>Summary!N$927</f>
        <v>0</v>
      </c>
      <c r="O132" s="97">
        <f>Summary!O$927</f>
        <v>0</v>
      </c>
      <c r="P132" s="97">
        <f>Summary!P$927</f>
        <v>0</v>
      </c>
      <c r="Q132" s="103">
        <f t="shared" si="18"/>
        <v>0</v>
      </c>
      <c r="R132" s="39" t="e">
        <f t="shared" si="17"/>
        <v>#DIV/0!</v>
      </c>
      <c r="S132" s="35"/>
      <c r="T132" s="40">
        <f t="shared" si="15"/>
        <v>0</v>
      </c>
    </row>
    <row r="133" spans="1:20" ht="26.25" customHeight="1">
      <c r="A133" s="5" t="s">
        <v>621</v>
      </c>
      <c r="B133" s="5" t="s">
        <v>734</v>
      </c>
      <c r="D133" s="26" t="s">
        <v>785</v>
      </c>
      <c r="E133" s="97">
        <f>Summary!E$928</f>
        <v>0</v>
      </c>
      <c r="F133" s="97">
        <f>Summary!F$928</f>
        <v>0</v>
      </c>
      <c r="G133" s="97">
        <f>Summary!G$928</f>
        <v>0</v>
      </c>
      <c r="H133" s="97">
        <f>Summary!H$928</f>
        <v>0</v>
      </c>
      <c r="I133" s="97">
        <f>Summary!I$928</f>
        <v>0</v>
      </c>
      <c r="J133" s="97">
        <f>Summary!J$928</f>
        <v>0</v>
      </c>
      <c r="K133" s="97">
        <f>Summary!K$928</f>
        <v>0</v>
      </c>
      <c r="L133" s="97">
        <f>Summary!L$928</f>
        <v>0</v>
      </c>
      <c r="M133" s="97">
        <f>Summary!M$928</f>
        <v>0</v>
      </c>
      <c r="N133" s="97">
        <f>Summary!N$928</f>
        <v>0</v>
      </c>
      <c r="O133" s="97">
        <f>Summary!O$928</f>
        <v>0</v>
      </c>
      <c r="P133" s="97">
        <f>Summary!P$928</f>
        <v>0</v>
      </c>
      <c r="Q133" s="103">
        <f t="shared" si="18"/>
        <v>0</v>
      </c>
      <c r="R133" s="39" t="e">
        <f t="shared" si="17"/>
        <v>#DIV/0!</v>
      </c>
      <c r="S133" s="35"/>
      <c r="T133" s="40">
        <f t="shared" si="15"/>
        <v>0</v>
      </c>
    </row>
    <row r="134" spans="1:20" ht="26.25" customHeight="1">
      <c r="A134" s="5" t="s">
        <v>622</v>
      </c>
      <c r="B134" s="5" t="s">
        <v>734</v>
      </c>
      <c r="D134" s="26" t="s">
        <v>786</v>
      </c>
      <c r="E134" s="108">
        <f>Summary!E$929</f>
        <v>0</v>
      </c>
      <c r="F134" s="108">
        <f>Summary!F$929</f>
        <v>0</v>
      </c>
      <c r="G134" s="108">
        <f>Summary!G$929</f>
        <v>0</v>
      </c>
      <c r="H134" s="108">
        <f>Summary!H$929</f>
        <v>0</v>
      </c>
      <c r="I134" s="108">
        <f>Summary!I$929</f>
        <v>0</v>
      </c>
      <c r="J134" s="108">
        <f>Summary!J$929</f>
        <v>0</v>
      </c>
      <c r="K134" s="108">
        <f>Summary!K$929</f>
        <v>0</v>
      </c>
      <c r="L134" s="108">
        <f>Summary!L$929</f>
        <v>0</v>
      </c>
      <c r="M134" s="108">
        <f>Summary!M$929</f>
        <v>0</v>
      </c>
      <c r="N134" s="108">
        <f>Summary!N$929</f>
        <v>0</v>
      </c>
      <c r="O134" s="108">
        <f>Summary!O$929</f>
        <v>0</v>
      </c>
      <c r="P134" s="108">
        <f>Summary!P$929</f>
        <v>0</v>
      </c>
      <c r="Q134" s="103">
        <f t="shared" si="18"/>
        <v>0</v>
      </c>
      <c r="R134" s="39" t="e">
        <f t="shared" si="17"/>
        <v>#DIV/0!</v>
      </c>
      <c r="S134" s="35"/>
      <c r="T134" s="40">
        <f t="shared" si="15"/>
        <v>0</v>
      </c>
    </row>
    <row r="135" spans="1:20" ht="26.25" customHeight="1">
      <c r="D135" s="21" t="s">
        <v>787</v>
      </c>
      <c r="E135" s="99">
        <f>SUM(E130:E134)</f>
        <v>0</v>
      </c>
      <c r="F135" s="99">
        <f t="shared" ref="F135:Q135" si="19">SUM(F130:F134)</f>
        <v>0</v>
      </c>
      <c r="G135" s="99">
        <f t="shared" si="19"/>
        <v>0</v>
      </c>
      <c r="H135" s="99">
        <f t="shared" si="19"/>
        <v>0</v>
      </c>
      <c r="I135" s="99">
        <f t="shared" si="19"/>
        <v>0</v>
      </c>
      <c r="J135" s="99">
        <f t="shared" si="19"/>
        <v>0</v>
      </c>
      <c r="K135" s="99">
        <f t="shared" si="19"/>
        <v>0</v>
      </c>
      <c r="L135" s="99">
        <f t="shared" si="19"/>
        <v>0</v>
      </c>
      <c r="M135" s="99">
        <f t="shared" si="19"/>
        <v>0</v>
      </c>
      <c r="N135" s="99">
        <f t="shared" si="19"/>
        <v>0</v>
      </c>
      <c r="O135" s="99">
        <f t="shared" si="19"/>
        <v>0</v>
      </c>
      <c r="P135" s="99">
        <f t="shared" si="19"/>
        <v>0</v>
      </c>
      <c r="Q135" s="99">
        <f t="shared" si="19"/>
        <v>0</v>
      </c>
      <c r="R135" s="39" t="e">
        <f t="shared" si="17"/>
        <v>#DIV/0!</v>
      </c>
      <c r="S135" s="35"/>
      <c r="T135" s="40">
        <f t="shared" si="15"/>
        <v>0</v>
      </c>
    </row>
    <row r="136" spans="1:20" ht="26.25" customHeight="1">
      <c r="E136" s="72"/>
      <c r="F136" s="72"/>
      <c r="G136" s="72"/>
      <c r="H136" s="72"/>
      <c r="I136" s="72"/>
      <c r="J136" s="106"/>
      <c r="K136" s="72"/>
      <c r="L136" s="109"/>
      <c r="M136" s="72"/>
      <c r="N136" s="106"/>
      <c r="O136" s="110"/>
      <c r="P136" s="110"/>
      <c r="Q136" s="110"/>
      <c r="S136" s="35"/>
      <c r="T136" s="40"/>
    </row>
    <row r="137" spans="1:20" ht="26.25" customHeight="1">
      <c r="A137" s="5" t="s">
        <v>625</v>
      </c>
      <c r="B137" s="5" t="s">
        <v>734</v>
      </c>
      <c r="D137" s="26" t="s">
        <v>788</v>
      </c>
      <c r="E137" s="97">
        <f>Summary!E$931</f>
        <v>0</v>
      </c>
      <c r="F137" s="97">
        <f>Summary!F$931</f>
        <v>0</v>
      </c>
      <c r="G137" s="97">
        <f>Summary!G$931</f>
        <v>0</v>
      </c>
      <c r="H137" s="97">
        <f>Summary!H$931</f>
        <v>0</v>
      </c>
      <c r="I137" s="97">
        <f>Summary!I$931</f>
        <v>0</v>
      </c>
      <c r="J137" s="97">
        <f>Summary!J$931</f>
        <v>0</v>
      </c>
      <c r="K137" s="97">
        <f>Summary!K$931</f>
        <v>0</v>
      </c>
      <c r="L137" s="97">
        <f>Summary!L$931</f>
        <v>0</v>
      </c>
      <c r="M137" s="97">
        <f>Summary!M$931</f>
        <v>0</v>
      </c>
      <c r="N137" s="97">
        <f>Summary!N$931</f>
        <v>0</v>
      </c>
      <c r="O137" s="97">
        <f>Summary!O$931</f>
        <v>0</v>
      </c>
      <c r="P137" s="97">
        <f>Summary!P$931</f>
        <v>0</v>
      </c>
      <c r="Q137" s="103">
        <f>SUM(E137:P137)</f>
        <v>0</v>
      </c>
      <c r="R137" s="39" t="e">
        <f t="shared" ref="R137:R145" si="20">Q137/$Q$28</f>
        <v>#DIV/0!</v>
      </c>
      <c r="S137" s="35"/>
      <c r="T137" s="40">
        <f t="shared" si="15"/>
        <v>0</v>
      </c>
    </row>
    <row r="138" spans="1:20" ht="26.25" customHeight="1">
      <c r="A138" s="5" t="s">
        <v>626</v>
      </c>
      <c r="B138" s="5" t="s">
        <v>734</v>
      </c>
      <c r="D138" s="26" t="s">
        <v>789</v>
      </c>
      <c r="E138" s="97">
        <f>Summary!E$932</f>
        <v>0</v>
      </c>
      <c r="F138" s="97">
        <f>Summary!F$932</f>
        <v>0</v>
      </c>
      <c r="G138" s="97">
        <f>Summary!G$932</f>
        <v>0</v>
      </c>
      <c r="H138" s="97">
        <f>Summary!H$932</f>
        <v>0</v>
      </c>
      <c r="I138" s="97">
        <f>Summary!I$932</f>
        <v>0</v>
      </c>
      <c r="J138" s="97">
        <f>Summary!J$932</f>
        <v>0</v>
      </c>
      <c r="K138" s="97">
        <f>Summary!K$932</f>
        <v>0</v>
      </c>
      <c r="L138" s="97">
        <f>Summary!L$932</f>
        <v>0</v>
      </c>
      <c r="M138" s="97">
        <f>Summary!M$932</f>
        <v>0</v>
      </c>
      <c r="N138" s="97">
        <f>Summary!N$932</f>
        <v>0</v>
      </c>
      <c r="O138" s="97">
        <f>Summary!O$932</f>
        <v>0</v>
      </c>
      <c r="P138" s="97">
        <f>Summary!P$932</f>
        <v>0</v>
      </c>
      <c r="Q138" s="103">
        <f t="shared" ref="Q138:Q144" si="21">SUM(E138:P138)</f>
        <v>0</v>
      </c>
      <c r="R138" s="39" t="e">
        <f t="shared" si="20"/>
        <v>#DIV/0!</v>
      </c>
      <c r="S138" s="35"/>
      <c r="T138" s="40">
        <f t="shared" si="15"/>
        <v>0</v>
      </c>
    </row>
    <row r="139" spans="1:20" ht="26.25" customHeight="1">
      <c r="A139" s="5" t="s">
        <v>627</v>
      </c>
      <c r="B139" s="5" t="s">
        <v>734</v>
      </c>
      <c r="D139" s="26" t="s">
        <v>790</v>
      </c>
      <c r="E139" s="97">
        <f>Summary!E$933</f>
        <v>0</v>
      </c>
      <c r="F139" s="97">
        <f>Summary!F$933</f>
        <v>0</v>
      </c>
      <c r="G139" s="97">
        <f>Summary!G$933</f>
        <v>0</v>
      </c>
      <c r="H139" s="97">
        <f>Summary!H$933</f>
        <v>0</v>
      </c>
      <c r="I139" s="97">
        <f>Summary!I$933</f>
        <v>0</v>
      </c>
      <c r="J139" s="97">
        <f>Summary!J$933</f>
        <v>0</v>
      </c>
      <c r="K139" s="97">
        <f>Summary!K$933</f>
        <v>0</v>
      </c>
      <c r="L139" s="97">
        <f>Summary!L$933</f>
        <v>0</v>
      </c>
      <c r="M139" s="97">
        <f>Summary!M$933</f>
        <v>0</v>
      </c>
      <c r="N139" s="97">
        <f>Summary!N$933</f>
        <v>0</v>
      </c>
      <c r="O139" s="97">
        <f>Summary!O$933</f>
        <v>0</v>
      </c>
      <c r="P139" s="97">
        <f>Summary!P$933</f>
        <v>0</v>
      </c>
      <c r="Q139" s="103">
        <f t="shared" si="21"/>
        <v>0</v>
      </c>
      <c r="R139" s="39" t="e">
        <f t="shared" si="20"/>
        <v>#DIV/0!</v>
      </c>
      <c r="S139" s="35"/>
      <c r="T139" s="40">
        <f t="shared" si="15"/>
        <v>0</v>
      </c>
    </row>
    <row r="140" spans="1:20" ht="26.25" customHeight="1">
      <c r="A140" s="5" t="s">
        <v>628</v>
      </c>
      <c r="B140" s="5" t="s">
        <v>734</v>
      </c>
      <c r="D140" s="26" t="s">
        <v>791</v>
      </c>
      <c r="E140" s="97">
        <f>Summary!E$934</f>
        <v>0</v>
      </c>
      <c r="F140" s="97">
        <f>Summary!F$934</f>
        <v>0</v>
      </c>
      <c r="G140" s="97">
        <f>Summary!G$934</f>
        <v>0</v>
      </c>
      <c r="H140" s="97">
        <f>Summary!H$934</f>
        <v>0</v>
      </c>
      <c r="I140" s="97">
        <f>Summary!I$934</f>
        <v>0</v>
      </c>
      <c r="J140" s="97">
        <f>Summary!J$934</f>
        <v>0</v>
      </c>
      <c r="K140" s="97">
        <f>Summary!K$934</f>
        <v>0</v>
      </c>
      <c r="L140" s="97">
        <f>Summary!L$934</f>
        <v>0</v>
      </c>
      <c r="M140" s="97">
        <f>Summary!M$934</f>
        <v>0</v>
      </c>
      <c r="N140" s="97">
        <f>Summary!N$934</f>
        <v>0</v>
      </c>
      <c r="O140" s="97">
        <f>Summary!O$934</f>
        <v>0</v>
      </c>
      <c r="P140" s="97">
        <f>Summary!P$934</f>
        <v>0</v>
      </c>
      <c r="Q140" s="103">
        <f t="shared" si="21"/>
        <v>0</v>
      </c>
      <c r="R140" s="39" t="e">
        <f t="shared" si="20"/>
        <v>#DIV/0!</v>
      </c>
      <c r="S140" s="35"/>
      <c r="T140" s="40">
        <f t="shared" si="15"/>
        <v>0</v>
      </c>
    </row>
    <row r="141" spans="1:20" ht="26.25" customHeight="1">
      <c r="A141" s="5" t="s">
        <v>629</v>
      </c>
      <c r="B141" s="5" t="s">
        <v>734</v>
      </c>
      <c r="D141" s="26" t="s">
        <v>792</v>
      </c>
      <c r="E141" s="97">
        <f>Summary!E$935</f>
        <v>0</v>
      </c>
      <c r="F141" s="97">
        <f>Summary!F$935</f>
        <v>0</v>
      </c>
      <c r="G141" s="97">
        <f>Summary!G$935</f>
        <v>0</v>
      </c>
      <c r="H141" s="97">
        <f>Summary!H$935</f>
        <v>0</v>
      </c>
      <c r="I141" s="97">
        <f>Summary!I$935</f>
        <v>0</v>
      </c>
      <c r="J141" s="97">
        <f>Summary!J$935</f>
        <v>0</v>
      </c>
      <c r="K141" s="97">
        <f>Summary!K$935</f>
        <v>0</v>
      </c>
      <c r="L141" s="97">
        <f>Summary!L$935</f>
        <v>0</v>
      </c>
      <c r="M141" s="97">
        <f>Summary!M$935</f>
        <v>0</v>
      </c>
      <c r="N141" s="97">
        <f>Summary!N$935</f>
        <v>0</v>
      </c>
      <c r="O141" s="97">
        <f>Summary!O$935</f>
        <v>0</v>
      </c>
      <c r="P141" s="97">
        <f>Summary!P$935</f>
        <v>0</v>
      </c>
      <c r="Q141" s="103">
        <f t="shared" si="21"/>
        <v>0</v>
      </c>
      <c r="R141" s="39" t="e">
        <f t="shared" si="20"/>
        <v>#DIV/0!</v>
      </c>
      <c r="S141" s="35"/>
      <c r="T141" s="40">
        <f t="shared" si="15"/>
        <v>0</v>
      </c>
    </row>
    <row r="142" spans="1:20" ht="26.25" customHeight="1">
      <c r="A142" s="5" t="s">
        <v>630</v>
      </c>
      <c r="B142" s="5" t="s">
        <v>734</v>
      </c>
      <c r="D142" s="26" t="s">
        <v>793</v>
      </c>
      <c r="E142" s="97">
        <f>Summary!E$936</f>
        <v>0</v>
      </c>
      <c r="F142" s="97">
        <f>Summary!F$936</f>
        <v>0</v>
      </c>
      <c r="G142" s="97">
        <f>Summary!G$936</f>
        <v>0</v>
      </c>
      <c r="H142" s="97">
        <f>Summary!H$936</f>
        <v>0</v>
      </c>
      <c r="I142" s="97">
        <f>Summary!I$936</f>
        <v>0</v>
      </c>
      <c r="J142" s="97">
        <f>Summary!J$936</f>
        <v>0</v>
      </c>
      <c r="K142" s="97">
        <f>Summary!K$936</f>
        <v>0</v>
      </c>
      <c r="L142" s="97">
        <f>Summary!L$936</f>
        <v>0</v>
      </c>
      <c r="M142" s="97">
        <f>Summary!M$936</f>
        <v>0</v>
      </c>
      <c r="N142" s="97">
        <f>Summary!N$936</f>
        <v>0</v>
      </c>
      <c r="O142" s="97">
        <f>Summary!O$936</f>
        <v>0</v>
      </c>
      <c r="P142" s="97">
        <f>Summary!P$936</f>
        <v>0</v>
      </c>
      <c r="Q142" s="103">
        <f t="shared" si="21"/>
        <v>0</v>
      </c>
      <c r="R142" s="39" t="e">
        <f t="shared" si="20"/>
        <v>#DIV/0!</v>
      </c>
      <c r="S142" s="35"/>
      <c r="T142" s="40">
        <f t="shared" si="15"/>
        <v>0</v>
      </c>
    </row>
    <row r="143" spans="1:20" ht="26.25" hidden="1" customHeight="1">
      <c r="A143" s="5" t="s">
        <v>631</v>
      </c>
      <c r="B143" s="5" t="s">
        <v>734</v>
      </c>
      <c r="D143" s="26" t="s">
        <v>794</v>
      </c>
      <c r="E143" s="97">
        <v>0</v>
      </c>
      <c r="F143" s="97">
        <v>0</v>
      </c>
      <c r="G143" s="97">
        <v>0</v>
      </c>
      <c r="H143" s="97">
        <v>0</v>
      </c>
      <c r="I143" s="97">
        <v>0</v>
      </c>
      <c r="J143" s="97">
        <v>0</v>
      </c>
      <c r="K143" s="97">
        <v>0</v>
      </c>
      <c r="L143" s="97">
        <v>0</v>
      </c>
      <c r="M143" s="97">
        <v>0</v>
      </c>
      <c r="N143" s="97">
        <v>0</v>
      </c>
      <c r="O143" s="97">
        <v>0</v>
      </c>
      <c r="P143" s="97">
        <v>0</v>
      </c>
      <c r="Q143" s="103">
        <f t="shared" si="21"/>
        <v>0</v>
      </c>
      <c r="R143" s="39" t="e">
        <f t="shared" si="20"/>
        <v>#DIV/0!</v>
      </c>
      <c r="S143" s="35"/>
      <c r="T143" s="40">
        <f t="shared" si="15"/>
        <v>0</v>
      </c>
    </row>
    <row r="144" spans="1:20" ht="26.25" hidden="1" customHeight="1">
      <c r="A144" s="5" t="s">
        <v>632</v>
      </c>
      <c r="B144" s="5" t="s">
        <v>734</v>
      </c>
      <c r="D144" s="26" t="s">
        <v>795</v>
      </c>
      <c r="E144" s="108">
        <v>0</v>
      </c>
      <c r="F144" s="108">
        <v>0</v>
      </c>
      <c r="G144" s="108">
        <v>0</v>
      </c>
      <c r="H144" s="108">
        <v>0</v>
      </c>
      <c r="I144" s="108">
        <v>0</v>
      </c>
      <c r="J144" s="108">
        <v>0</v>
      </c>
      <c r="K144" s="108">
        <v>0</v>
      </c>
      <c r="L144" s="108">
        <v>0</v>
      </c>
      <c r="M144" s="108">
        <v>0</v>
      </c>
      <c r="N144" s="108">
        <v>0</v>
      </c>
      <c r="O144" s="108">
        <v>0</v>
      </c>
      <c r="P144" s="108">
        <v>0</v>
      </c>
      <c r="Q144" s="103">
        <f t="shared" si="21"/>
        <v>0</v>
      </c>
      <c r="R144" s="39" t="e">
        <f t="shared" si="20"/>
        <v>#DIV/0!</v>
      </c>
      <c r="S144" s="35"/>
      <c r="T144" s="40">
        <f t="shared" si="15"/>
        <v>0</v>
      </c>
    </row>
    <row r="145" spans="1:20" ht="26.25" customHeight="1">
      <c r="D145" s="21" t="s">
        <v>796</v>
      </c>
      <c r="E145" s="99">
        <f>SUM(E137:E144)</f>
        <v>0</v>
      </c>
      <c r="F145" s="99">
        <f t="shared" ref="F145:P145" si="22">SUM(F137:F144)</f>
        <v>0</v>
      </c>
      <c r="G145" s="99">
        <f t="shared" si="22"/>
        <v>0</v>
      </c>
      <c r="H145" s="99">
        <f t="shared" si="22"/>
        <v>0</v>
      </c>
      <c r="I145" s="99">
        <f t="shared" si="22"/>
        <v>0</v>
      </c>
      <c r="J145" s="99">
        <f t="shared" si="22"/>
        <v>0</v>
      </c>
      <c r="K145" s="99">
        <f t="shared" si="22"/>
        <v>0</v>
      </c>
      <c r="L145" s="99">
        <f t="shared" si="22"/>
        <v>0</v>
      </c>
      <c r="M145" s="99">
        <f t="shared" si="22"/>
        <v>0</v>
      </c>
      <c r="N145" s="99">
        <f t="shared" si="22"/>
        <v>0</v>
      </c>
      <c r="O145" s="99">
        <f t="shared" si="22"/>
        <v>0</v>
      </c>
      <c r="P145" s="99">
        <f t="shared" si="22"/>
        <v>0</v>
      </c>
      <c r="Q145" s="99">
        <f t="shared" ref="Q145" si="23">SUM(Q137:Q144)</f>
        <v>0</v>
      </c>
      <c r="R145" s="39" t="e">
        <f t="shared" si="20"/>
        <v>#DIV/0!</v>
      </c>
      <c r="S145" s="35"/>
      <c r="T145" s="40">
        <f t="shared" si="15"/>
        <v>0</v>
      </c>
    </row>
    <row r="146" spans="1:20" ht="26.25" customHeight="1">
      <c r="E146" s="72"/>
      <c r="F146" s="72"/>
      <c r="G146" s="72"/>
      <c r="H146" s="72"/>
      <c r="I146" s="72"/>
      <c r="J146" s="106"/>
      <c r="K146" s="72"/>
      <c r="L146" s="109"/>
      <c r="M146" s="72"/>
      <c r="N146" s="106"/>
      <c r="O146" s="110"/>
      <c r="P146" s="110"/>
      <c r="Q146" s="110"/>
      <c r="S146" s="35"/>
      <c r="T146" s="40"/>
    </row>
    <row r="147" spans="1:20" ht="26.25" hidden="1" customHeight="1">
      <c r="A147" s="5" t="s">
        <v>633</v>
      </c>
      <c r="B147" s="5" t="s">
        <v>734</v>
      </c>
      <c r="D147" s="26" t="s">
        <v>797</v>
      </c>
      <c r="E147" s="97">
        <v>0</v>
      </c>
      <c r="F147" s="97">
        <v>0</v>
      </c>
      <c r="G147" s="97">
        <v>0</v>
      </c>
      <c r="H147" s="97">
        <v>0</v>
      </c>
      <c r="I147" s="97">
        <v>0</v>
      </c>
      <c r="J147" s="97">
        <v>0</v>
      </c>
      <c r="K147" s="97">
        <v>0</v>
      </c>
      <c r="L147" s="97">
        <v>0</v>
      </c>
      <c r="M147" s="97">
        <v>0</v>
      </c>
      <c r="N147" s="97">
        <v>0</v>
      </c>
      <c r="O147" s="97">
        <v>0</v>
      </c>
      <c r="P147" s="97">
        <v>0</v>
      </c>
      <c r="Q147" s="103">
        <f>SUM(E147:P147)</f>
        <v>0</v>
      </c>
      <c r="S147" s="35"/>
      <c r="T147" s="40">
        <f t="shared" si="15"/>
        <v>0</v>
      </c>
    </row>
    <row r="148" spans="1:20" ht="26.25" hidden="1" customHeight="1">
      <c r="A148" s="5" t="s">
        <v>634</v>
      </c>
      <c r="B148" s="5" t="s">
        <v>734</v>
      </c>
      <c r="D148" s="26" t="s">
        <v>798</v>
      </c>
      <c r="E148" s="97">
        <v>0</v>
      </c>
      <c r="F148" s="97">
        <v>0</v>
      </c>
      <c r="G148" s="97">
        <v>0</v>
      </c>
      <c r="H148" s="97">
        <v>0</v>
      </c>
      <c r="I148" s="97">
        <v>0</v>
      </c>
      <c r="J148" s="97">
        <v>0</v>
      </c>
      <c r="K148" s="97">
        <v>0</v>
      </c>
      <c r="L148" s="97">
        <v>0</v>
      </c>
      <c r="M148" s="97">
        <v>0</v>
      </c>
      <c r="N148" s="97">
        <v>0</v>
      </c>
      <c r="O148" s="97">
        <v>0</v>
      </c>
      <c r="P148" s="97">
        <v>0</v>
      </c>
      <c r="Q148" s="103">
        <f t="shared" ref="Q148:Q153" si="24">SUM(E148:P148)</f>
        <v>0</v>
      </c>
      <c r="S148" s="35"/>
      <c r="T148" s="40">
        <f t="shared" si="15"/>
        <v>0</v>
      </c>
    </row>
    <row r="149" spans="1:20" ht="26.25" hidden="1" customHeight="1">
      <c r="A149" s="5" t="s">
        <v>635</v>
      </c>
      <c r="B149" s="5" t="s">
        <v>734</v>
      </c>
      <c r="D149" s="26" t="s">
        <v>799</v>
      </c>
      <c r="E149" s="97">
        <v>0</v>
      </c>
      <c r="F149" s="97">
        <v>0</v>
      </c>
      <c r="G149" s="97">
        <v>0</v>
      </c>
      <c r="H149" s="97">
        <v>0</v>
      </c>
      <c r="I149" s="97">
        <v>0</v>
      </c>
      <c r="J149" s="97">
        <v>0</v>
      </c>
      <c r="K149" s="97">
        <v>0</v>
      </c>
      <c r="L149" s="97">
        <v>0</v>
      </c>
      <c r="M149" s="97">
        <v>0</v>
      </c>
      <c r="N149" s="97">
        <v>0</v>
      </c>
      <c r="O149" s="97">
        <v>0</v>
      </c>
      <c r="P149" s="97">
        <v>0</v>
      </c>
      <c r="Q149" s="103">
        <f t="shared" si="24"/>
        <v>0</v>
      </c>
      <c r="S149" s="35"/>
      <c r="T149" s="40">
        <f t="shared" si="15"/>
        <v>0</v>
      </c>
    </row>
    <row r="150" spans="1:20" ht="26.25" hidden="1" customHeight="1">
      <c r="A150" s="5" t="s">
        <v>636</v>
      </c>
      <c r="B150" s="5" t="s">
        <v>734</v>
      </c>
      <c r="D150" s="26" t="s">
        <v>800</v>
      </c>
      <c r="E150" s="97">
        <v>0</v>
      </c>
      <c r="F150" s="97">
        <v>0</v>
      </c>
      <c r="G150" s="97">
        <v>0</v>
      </c>
      <c r="H150" s="97">
        <v>0</v>
      </c>
      <c r="I150" s="97">
        <v>0</v>
      </c>
      <c r="J150" s="97">
        <v>0</v>
      </c>
      <c r="K150" s="97">
        <v>0</v>
      </c>
      <c r="L150" s="97">
        <v>0</v>
      </c>
      <c r="M150" s="97">
        <v>0</v>
      </c>
      <c r="N150" s="97">
        <v>0</v>
      </c>
      <c r="O150" s="97">
        <v>0</v>
      </c>
      <c r="P150" s="97">
        <v>0</v>
      </c>
      <c r="Q150" s="103">
        <f t="shared" si="24"/>
        <v>0</v>
      </c>
      <c r="S150" s="35"/>
      <c r="T150" s="40">
        <f t="shared" si="15"/>
        <v>0</v>
      </c>
    </row>
    <row r="151" spans="1:20" ht="26.25" customHeight="1">
      <c r="A151" s="5" t="s">
        <v>637</v>
      </c>
      <c r="B151" s="5" t="s">
        <v>734</v>
      </c>
      <c r="D151" s="26" t="s">
        <v>801</v>
      </c>
      <c r="E151" s="97">
        <f>Summary!E$938</f>
        <v>0</v>
      </c>
      <c r="F151" s="97">
        <f>Summary!F$938</f>
        <v>0</v>
      </c>
      <c r="G151" s="97">
        <f>Summary!G$938</f>
        <v>0</v>
      </c>
      <c r="H151" s="97">
        <f>Summary!H$938</f>
        <v>0</v>
      </c>
      <c r="I151" s="97">
        <f>Summary!I$938</f>
        <v>0</v>
      </c>
      <c r="J151" s="97">
        <f>Summary!J$938</f>
        <v>0</v>
      </c>
      <c r="K151" s="97">
        <f>Summary!K$938</f>
        <v>0</v>
      </c>
      <c r="L151" s="97">
        <f>Summary!L$938</f>
        <v>0</v>
      </c>
      <c r="M151" s="97">
        <f>Summary!M$938</f>
        <v>0</v>
      </c>
      <c r="N151" s="97">
        <f>Summary!N$938</f>
        <v>0</v>
      </c>
      <c r="O151" s="97">
        <f>Summary!O$938</f>
        <v>0</v>
      </c>
      <c r="P151" s="97">
        <f>Summary!P$938</f>
        <v>0</v>
      </c>
      <c r="Q151" s="103">
        <f t="shared" si="24"/>
        <v>0</v>
      </c>
      <c r="R151" s="39" t="e">
        <f>Q151/$Q$28</f>
        <v>#DIV/0!</v>
      </c>
      <c r="S151" s="35"/>
      <c r="T151" s="40">
        <f t="shared" si="15"/>
        <v>0</v>
      </c>
    </row>
    <row r="152" spans="1:20" ht="26.25" hidden="1" customHeight="1">
      <c r="A152" s="5" t="s">
        <v>344</v>
      </c>
      <c r="B152" s="5" t="s">
        <v>734</v>
      </c>
      <c r="D152" s="26" t="s">
        <v>802</v>
      </c>
      <c r="E152" s="97">
        <f>Summary!E$939</f>
        <v>0</v>
      </c>
      <c r="F152" s="97">
        <f>Summary!F$939</f>
        <v>0</v>
      </c>
      <c r="G152" s="97">
        <f>Summary!G$939</f>
        <v>0</v>
      </c>
      <c r="H152" s="97">
        <f>Summary!H$939</f>
        <v>0</v>
      </c>
      <c r="I152" s="97">
        <f>Summary!I$939</f>
        <v>0</v>
      </c>
      <c r="J152" s="97">
        <f>Summary!J$939</f>
        <v>0</v>
      </c>
      <c r="K152" s="97">
        <f>Summary!K$939</f>
        <v>0</v>
      </c>
      <c r="L152" s="97">
        <f>Summary!L$939</f>
        <v>0</v>
      </c>
      <c r="M152" s="97">
        <f>Summary!M$939</f>
        <v>0</v>
      </c>
      <c r="N152" s="97">
        <f>Summary!N$939</f>
        <v>0</v>
      </c>
      <c r="O152" s="97">
        <f>Summary!O$939</f>
        <v>0</v>
      </c>
      <c r="P152" s="97">
        <f>Summary!P$939</f>
        <v>0</v>
      </c>
      <c r="Q152" s="103">
        <f t="shared" si="24"/>
        <v>0</v>
      </c>
      <c r="R152" s="39" t="e">
        <f>Q152/$Q$28</f>
        <v>#DIV/0!</v>
      </c>
      <c r="S152" s="35"/>
      <c r="T152" s="40"/>
    </row>
    <row r="153" spans="1:20" ht="26.25" customHeight="1">
      <c r="A153" s="5" t="s">
        <v>640</v>
      </c>
      <c r="B153" s="5" t="s">
        <v>734</v>
      </c>
      <c r="D153" s="26" t="s">
        <v>803</v>
      </c>
      <c r="E153" s="97">
        <f>Summary!E$940</f>
        <v>0</v>
      </c>
      <c r="F153" s="97">
        <f>Summary!F$940</f>
        <v>0</v>
      </c>
      <c r="G153" s="97">
        <f>Summary!G$940</f>
        <v>0</v>
      </c>
      <c r="H153" s="97">
        <f>Summary!H$940</f>
        <v>0</v>
      </c>
      <c r="I153" s="97">
        <f>Summary!I$940</f>
        <v>0</v>
      </c>
      <c r="J153" s="97">
        <f>Summary!J$940</f>
        <v>0</v>
      </c>
      <c r="K153" s="97">
        <f>Summary!K$940</f>
        <v>0</v>
      </c>
      <c r="L153" s="97">
        <f>Summary!L$940</f>
        <v>0</v>
      </c>
      <c r="M153" s="97">
        <f>Summary!M$940</f>
        <v>0</v>
      </c>
      <c r="N153" s="97">
        <f>Summary!N$940</f>
        <v>0</v>
      </c>
      <c r="O153" s="97">
        <f>Summary!O$940</f>
        <v>0</v>
      </c>
      <c r="P153" s="97">
        <f>Summary!P$940</f>
        <v>0</v>
      </c>
      <c r="Q153" s="103">
        <f t="shared" si="24"/>
        <v>0</v>
      </c>
      <c r="R153" s="39" t="e">
        <f>Q153/$Q$28</f>
        <v>#DIV/0!</v>
      </c>
      <c r="S153" s="35"/>
      <c r="T153" s="40">
        <f t="shared" si="15"/>
        <v>0</v>
      </c>
    </row>
    <row r="154" spans="1:20" s="88" customFormat="1" ht="26.25" customHeight="1">
      <c r="D154" s="21" t="s">
        <v>804</v>
      </c>
      <c r="E154" s="112">
        <f>SUM(E147:E153)</f>
        <v>0</v>
      </c>
      <c r="F154" s="112">
        <f t="shared" ref="F154:Q154" si="25">SUM(F147:F153)</f>
        <v>0</v>
      </c>
      <c r="G154" s="112">
        <f t="shared" si="25"/>
        <v>0</v>
      </c>
      <c r="H154" s="112">
        <f t="shared" si="25"/>
        <v>0</v>
      </c>
      <c r="I154" s="112">
        <f t="shared" si="25"/>
        <v>0</v>
      </c>
      <c r="J154" s="112">
        <f t="shared" si="25"/>
        <v>0</v>
      </c>
      <c r="K154" s="112">
        <f t="shared" si="25"/>
        <v>0</v>
      </c>
      <c r="L154" s="112">
        <f t="shared" si="25"/>
        <v>0</v>
      </c>
      <c r="M154" s="112">
        <f t="shared" si="25"/>
        <v>0</v>
      </c>
      <c r="N154" s="112">
        <f t="shared" si="25"/>
        <v>0</v>
      </c>
      <c r="O154" s="112">
        <f t="shared" si="25"/>
        <v>0</v>
      </c>
      <c r="P154" s="112">
        <f t="shared" si="25"/>
        <v>0</v>
      </c>
      <c r="Q154" s="112">
        <f t="shared" si="25"/>
        <v>0</v>
      </c>
      <c r="R154" s="39" t="e">
        <f>Q154/$Q$28</f>
        <v>#DIV/0!</v>
      </c>
      <c r="S154" s="35"/>
      <c r="T154" s="40">
        <f t="shared" si="15"/>
        <v>0</v>
      </c>
    </row>
    <row r="155" spans="1:20" ht="26.25" customHeight="1">
      <c r="D155" s="21" t="s">
        <v>805</v>
      </c>
      <c r="E155" s="99">
        <f>E128+E135+E145+E154</f>
        <v>0</v>
      </c>
      <c r="F155" s="99">
        <f t="shared" ref="F155:Q155" si="26">F128+F135+F145+F154</f>
        <v>0</v>
      </c>
      <c r="G155" s="99">
        <f t="shared" si="26"/>
        <v>0</v>
      </c>
      <c r="H155" s="99">
        <f t="shared" si="26"/>
        <v>0</v>
      </c>
      <c r="I155" s="99">
        <f t="shared" si="26"/>
        <v>0</v>
      </c>
      <c r="J155" s="99">
        <f t="shared" si="26"/>
        <v>0</v>
      </c>
      <c r="K155" s="99">
        <f t="shared" si="26"/>
        <v>0</v>
      </c>
      <c r="L155" s="99">
        <f t="shared" si="26"/>
        <v>0</v>
      </c>
      <c r="M155" s="99">
        <f t="shared" si="26"/>
        <v>0</v>
      </c>
      <c r="N155" s="99">
        <f t="shared" si="26"/>
        <v>0</v>
      </c>
      <c r="O155" s="99">
        <f t="shared" si="26"/>
        <v>0</v>
      </c>
      <c r="P155" s="99">
        <f t="shared" si="26"/>
        <v>0</v>
      </c>
      <c r="Q155" s="99">
        <f t="shared" si="26"/>
        <v>0</v>
      </c>
      <c r="R155" s="39" t="e">
        <f>Q155/$Q$28</f>
        <v>#DIV/0!</v>
      </c>
      <c r="S155" s="35"/>
      <c r="T155" s="40">
        <f t="shared" si="15"/>
        <v>0</v>
      </c>
    </row>
    <row r="156" spans="1:20" ht="26.25" customHeight="1">
      <c r="D156" s="21"/>
      <c r="E156" s="72"/>
      <c r="F156" s="72"/>
      <c r="G156" s="72"/>
      <c r="H156" s="72"/>
      <c r="I156" s="72"/>
      <c r="J156" s="106"/>
      <c r="K156" s="72"/>
      <c r="L156" s="109"/>
      <c r="M156" s="72"/>
      <c r="N156" s="106"/>
      <c r="O156" s="110"/>
      <c r="P156" s="110"/>
      <c r="Q156" s="110"/>
      <c r="S156" s="35"/>
      <c r="T156" s="40"/>
    </row>
    <row r="157" spans="1:20" ht="26.25" customHeight="1">
      <c r="A157" s="5" t="s">
        <v>105</v>
      </c>
      <c r="B157" s="5" t="s">
        <v>734</v>
      </c>
      <c r="D157" s="21" t="s">
        <v>806</v>
      </c>
      <c r="E157" s="99">
        <f>Summary!E$913</f>
        <v>0</v>
      </c>
      <c r="F157" s="99">
        <f>Summary!F$913</f>
        <v>0</v>
      </c>
      <c r="G157" s="99">
        <f>Summary!G$913</f>
        <v>0</v>
      </c>
      <c r="H157" s="99">
        <f>Summary!H$913</f>
        <v>0</v>
      </c>
      <c r="I157" s="99">
        <f>Summary!I$913</f>
        <v>0</v>
      </c>
      <c r="J157" s="99">
        <f>Summary!J$913</f>
        <v>0</v>
      </c>
      <c r="K157" s="99">
        <f>Summary!K$913</f>
        <v>0</v>
      </c>
      <c r="L157" s="99">
        <f>Summary!L$913</f>
        <v>0</v>
      </c>
      <c r="M157" s="99">
        <f>Summary!M$913</f>
        <v>0</v>
      </c>
      <c r="N157" s="99">
        <f>Summary!N$913</f>
        <v>0</v>
      </c>
      <c r="O157" s="99">
        <f>Summary!O$913</f>
        <v>0</v>
      </c>
      <c r="P157" s="99">
        <f>Summary!P$913</f>
        <v>0</v>
      </c>
      <c r="Q157" s="85">
        <f>SUM(E157:P157)/12</f>
        <v>0</v>
      </c>
      <c r="S157" s="35"/>
      <c r="T157" s="40">
        <f t="shared" si="15"/>
        <v>0</v>
      </c>
    </row>
  </sheetData>
  <phoneticPr fontId="57" type="noConversion"/>
  <dataValidations count="33">
    <dataValidation type="textLength" errorStyle="information" allowBlank="1" showInputMessage="1" showErrorMessage="1" error="XLBVal:6=627.78_x000d__x000a_" sqref="E77:P77">
      <formula1>0</formula1>
      <formula2>300</formula2>
    </dataValidation>
    <dataValidation type="textLength" errorStyle="information" allowBlank="1" showInputMessage="1" showErrorMessage="1" error="XLBVal:6=3239.86_x000d__x000a_" sqref="E50:P51 E47:P48">
      <formula1>0</formula1>
      <formula2>300</formula2>
    </dataValidation>
    <dataValidation type="textLength" errorStyle="information" allowBlank="1" showInputMessage="1" showErrorMessage="1" error="XLBVal:6=-6105.83_x000d__x000a_" sqref="J122">
      <formula1>0</formula1>
      <formula2>300</formula2>
    </dataValidation>
    <dataValidation type="textLength" errorStyle="information" allowBlank="1" showInputMessage="1" showErrorMessage="1" error="XLBVal:6=2187.72_x000d__x000a_" sqref="E67:P67">
      <formula1>0</formula1>
      <formula2>300</formula2>
    </dataValidation>
    <dataValidation type="textLength" errorStyle="information" allowBlank="1" showInputMessage="1" showErrorMessage="1" error="XLBVal:6=2477.89_x000d__x000a_" sqref="L122">
      <formula1>0</formula1>
      <formula2>300</formula2>
    </dataValidation>
    <dataValidation type="textLength" errorStyle="information" allowBlank="1" showInputMessage="1" showErrorMessage="1" error="XLBVal:6=42914.7_x000d__x000a_" sqref="E12:P12">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35800_x000d__x000a_" sqref="E127:P127">
      <formula1>0</formula1>
      <formula2>300</formula2>
    </dataValidation>
    <dataValidation type="textLength" errorStyle="information" allowBlank="1" showInputMessage="1" showErrorMessage="1" error="XLBVal:6=28280_x000d__x000a_" sqref="Q30">
      <formula1>0</formula1>
      <formula2>300</formula2>
    </dataValidation>
    <dataValidation type="textLength" errorStyle="information" allowBlank="1" showInputMessage="1" showErrorMessage="1" error="XLBVal:6=261.7_x000d__x000a_" sqref="E57:P57">
      <formula1>0</formula1>
      <formula2>300</formula2>
    </dataValidation>
    <dataValidation type="textLength" errorStyle="information" allowBlank="1" showInputMessage="1" showErrorMessage="1" error="XLBVal:6=1690.43_x000d__x000a_" sqref="E41:P41">
      <formula1>0</formula1>
      <formula2>300</formula2>
    </dataValidation>
    <dataValidation type="textLength" errorStyle="information" allowBlank="1" showInputMessage="1" showErrorMessage="1" error="XLBVal:6=37688.18_x000d__x000a_" sqref="E49:P49">
      <formula1>0</formula1>
      <formula2>300</formula2>
    </dataValidation>
    <dataValidation type="textLength" errorStyle="information" allowBlank="1" showInputMessage="1" showErrorMessage="1" error="XLBVal:6=5353.73_x000d__x000a_" sqref="E108:P108">
      <formula1>0</formula1>
      <formula2>300</formula2>
    </dataValidation>
    <dataValidation type="textLength" errorStyle="information" allowBlank="1" showInputMessage="1" showErrorMessage="1" error="XLBVal:6=1000_x000d__x000a_" sqref="E137:P141 E130:P134">
      <formula1>0</formula1>
      <formula2>300</formula2>
    </dataValidation>
    <dataValidation type="textLength" errorStyle="information" allowBlank="1" showInputMessage="1" showErrorMessage="1" error="XLBVal:2=0_x000d__x000a_" sqref="E109:P109 E120:P120 E126:P126 Q12:Q27 Q31:Q120 Q126:Q127 Q130:Q134 Q137:Q145 Q147:Q153 E147:P150 E143:P145 E111:P118 E42:P46 E52:P56 E58:P66 E68:P76 E30:P40 E13:P27 E78:P107">
      <formula1>0</formula1>
      <formula2>300</formula2>
    </dataValidation>
    <dataValidation type="textLength" errorStyle="information" allowBlank="1" showInputMessage="1" showErrorMessage="1" error="XLBVal:6=9941.2_x000d__x000a_" sqref="E151:P153">
      <formula1>0</formula1>
      <formula2>300</formula2>
    </dataValidation>
    <dataValidation type="textLength" errorStyle="information" allowBlank="1" showInputMessage="1" showErrorMessage="1" error="XLBVal:6=75743.52_x000d__x000a_" sqref="N122">
      <formula1>0</formula1>
      <formula2>300</formula2>
    </dataValidation>
    <dataValidation type="textLength" errorStyle="information" allowBlank="1" showInputMessage="1" showErrorMessage="1" error="XLBVal:6=59_x000d__x000a_" sqref="E110:P110">
      <formula1>0</formula1>
      <formula2>300</formula2>
    </dataValidation>
    <dataValidation type="textLength" errorStyle="information" allowBlank="1" showInputMessage="1" showErrorMessage="1" error="XLBVal:6=112_x000d__x000a_" sqref="E119:P119">
      <formula1>0</formula1>
      <formula2>300</formula2>
    </dataValidation>
    <dataValidation type="textLength" errorStyle="information" allowBlank="1" showInputMessage="1" showErrorMessage="1" error="XLBVal:6=1260_x000d__x000a_" sqref="Q157">
      <formula1>0</formula1>
      <formula2>300</formula2>
    </dataValidation>
    <dataValidation type="textLength" errorStyle="information" allowBlank="1" showInputMessage="1" showErrorMessage="1" error="XLBVal:6=1253.55_x000d__x000a_" sqref="E122">
      <formula1>0</formula1>
      <formula2>300</formula2>
    </dataValidation>
    <dataValidation type="textLength" errorStyle="information" allowBlank="1" showInputMessage="1" showErrorMessage="1" error="XLBVal:6=4497.41_x000d__x000a_" sqref="F122">
      <formula1>0</formula1>
      <formula2>300</formula2>
    </dataValidation>
    <dataValidation type="textLength" errorStyle="information" allowBlank="1" showInputMessage="1" showErrorMessage="1" error="XLBVal:6=-38867.52_x000d__x000a_" sqref="G122">
      <formula1>0</formula1>
      <formula2>300</formula2>
    </dataValidation>
    <dataValidation type="textLength" errorStyle="information" allowBlank="1" showInputMessage="1" showErrorMessage="1" error="XLBVal:6=-42235.27_x000d__x000a_" sqref="H122">
      <formula1>0</formula1>
      <formula2>300</formula2>
    </dataValidation>
    <dataValidation type="textLength" errorStyle="information" allowBlank="1" showInputMessage="1" showErrorMessage="1" error="XLBVal:6=15040.3_x000d__x000a_" sqref="I122">
      <formula1>0</formula1>
      <formula2>300</formula2>
    </dataValidation>
    <dataValidation type="textLength" errorStyle="information" allowBlank="1" showInputMessage="1" showErrorMessage="1" error="XLBVal:6=59776.39_x000d__x000a_" sqref="M122">
      <formula1>0</formula1>
      <formula2>300</formula2>
    </dataValidation>
    <dataValidation type="textLength" errorStyle="information" allowBlank="1" showInputMessage="1" showErrorMessage="1" error="XLBVal:6=-17195.55_x000d__x000a_" sqref="K122">
      <formula1>0</formula1>
      <formula2>300</formula2>
    </dataValidation>
    <dataValidation type="textLength" errorStyle="information" allowBlank="1" showInputMessage="1" showErrorMessage="1" error="XLBVal:6=63928.3_x000d__x000a_" sqref="O122">
      <formula1>0</formula1>
      <formula2>300</formula2>
    </dataValidation>
    <dataValidation type="textLength" errorStyle="information" allowBlank="1" showInputMessage="1" showErrorMessage="1" error="XLBVal:6=5096_x000d__x000a_" sqref="E142:P142">
      <formula1>0</formula1>
      <formula2>300</formula2>
    </dataValidation>
    <dataValidation type="textLength" errorStyle="information" allowBlank="1" showInputMessage="1" showErrorMessage="1" error="XLBVal:6=69152.88_x000d__x000a_" sqref="P122">
      <formula1>0</formula1>
      <formula2>300</formula2>
    </dataValidation>
    <dataValidation type="textLength" errorStyle="information" allowBlank="1" showInputMessage="1" showErrorMessage="1" error="XLBVal:6=466439.14_x000d__x000a_" sqref="Q122">
      <formula1>0</formula1>
      <formula2>300</formula2>
    </dataValidation>
    <dataValidation type="textLength" errorStyle="information" allowBlank="1" showInputMessage="1" showErrorMessage="1" error="XLBVal:6=6_x000d__x000a_" sqref="E157:P157">
      <formula1>0</formula1>
      <formula2>300</formula2>
    </dataValidation>
    <dataValidation type="textLength" errorStyle="information" allowBlank="1" showInputMessage="1" showErrorMessage="1" error="XLBVal:6=6688509.16_x000d__x000a_" sqref="E28:Q29">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tabColor rgb="FF92D050"/>
    <pageSetUpPr fitToPage="1"/>
  </sheetPr>
  <dimension ref="A1:T140"/>
  <sheetViews>
    <sheetView zoomScale="50" zoomScaleNormal="50" zoomScaleSheetLayoutView="40" workbookViewId="0">
      <pane xSplit="4" ySplit="10" topLeftCell="E11" activePane="bottomRight" state="frozen"/>
      <selection activeCell="D7" sqref="D7"/>
      <selection pane="topRight" activeCell="D7" sqref="D7"/>
      <selection pane="bottomLeft" activeCell="D7" sqref="D7"/>
      <selection pane="bottomRight" activeCell="L108" sqref="L108"/>
    </sheetView>
  </sheetViews>
  <sheetFormatPr defaultColWidth="8.875" defaultRowHeight="26.25" customHeight="1" outlineLevelRow="1" outlineLevelCol="1"/>
  <cols>
    <col min="1" max="1" width="25.875" style="5" hidden="1" customWidth="1" outlineLevel="1"/>
    <col min="2" max="2" width="15.5" style="5" hidden="1" customWidth="1" outlineLevel="1"/>
    <col min="3" max="3" width="12.75" style="5" hidden="1" customWidth="1" outlineLevel="1"/>
    <col min="4" max="4" width="52.25" style="6" customWidth="1" collapsed="1"/>
    <col min="5" max="5" width="26.25" style="7" customWidth="1"/>
    <col min="6" max="6" width="26.25" style="89" customWidth="1"/>
    <col min="7" max="7" width="26.25" style="7" customWidth="1"/>
    <col min="8" max="8" width="26.25" style="6" customWidth="1"/>
    <col min="9" max="9" width="26.25" style="7" customWidth="1"/>
    <col min="10" max="10" width="26.25" style="89" customWidth="1"/>
    <col min="11" max="11" width="26.25" style="7" customWidth="1"/>
    <col min="12" max="12" width="26.25" style="90" customWidth="1"/>
    <col min="13" max="13" width="26.25" style="7" customWidth="1"/>
    <col min="14" max="14" width="26.25" style="89" customWidth="1"/>
    <col min="15" max="16" width="26.25" style="5" customWidth="1"/>
    <col min="17" max="17" width="29.625" style="5" customWidth="1"/>
    <col min="18" max="18" width="15.5" style="5" customWidth="1"/>
    <col min="19" max="19" width="22.5" style="8" hidden="1" customWidth="1"/>
    <col min="20" max="20" width="22.5" style="5" hidden="1" customWidth="1"/>
    <col min="21" max="21" width="0" style="5" hidden="1" customWidth="1"/>
    <col min="22"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807</v>
      </c>
      <c r="E6" s="13"/>
      <c r="F6" s="93"/>
      <c r="G6" s="13"/>
      <c r="H6" s="94"/>
      <c r="I6" s="13"/>
      <c r="J6" s="93"/>
      <c r="K6" s="13"/>
      <c r="L6" s="101"/>
      <c r="M6" s="13"/>
      <c r="N6" s="93"/>
      <c r="S6" s="33"/>
    </row>
    <row r="7" spans="1:20" s="2" customFormat="1" ht="24.95" customHeight="1">
      <c r="D7" s="15" t="s">
        <v>1185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3" t="s">
        <v>702</v>
      </c>
      <c r="B12" s="3" t="s">
        <v>703</v>
      </c>
      <c r="D12" s="3" t="s">
        <v>807</v>
      </c>
      <c r="E12" s="27"/>
      <c r="F12" s="27"/>
      <c r="G12" s="27"/>
      <c r="H12" s="27"/>
      <c r="I12" s="27"/>
      <c r="J12" s="27"/>
      <c r="K12" s="27"/>
      <c r="L12" s="27"/>
      <c r="M12" s="27"/>
      <c r="N12" s="27"/>
      <c r="O12" s="27"/>
      <c r="P12" s="27"/>
      <c r="Q12" s="27">
        <f>SUM(E12:P12)</f>
        <v>0</v>
      </c>
      <c r="S12" s="35"/>
      <c r="T12" s="40">
        <f>IF(Q12-S12=0,0,(Q12-S12)/S12)</f>
        <v>0</v>
      </c>
    </row>
    <row r="13" spans="1:20" s="3" customFormat="1" ht="24.95" customHeight="1">
      <c r="A13" s="3" t="s">
        <v>808</v>
      </c>
      <c r="B13" s="3" t="s">
        <v>703</v>
      </c>
      <c r="C13" s="3" t="s">
        <v>809</v>
      </c>
      <c r="D13" s="26" t="s">
        <v>810</v>
      </c>
      <c r="E13" s="27">
        <v>0</v>
      </c>
      <c r="F13" s="27">
        <v>0</v>
      </c>
      <c r="G13" s="27">
        <v>0</v>
      </c>
      <c r="H13" s="27">
        <v>0</v>
      </c>
      <c r="I13" s="27">
        <v>0</v>
      </c>
      <c r="J13" s="27">
        <v>0</v>
      </c>
      <c r="K13" s="27">
        <v>0</v>
      </c>
      <c r="L13" s="27">
        <v>0</v>
      </c>
      <c r="M13" s="27">
        <v>0</v>
      </c>
      <c r="N13" s="27">
        <v>0</v>
      </c>
      <c r="O13" s="27">
        <v>0</v>
      </c>
      <c r="P13" s="27">
        <v>0</v>
      </c>
      <c r="Q13" s="27">
        <f>SUM(E13:P13)</f>
        <v>0</v>
      </c>
      <c r="S13" s="35"/>
      <c r="T13" s="40">
        <f t="shared" ref="T13:T76" si="0">IF(Q13-S13=0,0,(Q13-S13)/S13)</f>
        <v>0</v>
      </c>
    </row>
    <row r="14" spans="1:20" s="3" customFormat="1" ht="24.95" customHeight="1">
      <c r="D14" s="21" t="s">
        <v>671</v>
      </c>
      <c r="E14" s="30">
        <f>SUM(E12:E13)</f>
        <v>0</v>
      </c>
      <c r="F14" s="30">
        <f t="shared" ref="F14:Q14" si="1">SUM(F12:F13)</f>
        <v>0</v>
      </c>
      <c r="G14" s="30">
        <f t="shared" si="1"/>
        <v>0</v>
      </c>
      <c r="H14" s="30">
        <f t="shared" si="1"/>
        <v>0</v>
      </c>
      <c r="I14" s="30">
        <f t="shared" si="1"/>
        <v>0</v>
      </c>
      <c r="J14" s="30">
        <f t="shared" si="1"/>
        <v>0</v>
      </c>
      <c r="K14" s="30">
        <f t="shared" si="1"/>
        <v>0</v>
      </c>
      <c r="L14" s="30">
        <f t="shared" si="1"/>
        <v>0</v>
      </c>
      <c r="M14" s="30">
        <f t="shared" si="1"/>
        <v>0</v>
      </c>
      <c r="N14" s="30">
        <f t="shared" si="1"/>
        <v>0</v>
      </c>
      <c r="O14" s="30">
        <f t="shared" si="1"/>
        <v>0</v>
      </c>
      <c r="P14" s="30">
        <f t="shared" si="1"/>
        <v>0</v>
      </c>
      <c r="Q14" s="30">
        <f t="shared" si="1"/>
        <v>0</v>
      </c>
      <c r="S14" s="35"/>
      <c r="T14" s="40">
        <f t="shared" si="0"/>
        <v>0</v>
      </c>
    </row>
    <row r="15" spans="1:20" s="3" customFormat="1" ht="24.95" customHeight="1">
      <c r="D15" s="21"/>
      <c r="E15" s="82"/>
      <c r="F15" s="82"/>
      <c r="G15" s="82"/>
      <c r="H15" s="82"/>
      <c r="I15" s="82"/>
      <c r="J15" s="82"/>
      <c r="K15" s="82"/>
      <c r="L15" s="82"/>
      <c r="M15" s="82"/>
      <c r="N15" s="82"/>
      <c r="O15" s="82"/>
      <c r="P15" s="82"/>
      <c r="Q15" s="82"/>
      <c r="S15" s="35"/>
      <c r="T15" s="40"/>
    </row>
    <row r="16" spans="1:20" s="3" customFormat="1" ht="24.95" customHeight="1">
      <c r="D16" s="21" t="s">
        <v>423</v>
      </c>
      <c r="E16" s="27"/>
      <c r="F16" s="96"/>
      <c r="G16" s="27"/>
      <c r="H16" s="96"/>
      <c r="I16" s="27"/>
      <c r="J16" s="96"/>
      <c r="K16" s="27"/>
      <c r="L16" s="96"/>
      <c r="M16" s="27"/>
      <c r="N16" s="96"/>
      <c r="O16" s="103"/>
      <c r="P16" s="103"/>
      <c r="Q16" s="103"/>
      <c r="S16" s="35"/>
      <c r="T16" s="40"/>
    </row>
    <row r="17" spans="1:20" s="3" customFormat="1" ht="24.95" hidden="1" customHeight="1">
      <c r="A17" s="3" t="s">
        <v>765</v>
      </c>
      <c r="B17" s="3" t="s">
        <v>703</v>
      </c>
      <c r="D17" s="26" t="s">
        <v>811</v>
      </c>
      <c r="E17" s="97">
        <v>0</v>
      </c>
      <c r="F17" s="97">
        <v>0</v>
      </c>
      <c r="G17" s="97">
        <v>0</v>
      </c>
      <c r="H17" s="97">
        <v>0</v>
      </c>
      <c r="I17" s="97">
        <v>0</v>
      </c>
      <c r="J17" s="97">
        <v>0</v>
      </c>
      <c r="K17" s="97">
        <v>0</v>
      </c>
      <c r="L17" s="97">
        <v>0</v>
      </c>
      <c r="M17" s="97">
        <v>0</v>
      </c>
      <c r="N17" s="97">
        <v>0</v>
      </c>
      <c r="O17" s="97">
        <v>0</v>
      </c>
      <c r="P17" s="97">
        <v>0</v>
      </c>
      <c r="Q17" s="103">
        <f>SUM(E17:P17)</f>
        <v>0</v>
      </c>
      <c r="S17" s="35"/>
      <c r="T17" s="40">
        <f t="shared" si="0"/>
        <v>0</v>
      </c>
    </row>
    <row r="18" spans="1:20" s="3" customFormat="1" ht="24.95" hidden="1" customHeight="1">
      <c r="A18" s="3" t="s">
        <v>765</v>
      </c>
      <c r="B18" s="3" t="s">
        <v>703</v>
      </c>
      <c r="C18" s="3" t="s">
        <v>809</v>
      </c>
      <c r="D18" s="26" t="s">
        <v>810</v>
      </c>
      <c r="E18" s="97">
        <v>0</v>
      </c>
      <c r="F18" s="97">
        <v>0</v>
      </c>
      <c r="G18" s="97">
        <v>0</v>
      </c>
      <c r="H18" s="97">
        <v>0</v>
      </c>
      <c r="I18" s="97">
        <v>0</v>
      </c>
      <c r="J18" s="97">
        <v>0</v>
      </c>
      <c r="K18" s="97">
        <v>0</v>
      </c>
      <c r="L18" s="97">
        <v>0</v>
      </c>
      <c r="M18" s="97">
        <v>0</v>
      </c>
      <c r="N18" s="97">
        <v>0</v>
      </c>
      <c r="O18" s="97">
        <v>0</v>
      </c>
      <c r="P18" s="97">
        <v>0</v>
      </c>
      <c r="Q18" s="103">
        <f t="shared" ref="Q18:Q25" si="2">SUM(E18:P18)</f>
        <v>0</v>
      </c>
      <c r="S18" s="35"/>
      <c r="T18" s="40">
        <f t="shared" si="0"/>
        <v>0</v>
      </c>
    </row>
    <row r="19" spans="1:20" s="3" customFormat="1" ht="24.95" hidden="1" customHeight="1">
      <c r="A19" s="3" t="s">
        <v>765</v>
      </c>
      <c r="B19" s="3" t="s">
        <v>703</v>
      </c>
      <c r="C19" s="3" t="s">
        <v>812</v>
      </c>
      <c r="D19" s="26" t="s">
        <v>813</v>
      </c>
      <c r="E19" s="97">
        <v>0</v>
      </c>
      <c r="F19" s="97">
        <v>0</v>
      </c>
      <c r="G19" s="97">
        <v>0</v>
      </c>
      <c r="H19" s="97">
        <v>0</v>
      </c>
      <c r="I19" s="97">
        <v>0</v>
      </c>
      <c r="J19" s="97">
        <v>0</v>
      </c>
      <c r="K19" s="97">
        <v>0</v>
      </c>
      <c r="L19" s="97">
        <v>0</v>
      </c>
      <c r="M19" s="97">
        <v>0</v>
      </c>
      <c r="N19" s="97">
        <v>0</v>
      </c>
      <c r="O19" s="97">
        <v>0</v>
      </c>
      <c r="P19" s="97">
        <v>0</v>
      </c>
      <c r="Q19" s="103">
        <f t="shared" si="2"/>
        <v>0</v>
      </c>
      <c r="S19" s="35"/>
      <c r="T19" s="40">
        <f t="shared" si="0"/>
        <v>0</v>
      </c>
    </row>
    <row r="20" spans="1:20" s="3" customFormat="1" ht="24.95" hidden="1" customHeight="1">
      <c r="A20" s="3" t="s">
        <v>765</v>
      </c>
      <c r="B20" s="3" t="s">
        <v>703</v>
      </c>
      <c r="C20" s="3" t="s">
        <v>814</v>
      </c>
      <c r="D20" s="78" t="s">
        <v>815</v>
      </c>
      <c r="E20" s="97">
        <v>0</v>
      </c>
      <c r="F20" s="97">
        <v>0</v>
      </c>
      <c r="G20" s="97">
        <v>0</v>
      </c>
      <c r="H20" s="97">
        <v>0</v>
      </c>
      <c r="I20" s="97">
        <v>0</v>
      </c>
      <c r="J20" s="97">
        <v>0</v>
      </c>
      <c r="K20" s="97">
        <v>0</v>
      </c>
      <c r="L20" s="97">
        <v>0</v>
      </c>
      <c r="M20" s="97">
        <v>0</v>
      </c>
      <c r="N20" s="97">
        <v>0</v>
      </c>
      <c r="O20" s="97">
        <v>0</v>
      </c>
      <c r="P20" s="97">
        <v>0</v>
      </c>
      <c r="Q20" s="103">
        <f t="shared" si="2"/>
        <v>0</v>
      </c>
      <c r="S20" s="35"/>
      <c r="T20" s="40">
        <f t="shared" si="0"/>
        <v>0</v>
      </c>
    </row>
    <row r="21" spans="1:20" s="3" customFormat="1" ht="24.95" hidden="1" customHeight="1">
      <c r="A21" s="3" t="s">
        <v>765</v>
      </c>
      <c r="B21" s="3" t="s">
        <v>703</v>
      </c>
      <c r="C21" s="3" t="s">
        <v>816</v>
      </c>
      <c r="D21" s="26" t="s">
        <v>817</v>
      </c>
      <c r="E21" s="97">
        <v>0</v>
      </c>
      <c r="F21" s="97">
        <v>0</v>
      </c>
      <c r="G21" s="97">
        <v>0</v>
      </c>
      <c r="H21" s="97">
        <v>0</v>
      </c>
      <c r="I21" s="97">
        <v>0</v>
      </c>
      <c r="J21" s="97">
        <v>0</v>
      </c>
      <c r="K21" s="97">
        <v>0</v>
      </c>
      <c r="L21" s="97">
        <v>0</v>
      </c>
      <c r="M21" s="97">
        <v>0</v>
      </c>
      <c r="N21" s="97">
        <v>0</v>
      </c>
      <c r="O21" s="97">
        <v>0</v>
      </c>
      <c r="P21" s="97">
        <v>0</v>
      </c>
      <c r="Q21" s="103">
        <f t="shared" si="2"/>
        <v>0</v>
      </c>
      <c r="S21" s="35"/>
      <c r="T21" s="40">
        <f t="shared" si="0"/>
        <v>0</v>
      </c>
    </row>
    <row r="22" spans="1:20" s="3" customFormat="1" ht="24.95" hidden="1" customHeight="1">
      <c r="A22" s="3" t="s">
        <v>765</v>
      </c>
      <c r="B22" s="3" t="s">
        <v>703</v>
      </c>
      <c r="C22" s="3" t="s">
        <v>818</v>
      </c>
      <c r="D22" s="26" t="s">
        <v>819</v>
      </c>
      <c r="E22" s="97">
        <v>0</v>
      </c>
      <c r="F22" s="97">
        <v>0</v>
      </c>
      <c r="G22" s="97">
        <v>0</v>
      </c>
      <c r="H22" s="97">
        <v>0</v>
      </c>
      <c r="I22" s="97">
        <v>0</v>
      </c>
      <c r="J22" s="97">
        <v>0</v>
      </c>
      <c r="K22" s="97">
        <v>0</v>
      </c>
      <c r="L22" s="97">
        <v>0</v>
      </c>
      <c r="M22" s="97">
        <v>0</v>
      </c>
      <c r="N22" s="97">
        <v>0</v>
      </c>
      <c r="O22" s="97">
        <v>0</v>
      </c>
      <c r="P22" s="97">
        <v>0</v>
      </c>
      <c r="Q22" s="103">
        <f t="shared" si="2"/>
        <v>0</v>
      </c>
      <c r="S22" s="35"/>
      <c r="T22" s="40">
        <f t="shared" si="0"/>
        <v>0</v>
      </c>
    </row>
    <row r="23" spans="1:20" s="3" customFormat="1" ht="24.95" hidden="1" customHeight="1">
      <c r="A23" s="3" t="s">
        <v>765</v>
      </c>
      <c r="B23" s="3" t="s">
        <v>703</v>
      </c>
      <c r="C23" s="3" t="s">
        <v>820</v>
      </c>
      <c r="D23" s="26" t="s">
        <v>821</v>
      </c>
      <c r="E23" s="97">
        <v>0</v>
      </c>
      <c r="F23" s="97">
        <v>0</v>
      </c>
      <c r="G23" s="97">
        <v>0</v>
      </c>
      <c r="H23" s="97">
        <v>0</v>
      </c>
      <c r="I23" s="97">
        <v>0</v>
      </c>
      <c r="J23" s="97">
        <v>0</v>
      </c>
      <c r="K23" s="97">
        <v>0</v>
      </c>
      <c r="L23" s="97">
        <v>0</v>
      </c>
      <c r="M23" s="97">
        <v>0</v>
      </c>
      <c r="N23" s="97">
        <v>0</v>
      </c>
      <c r="O23" s="97">
        <v>0</v>
      </c>
      <c r="P23" s="97">
        <v>0</v>
      </c>
      <c r="Q23" s="103">
        <f t="shared" si="2"/>
        <v>0</v>
      </c>
      <c r="S23" s="35"/>
      <c r="T23" s="40">
        <f t="shared" si="0"/>
        <v>0</v>
      </c>
    </row>
    <row r="24" spans="1:20" s="3" customFormat="1" ht="24.95" customHeight="1">
      <c r="A24" s="3" t="s">
        <v>765</v>
      </c>
      <c r="B24" s="3" t="s">
        <v>703</v>
      </c>
      <c r="C24" s="3" t="s">
        <v>822</v>
      </c>
      <c r="D24" s="26" t="s">
        <v>762</v>
      </c>
      <c r="E24" s="97">
        <v>0</v>
      </c>
      <c r="F24" s="97">
        <v>0</v>
      </c>
      <c r="G24" s="97">
        <v>0</v>
      </c>
      <c r="H24" s="97">
        <v>0</v>
      </c>
      <c r="I24" s="97">
        <v>0</v>
      </c>
      <c r="J24" s="97">
        <v>0</v>
      </c>
      <c r="K24" s="97">
        <v>0</v>
      </c>
      <c r="L24" s="97">
        <v>0</v>
      </c>
      <c r="M24" s="97">
        <v>0</v>
      </c>
      <c r="N24" s="97">
        <v>0</v>
      </c>
      <c r="O24" s="97">
        <v>0</v>
      </c>
      <c r="P24" s="97">
        <v>0</v>
      </c>
      <c r="Q24" s="103">
        <f t="shared" si="2"/>
        <v>0</v>
      </c>
      <c r="S24" s="35"/>
      <c r="T24" s="40">
        <f>-IF(Q24-S24=0,0,(Q24-S24)/S24)</f>
        <v>0</v>
      </c>
    </row>
    <row r="25" spans="1:20" s="19" customFormat="1" ht="24.95" customHeight="1">
      <c r="A25" s="3" t="s">
        <v>823</v>
      </c>
      <c r="B25" s="3" t="s">
        <v>703</v>
      </c>
      <c r="C25" s="3"/>
      <c r="D25" s="21" t="s">
        <v>771</v>
      </c>
      <c r="E25" s="98">
        <f>SUM(E17:E24)</f>
        <v>0</v>
      </c>
      <c r="F25" s="98">
        <f t="shared" ref="F25:P25" si="3">SUM(F17:F24)</f>
        <v>0</v>
      </c>
      <c r="G25" s="98">
        <f t="shared" si="3"/>
        <v>0</v>
      </c>
      <c r="H25" s="98">
        <f t="shared" si="3"/>
        <v>0</v>
      </c>
      <c r="I25" s="98">
        <f t="shared" si="3"/>
        <v>0</v>
      </c>
      <c r="J25" s="98">
        <f t="shared" si="3"/>
        <v>0</v>
      </c>
      <c r="K25" s="98">
        <f t="shared" si="3"/>
        <v>0</v>
      </c>
      <c r="L25" s="98">
        <f t="shared" si="3"/>
        <v>0</v>
      </c>
      <c r="M25" s="98">
        <f t="shared" si="3"/>
        <v>0</v>
      </c>
      <c r="N25" s="98">
        <f t="shared" si="3"/>
        <v>0</v>
      </c>
      <c r="O25" s="98">
        <f t="shared" si="3"/>
        <v>0</v>
      </c>
      <c r="P25" s="98">
        <f t="shared" si="3"/>
        <v>0</v>
      </c>
      <c r="Q25" s="118">
        <f t="shared" si="2"/>
        <v>0</v>
      </c>
      <c r="R25" s="39">
        <f>IF(Q14=0,0,Q25/$Q$14)</f>
        <v>0</v>
      </c>
      <c r="S25" s="35"/>
      <c r="T25" s="40">
        <f>-IF(Q25-S25=0,0,(Q25-S25)/S25)</f>
        <v>0</v>
      </c>
    </row>
    <row r="26" spans="1:20" s="19" customFormat="1" ht="24.95" customHeight="1">
      <c r="A26" s="3"/>
      <c r="B26" s="3"/>
      <c r="C26" s="3"/>
      <c r="D26" s="21"/>
      <c r="E26" s="99"/>
      <c r="F26" s="99"/>
      <c r="G26" s="99"/>
      <c r="H26" s="99"/>
      <c r="I26" s="99"/>
      <c r="J26" s="99"/>
      <c r="K26" s="99"/>
      <c r="L26" s="99"/>
      <c r="M26" s="99"/>
      <c r="N26" s="99"/>
      <c r="O26" s="99"/>
      <c r="P26" s="99"/>
      <c r="Q26" s="103"/>
      <c r="R26" s="3"/>
      <c r="S26" s="35"/>
      <c r="T26" s="40"/>
    </row>
    <row r="27" spans="1:20" s="19" customFormat="1" ht="24.95" customHeight="1">
      <c r="A27" s="19" t="s">
        <v>482</v>
      </c>
      <c r="B27" s="19" t="s">
        <v>703</v>
      </c>
      <c r="D27" s="19" t="s">
        <v>772</v>
      </c>
      <c r="E27" s="99">
        <f>E135</f>
        <v>30060.38</v>
      </c>
      <c r="F27" s="99">
        <f t="shared" ref="F27:P27" si="4">F135</f>
        <v>32227.84</v>
      </c>
      <c r="G27" s="99">
        <f t="shared" si="4"/>
        <v>28707.68</v>
      </c>
      <c r="H27" s="99">
        <f t="shared" si="4"/>
        <v>30060.38</v>
      </c>
      <c r="I27" s="99">
        <f t="shared" si="4"/>
        <v>30060.38</v>
      </c>
      <c r="J27" s="99">
        <f t="shared" si="4"/>
        <v>30060.38</v>
      </c>
      <c r="K27" s="99">
        <f t="shared" si="4"/>
        <v>28707.68</v>
      </c>
      <c r="L27" s="99">
        <f t="shared" si="4"/>
        <v>28707.68</v>
      </c>
      <c r="M27" s="99">
        <f t="shared" si="4"/>
        <v>30060.38</v>
      </c>
      <c r="N27" s="99">
        <f t="shared" si="4"/>
        <v>32227.84</v>
      </c>
      <c r="O27" s="99">
        <f t="shared" si="4"/>
        <v>28707.68</v>
      </c>
      <c r="P27" s="99">
        <f t="shared" si="4"/>
        <v>28707.68</v>
      </c>
      <c r="Q27" s="104">
        <f>SUM(E27:P27)</f>
        <v>358295.98</v>
      </c>
      <c r="R27" s="39">
        <f>IF(Q14=0,0,Q27/$Q$14)</f>
        <v>0</v>
      </c>
      <c r="S27" s="35"/>
      <c r="T27" s="40" t="e">
        <f>-IF(Q27-S27=0,0,(Q27-S27)/S27)</f>
        <v>#DIV/0!</v>
      </c>
    </row>
    <row r="28" spans="1:20" s="19" customFormat="1" ht="24.95" customHeight="1">
      <c r="D28" s="26"/>
      <c r="E28" s="99"/>
      <c r="F28" s="99"/>
      <c r="G28" s="99"/>
      <c r="H28" s="99"/>
      <c r="I28" s="99"/>
      <c r="J28" s="99"/>
      <c r="K28" s="99"/>
      <c r="L28" s="99"/>
      <c r="M28" s="99"/>
      <c r="N28" s="99"/>
      <c r="O28" s="99"/>
      <c r="P28" s="99"/>
      <c r="Q28" s="103"/>
      <c r="R28" s="3"/>
      <c r="S28" s="35"/>
      <c r="T28" s="40"/>
    </row>
    <row r="29" spans="1:20" s="19" customFormat="1" ht="24.95" customHeight="1">
      <c r="D29" s="21" t="s">
        <v>773</v>
      </c>
      <c r="E29" s="99"/>
      <c r="F29" s="99"/>
      <c r="G29" s="99"/>
      <c r="H29" s="99"/>
      <c r="I29" s="99"/>
      <c r="J29" s="99"/>
      <c r="K29" s="99"/>
      <c r="L29" s="99"/>
      <c r="M29" s="99"/>
      <c r="N29" s="99"/>
      <c r="O29" s="99"/>
      <c r="P29" s="99"/>
      <c r="Q29" s="103"/>
      <c r="R29" s="3"/>
      <c r="S29" s="35"/>
      <c r="T29" s="40"/>
    </row>
    <row r="30" spans="1:20" s="19" customFormat="1" ht="24.95" hidden="1" customHeight="1">
      <c r="A30" s="19" t="s">
        <v>484</v>
      </c>
      <c r="B30" s="19" t="s">
        <v>703</v>
      </c>
      <c r="D30" s="26" t="s">
        <v>141</v>
      </c>
      <c r="E30" s="97">
        <v>0</v>
      </c>
      <c r="F30" s="97">
        <v>0</v>
      </c>
      <c r="G30" s="97">
        <v>0</v>
      </c>
      <c r="H30" s="97">
        <v>0</v>
      </c>
      <c r="I30" s="97">
        <v>0</v>
      </c>
      <c r="J30" s="97">
        <v>0</v>
      </c>
      <c r="K30" s="97">
        <v>0</v>
      </c>
      <c r="L30" s="97">
        <v>0</v>
      </c>
      <c r="M30" s="97">
        <v>0</v>
      </c>
      <c r="N30" s="97">
        <v>0</v>
      </c>
      <c r="O30" s="97">
        <v>0</v>
      </c>
      <c r="P30" s="97">
        <v>0</v>
      </c>
      <c r="Q30" s="103">
        <f>SUM(E30:P30)</f>
        <v>0</v>
      </c>
      <c r="R30" s="3"/>
      <c r="S30" s="35"/>
      <c r="T30" s="40">
        <f t="shared" si="0"/>
        <v>0</v>
      </c>
    </row>
    <row r="31" spans="1:20" s="19" customFormat="1" ht="24.95" hidden="1" customHeight="1">
      <c r="A31" s="19" t="s">
        <v>486</v>
      </c>
      <c r="B31" s="19" t="s">
        <v>703</v>
      </c>
      <c r="D31" s="26" t="s">
        <v>143</v>
      </c>
      <c r="E31" s="97">
        <v>0</v>
      </c>
      <c r="F31" s="97">
        <v>0</v>
      </c>
      <c r="G31" s="97">
        <v>0</v>
      </c>
      <c r="H31" s="97">
        <v>0</v>
      </c>
      <c r="I31" s="97">
        <v>0</v>
      </c>
      <c r="J31" s="97">
        <v>0</v>
      </c>
      <c r="K31" s="97">
        <v>0</v>
      </c>
      <c r="L31" s="97">
        <v>0</v>
      </c>
      <c r="M31" s="97">
        <v>0</v>
      </c>
      <c r="N31" s="97">
        <v>0</v>
      </c>
      <c r="O31" s="97">
        <v>0</v>
      </c>
      <c r="P31" s="97">
        <v>0</v>
      </c>
      <c r="Q31" s="103">
        <f t="shared" ref="Q31:Q94" si="5">SUM(E31:P31)</f>
        <v>0</v>
      </c>
      <c r="R31" s="3"/>
      <c r="S31" s="35"/>
      <c r="T31" s="40">
        <f t="shared" si="0"/>
        <v>0</v>
      </c>
    </row>
    <row r="32" spans="1:20" s="19" customFormat="1" ht="24.95" hidden="1" customHeight="1">
      <c r="A32" s="19" t="s">
        <v>488</v>
      </c>
      <c r="B32" s="19" t="s">
        <v>703</v>
      </c>
      <c r="D32" s="26" t="s">
        <v>145</v>
      </c>
      <c r="E32" s="97">
        <v>0</v>
      </c>
      <c r="F32" s="97">
        <v>0</v>
      </c>
      <c r="G32" s="97">
        <v>0</v>
      </c>
      <c r="H32" s="97">
        <v>0</v>
      </c>
      <c r="I32" s="97">
        <v>0</v>
      </c>
      <c r="J32" s="97">
        <v>0</v>
      </c>
      <c r="K32" s="97">
        <v>0</v>
      </c>
      <c r="L32" s="97">
        <v>0</v>
      </c>
      <c r="M32" s="97">
        <v>0</v>
      </c>
      <c r="N32" s="97">
        <v>0</v>
      </c>
      <c r="O32" s="97">
        <v>0</v>
      </c>
      <c r="P32" s="97">
        <v>0</v>
      </c>
      <c r="Q32" s="103">
        <f t="shared" si="5"/>
        <v>0</v>
      </c>
      <c r="R32" s="3"/>
      <c r="S32" s="35"/>
      <c r="T32" s="40">
        <f t="shared" si="0"/>
        <v>0</v>
      </c>
    </row>
    <row r="33" spans="1:20" s="19" customFormat="1" ht="24.95" hidden="1" customHeight="1">
      <c r="A33" s="19" t="s">
        <v>490</v>
      </c>
      <c r="B33" s="19" t="s">
        <v>703</v>
      </c>
      <c r="D33" s="26" t="s">
        <v>147</v>
      </c>
      <c r="E33" s="97">
        <v>0</v>
      </c>
      <c r="F33" s="97">
        <v>0</v>
      </c>
      <c r="G33" s="97">
        <v>0</v>
      </c>
      <c r="H33" s="97">
        <v>0</v>
      </c>
      <c r="I33" s="97">
        <v>0</v>
      </c>
      <c r="J33" s="97">
        <v>0</v>
      </c>
      <c r="K33" s="97">
        <v>0</v>
      </c>
      <c r="L33" s="97">
        <v>0</v>
      </c>
      <c r="M33" s="97">
        <v>0</v>
      </c>
      <c r="N33" s="97">
        <v>0</v>
      </c>
      <c r="O33" s="97">
        <v>0</v>
      </c>
      <c r="P33" s="97">
        <v>0</v>
      </c>
      <c r="Q33" s="103">
        <f t="shared" si="5"/>
        <v>0</v>
      </c>
      <c r="R33" s="3"/>
      <c r="S33" s="35"/>
      <c r="T33" s="40">
        <f t="shared" si="0"/>
        <v>0</v>
      </c>
    </row>
    <row r="34" spans="1:20" s="19" customFormat="1" ht="24.95" hidden="1" customHeight="1">
      <c r="A34" s="19" t="s">
        <v>492</v>
      </c>
      <c r="B34" s="19" t="s">
        <v>703</v>
      </c>
      <c r="D34" s="26" t="s">
        <v>149</v>
      </c>
      <c r="E34" s="97">
        <v>0</v>
      </c>
      <c r="F34" s="97">
        <v>0</v>
      </c>
      <c r="G34" s="97">
        <v>0</v>
      </c>
      <c r="H34" s="97">
        <v>0</v>
      </c>
      <c r="I34" s="97">
        <v>0</v>
      </c>
      <c r="J34" s="97">
        <v>0</v>
      </c>
      <c r="K34" s="97">
        <v>0</v>
      </c>
      <c r="L34" s="97">
        <v>0</v>
      </c>
      <c r="M34" s="97">
        <v>0</v>
      </c>
      <c r="N34" s="97">
        <v>0</v>
      </c>
      <c r="O34" s="97">
        <v>0</v>
      </c>
      <c r="P34" s="97">
        <v>0</v>
      </c>
      <c r="Q34" s="103">
        <f t="shared" si="5"/>
        <v>0</v>
      </c>
      <c r="R34" s="3"/>
      <c r="S34" s="35"/>
      <c r="T34" s="40">
        <f t="shared" si="0"/>
        <v>0</v>
      </c>
    </row>
    <row r="35" spans="1:20" s="19" customFormat="1" ht="24.95" hidden="1" customHeight="1">
      <c r="A35" s="19" t="s">
        <v>494</v>
      </c>
      <c r="B35" s="19" t="s">
        <v>703</v>
      </c>
      <c r="D35" s="26" t="s">
        <v>151</v>
      </c>
      <c r="E35" s="97">
        <v>0</v>
      </c>
      <c r="F35" s="97">
        <v>0</v>
      </c>
      <c r="G35" s="97">
        <v>0</v>
      </c>
      <c r="H35" s="97">
        <v>0</v>
      </c>
      <c r="I35" s="97">
        <v>0</v>
      </c>
      <c r="J35" s="97">
        <v>0</v>
      </c>
      <c r="K35" s="97">
        <v>0</v>
      </c>
      <c r="L35" s="97">
        <v>0</v>
      </c>
      <c r="M35" s="97">
        <v>0</v>
      </c>
      <c r="N35" s="97">
        <v>0</v>
      </c>
      <c r="O35" s="97">
        <v>0</v>
      </c>
      <c r="P35" s="97">
        <v>0</v>
      </c>
      <c r="Q35" s="103">
        <f t="shared" si="5"/>
        <v>0</v>
      </c>
      <c r="R35" s="3"/>
      <c r="S35" s="35"/>
      <c r="T35" s="40">
        <f t="shared" si="0"/>
        <v>0</v>
      </c>
    </row>
    <row r="36" spans="1:20" s="19" customFormat="1" ht="24.95" hidden="1" customHeight="1">
      <c r="A36" s="19" t="s">
        <v>496</v>
      </c>
      <c r="B36" s="19" t="s">
        <v>703</v>
      </c>
      <c r="D36" s="26" t="s">
        <v>153</v>
      </c>
      <c r="E36" s="97">
        <v>0</v>
      </c>
      <c r="F36" s="97">
        <v>0</v>
      </c>
      <c r="G36" s="97">
        <v>0</v>
      </c>
      <c r="H36" s="97">
        <v>0</v>
      </c>
      <c r="I36" s="97">
        <v>0</v>
      </c>
      <c r="J36" s="97">
        <v>0</v>
      </c>
      <c r="K36" s="97">
        <v>0</v>
      </c>
      <c r="L36" s="97">
        <v>0</v>
      </c>
      <c r="M36" s="97">
        <v>0</v>
      </c>
      <c r="N36" s="97">
        <v>0</v>
      </c>
      <c r="O36" s="97">
        <v>0</v>
      </c>
      <c r="P36" s="97">
        <v>0</v>
      </c>
      <c r="Q36" s="103">
        <f t="shared" si="5"/>
        <v>0</v>
      </c>
      <c r="R36" s="3"/>
      <c r="S36" s="35"/>
      <c r="T36" s="40">
        <f t="shared" si="0"/>
        <v>0</v>
      </c>
    </row>
    <row r="37" spans="1:20" s="19" customFormat="1" ht="24.95" hidden="1" customHeight="1">
      <c r="A37" s="19" t="s">
        <v>498</v>
      </c>
      <c r="B37" s="19" t="s">
        <v>703</v>
      </c>
      <c r="D37" s="26" t="s">
        <v>155</v>
      </c>
      <c r="E37" s="97">
        <v>0</v>
      </c>
      <c r="F37" s="97">
        <v>0</v>
      </c>
      <c r="G37" s="97">
        <v>0</v>
      </c>
      <c r="H37" s="97">
        <v>0</v>
      </c>
      <c r="I37" s="97">
        <v>0</v>
      </c>
      <c r="J37" s="97">
        <v>0</v>
      </c>
      <c r="K37" s="97">
        <v>0</v>
      </c>
      <c r="L37" s="97">
        <v>0</v>
      </c>
      <c r="M37" s="97">
        <v>0</v>
      </c>
      <c r="N37" s="97">
        <v>0</v>
      </c>
      <c r="O37" s="97">
        <v>0</v>
      </c>
      <c r="P37" s="97">
        <v>0</v>
      </c>
      <c r="Q37" s="103">
        <f t="shared" si="5"/>
        <v>0</v>
      </c>
      <c r="R37" s="3"/>
      <c r="S37" s="35"/>
      <c r="T37" s="40">
        <f t="shared" si="0"/>
        <v>0</v>
      </c>
    </row>
    <row r="38" spans="1:20" s="19" customFormat="1" ht="24.95" hidden="1" customHeight="1">
      <c r="A38" s="19" t="s">
        <v>500</v>
      </c>
      <c r="B38" s="19" t="s">
        <v>703</v>
      </c>
      <c r="D38" s="26" t="s">
        <v>157</v>
      </c>
      <c r="E38" s="97">
        <v>0</v>
      </c>
      <c r="F38" s="97">
        <v>0</v>
      </c>
      <c r="G38" s="97">
        <v>0</v>
      </c>
      <c r="H38" s="97">
        <v>0</v>
      </c>
      <c r="I38" s="97">
        <v>0</v>
      </c>
      <c r="J38" s="97">
        <v>0</v>
      </c>
      <c r="K38" s="97">
        <v>0</v>
      </c>
      <c r="L38" s="97">
        <v>0</v>
      </c>
      <c r="M38" s="97">
        <v>0</v>
      </c>
      <c r="N38" s="97">
        <v>0</v>
      </c>
      <c r="O38" s="97">
        <v>0</v>
      </c>
      <c r="P38" s="97">
        <v>0</v>
      </c>
      <c r="Q38" s="103">
        <f t="shared" si="5"/>
        <v>0</v>
      </c>
      <c r="R38" s="3"/>
      <c r="S38" s="35"/>
      <c r="T38" s="40">
        <f t="shared" si="0"/>
        <v>0</v>
      </c>
    </row>
    <row r="39" spans="1:20" s="19" customFormat="1" ht="24.95" hidden="1" customHeight="1">
      <c r="A39" s="19" t="s">
        <v>502</v>
      </c>
      <c r="B39" s="19" t="s">
        <v>703</v>
      </c>
      <c r="D39" s="26" t="s">
        <v>159</v>
      </c>
      <c r="E39" s="97">
        <v>0</v>
      </c>
      <c r="F39" s="97">
        <v>0</v>
      </c>
      <c r="G39" s="97">
        <v>0</v>
      </c>
      <c r="H39" s="97">
        <v>0</v>
      </c>
      <c r="I39" s="97">
        <v>0</v>
      </c>
      <c r="J39" s="97">
        <v>0</v>
      </c>
      <c r="K39" s="97">
        <v>0</v>
      </c>
      <c r="L39" s="97">
        <v>0</v>
      </c>
      <c r="M39" s="97">
        <v>0</v>
      </c>
      <c r="N39" s="97">
        <v>0</v>
      </c>
      <c r="O39" s="97">
        <v>0</v>
      </c>
      <c r="P39" s="97">
        <v>0</v>
      </c>
      <c r="Q39" s="103">
        <f t="shared" si="5"/>
        <v>0</v>
      </c>
      <c r="R39" s="3"/>
      <c r="S39" s="35"/>
      <c r="T39" s="40">
        <f t="shared" si="0"/>
        <v>0</v>
      </c>
    </row>
    <row r="40" spans="1:20" s="19" customFormat="1" ht="24.95" hidden="1" customHeight="1">
      <c r="A40" s="19" t="s">
        <v>504</v>
      </c>
      <c r="B40" s="19" t="s">
        <v>703</v>
      </c>
      <c r="D40" s="26" t="s">
        <v>161</v>
      </c>
      <c r="E40" s="97">
        <v>0</v>
      </c>
      <c r="F40" s="97">
        <v>0</v>
      </c>
      <c r="G40" s="97">
        <v>0</v>
      </c>
      <c r="H40" s="97">
        <v>0</v>
      </c>
      <c r="I40" s="97">
        <v>0</v>
      </c>
      <c r="J40" s="97">
        <v>0</v>
      </c>
      <c r="K40" s="97">
        <v>0</v>
      </c>
      <c r="L40" s="97">
        <v>0</v>
      </c>
      <c r="M40" s="97">
        <v>0</v>
      </c>
      <c r="N40" s="97">
        <v>0</v>
      </c>
      <c r="O40" s="97">
        <v>0</v>
      </c>
      <c r="P40" s="97">
        <v>0</v>
      </c>
      <c r="Q40" s="103">
        <f t="shared" si="5"/>
        <v>0</v>
      </c>
      <c r="R40" s="3"/>
      <c r="S40" s="35"/>
      <c r="T40" s="40">
        <f t="shared" si="0"/>
        <v>0</v>
      </c>
    </row>
    <row r="41" spans="1:20" s="19" customFormat="1" ht="24.95" hidden="1" customHeight="1">
      <c r="A41" s="19" t="s">
        <v>506</v>
      </c>
      <c r="B41" s="19" t="s">
        <v>703</v>
      </c>
      <c r="D41" s="26" t="s">
        <v>163</v>
      </c>
      <c r="E41" s="97">
        <v>0</v>
      </c>
      <c r="F41" s="97">
        <v>0</v>
      </c>
      <c r="G41" s="97">
        <v>0</v>
      </c>
      <c r="H41" s="97">
        <v>0</v>
      </c>
      <c r="I41" s="97">
        <v>0</v>
      </c>
      <c r="J41" s="97">
        <v>0</v>
      </c>
      <c r="K41" s="97">
        <v>0</v>
      </c>
      <c r="L41" s="97">
        <v>0</v>
      </c>
      <c r="M41" s="97">
        <v>0</v>
      </c>
      <c r="N41" s="97">
        <v>0</v>
      </c>
      <c r="O41" s="97">
        <v>0</v>
      </c>
      <c r="P41" s="97">
        <v>0</v>
      </c>
      <c r="Q41" s="103">
        <f t="shared" si="5"/>
        <v>0</v>
      </c>
      <c r="R41" s="3"/>
      <c r="S41" s="35"/>
      <c r="T41" s="40">
        <f t="shared" si="0"/>
        <v>0</v>
      </c>
    </row>
    <row r="42" spans="1:20" s="19" customFormat="1" ht="24.95" hidden="1" customHeight="1">
      <c r="A42" s="19" t="s">
        <v>508</v>
      </c>
      <c r="B42" s="19" t="s">
        <v>703</v>
      </c>
      <c r="D42" s="26" t="s">
        <v>165</v>
      </c>
      <c r="E42" s="97">
        <v>0</v>
      </c>
      <c r="F42" s="97">
        <v>0</v>
      </c>
      <c r="G42" s="97">
        <v>0</v>
      </c>
      <c r="H42" s="97">
        <v>0</v>
      </c>
      <c r="I42" s="97">
        <v>0</v>
      </c>
      <c r="J42" s="97">
        <v>0</v>
      </c>
      <c r="K42" s="97">
        <v>0</v>
      </c>
      <c r="L42" s="97">
        <v>0</v>
      </c>
      <c r="M42" s="97">
        <v>0</v>
      </c>
      <c r="N42" s="97">
        <v>0</v>
      </c>
      <c r="O42" s="97">
        <v>0</v>
      </c>
      <c r="P42" s="97">
        <v>0</v>
      </c>
      <c r="Q42" s="103">
        <f t="shared" si="5"/>
        <v>0</v>
      </c>
      <c r="R42" s="3"/>
      <c r="S42" s="35"/>
      <c r="T42" s="40">
        <f t="shared" si="0"/>
        <v>0</v>
      </c>
    </row>
    <row r="43" spans="1:20" s="19" customFormat="1" ht="24.95" hidden="1" customHeight="1">
      <c r="A43" s="19" t="s">
        <v>510</v>
      </c>
      <c r="B43" s="19" t="s">
        <v>703</v>
      </c>
      <c r="D43" s="26" t="s">
        <v>167</v>
      </c>
      <c r="E43" s="97">
        <v>0</v>
      </c>
      <c r="F43" s="97">
        <v>0</v>
      </c>
      <c r="G43" s="97">
        <v>0</v>
      </c>
      <c r="H43" s="97">
        <v>0</v>
      </c>
      <c r="I43" s="97">
        <v>0</v>
      </c>
      <c r="J43" s="97">
        <v>0</v>
      </c>
      <c r="K43" s="97">
        <v>0</v>
      </c>
      <c r="L43" s="97">
        <v>0</v>
      </c>
      <c r="M43" s="97">
        <v>0</v>
      </c>
      <c r="N43" s="97">
        <v>0</v>
      </c>
      <c r="O43" s="97">
        <v>0</v>
      </c>
      <c r="P43" s="97">
        <v>0</v>
      </c>
      <c r="Q43" s="103">
        <f t="shared" si="5"/>
        <v>0</v>
      </c>
      <c r="R43" s="3"/>
      <c r="S43" s="35"/>
      <c r="T43" s="40">
        <f t="shared" si="0"/>
        <v>0</v>
      </c>
    </row>
    <row r="44" spans="1:20" s="3" customFormat="1" ht="24.95" hidden="1" customHeight="1">
      <c r="A44" s="3" t="s">
        <v>512</v>
      </c>
      <c r="B44" s="3" t="s">
        <v>703</v>
      </c>
      <c r="D44" s="26" t="s">
        <v>169</v>
      </c>
      <c r="E44" s="97">
        <v>0</v>
      </c>
      <c r="F44" s="97">
        <v>0</v>
      </c>
      <c r="G44" s="97">
        <v>0</v>
      </c>
      <c r="H44" s="97">
        <v>0</v>
      </c>
      <c r="I44" s="97">
        <v>0</v>
      </c>
      <c r="J44" s="97">
        <v>0</v>
      </c>
      <c r="K44" s="97">
        <v>0</v>
      </c>
      <c r="L44" s="97">
        <v>0</v>
      </c>
      <c r="M44" s="97">
        <v>0</v>
      </c>
      <c r="N44" s="97">
        <v>0</v>
      </c>
      <c r="O44" s="97">
        <v>0</v>
      </c>
      <c r="P44" s="97">
        <v>0</v>
      </c>
      <c r="Q44" s="103">
        <f t="shared" si="5"/>
        <v>0</v>
      </c>
      <c r="S44" s="35"/>
      <c r="T44" s="40">
        <f t="shared" si="0"/>
        <v>0</v>
      </c>
    </row>
    <row r="45" spans="1:20" s="3" customFormat="1" ht="24.95" hidden="1" customHeight="1">
      <c r="A45" s="3" t="s">
        <v>513</v>
      </c>
      <c r="B45" s="3" t="s">
        <v>703</v>
      </c>
      <c r="D45" s="26" t="s">
        <v>171</v>
      </c>
      <c r="E45" s="97">
        <v>0</v>
      </c>
      <c r="F45" s="97">
        <v>0</v>
      </c>
      <c r="G45" s="97">
        <v>0</v>
      </c>
      <c r="H45" s="97">
        <v>0</v>
      </c>
      <c r="I45" s="97">
        <v>0</v>
      </c>
      <c r="J45" s="97">
        <v>0</v>
      </c>
      <c r="K45" s="97">
        <v>0</v>
      </c>
      <c r="L45" s="97">
        <v>0</v>
      </c>
      <c r="M45" s="97">
        <v>0</v>
      </c>
      <c r="N45" s="97">
        <v>0</v>
      </c>
      <c r="O45" s="97">
        <v>0</v>
      </c>
      <c r="P45" s="97">
        <v>0</v>
      </c>
      <c r="Q45" s="103">
        <f t="shared" si="5"/>
        <v>0</v>
      </c>
      <c r="S45" s="35"/>
      <c r="T45" s="40">
        <f t="shared" si="0"/>
        <v>0</v>
      </c>
    </row>
    <row r="46" spans="1:20" s="3" customFormat="1" ht="24.95" hidden="1" customHeight="1">
      <c r="A46" s="271" t="s">
        <v>514</v>
      </c>
      <c r="B46" s="51" t="s">
        <v>703</v>
      </c>
      <c r="D46" s="26" t="s">
        <v>173</v>
      </c>
      <c r="E46" s="97">
        <v>0</v>
      </c>
      <c r="F46" s="97">
        <v>0</v>
      </c>
      <c r="G46" s="97">
        <v>0</v>
      </c>
      <c r="H46" s="97">
        <v>0</v>
      </c>
      <c r="I46" s="97">
        <v>0</v>
      </c>
      <c r="J46" s="97">
        <v>0</v>
      </c>
      <c r="K46" s="97">
        <v>0</v>
      </c>
      <c r="L46" s="97">
        <v>0</v>
      </c>
      <c r="M46" s="97">
        <v>0</v>
      </c>
      <c r="N46" s="97">
        <v>0</v>
      </c>
      <c r="O46" s="97">
        <v>0</v>
      </c>
      <c r="P46" s="97">
        <v>0</v>
      </c>
      <c r="Q46" s="103">
        <f t="shared" si="5"/>
        <v>0</v>
      </c>
      <c r="S46" s="35"/>
      <c r="T46" s="40">
        <f t="shared" si="0"/>
        <v>0</v>
      </c>
    </row>
    <row r="47" spans="1:20" s="3" customFormat="1" ht="24.95" hidden="1" customHeight="1">
      <c r="A47" s="271" t="s">
        <v>516</v>
      </c>
      <c r="B47" s="51" t="s">
        <v>703</v>
      </c>
      <c r="D47" s="26" t="s">
        <v>175</v>
      </c>
      <c r="E47" s="97">
        <v>0</v>
      </c>
      <c r="F47" s="97">
        <v>0</v>
      </c>
      <c r="G47" s="97">
        <v>0</v>
      </c>
      <c r="H47" s="97">
        <v>0</v>
      </c>
      <c r="I47" s="97">
        <v>0</v>
      </c>
      <c r="J47" s="97">
        <v>0</v>
      </c>
      <c r="K47" s="97">
        <v>0</v>
      </c>
      <c r="L47" s="97">
        <v>0</v>
      </c>
      <c r="M47" s="97">
        <v>0</v>
      </c>
      <c r="N47" s="97">
        <v>0</v>
      </c>
      <c r="O47" s="97">
        <v>0</v>
      </c>
      <c r="P47" s="97">
        <v>0</v>
      </c>
      <c r="Q47" s="103">
        <f t="shared" si="5"/>
        <v>0</v>
      </c>
      <c r="S47" s="35"/>
      <c r="T47" s="40">
        <f t="shared" si="0"/>
        <v>0</v>
      </c>
    </row>
    <row r="48" spans="1:20" s="3" customFormat="1" ht="24.95" hidden="1" customHeight="1">
      <c r="A48" s="3" t="s">
        <v>518</v>
      </c>
      <c r="B48" s="51" t="s">
        <v>703</v>
      </c>
      <c r="D48" s="26" t="s">
        <v>177</v>
      </c>
      <c r="E48" s="97">
        <v>0</v>
      </c>
      <c r="F48" s="97">
        <v>0</v>
      </c>
      <c r="G48" s="97">
        <v>0</v>
      </c>
      <c r="H48" s="97">
        <v>0</v>
      </c>
      <c r="I48" s="97">
        <v>0</v>
      </c>
      <c r="J48" s="97">
        <v>0</v>
      </c>
      <c r="K48" s="97">
        <v>0</v>
      </c>
      <c r="L48" s="97">
        <v>0</v>
      </c>
      <c r="M48" s="97">
        <v>0</v>
      </c>
      <c r="N48" s="97">
        <v>0</v>
      </c>
      <c r="O48" s="97">
        <v>0</v>
      </c>
      <c r="P48" s="97">
        <v>0</v>
      </c>
      <c r="Q48" s="103">
        <f t="shared" si="5"/>
        <v>0</v>
      </c>
      <c r="S48" s="35"/>
      <c r="T48" s="40">
        <f t="shared" si="0"/>
        <v>0</v>
      </c>
    </row>
    <row r="49" spans="1:20" s="3" customFormat="1" ht="24.95" hidden="1" customHeight="1">
      <c r="A49" s="3" t="s">
        <v>520</v>
      </c>
      <c r="B49" s="51" t="s">
        <v>703</v>
      </c>
      <c r="D49" s="26" t="s">
        <v>179</v>
      </c>
      <c r="E49" s="97">
        <v>0</v>
      </c>
      <c r="F49" s="97">
        <v>0</v>
      </c>
      <c r="G49" s="97">
        <v>0</v>
      </c>
      <c r="H49" s="97">
        <v>0</v>
      </c>
      <c r="I49" s="97">
        <v>0</v>
      </c>
      <c r="J49" s="97">
        <v>0</v>
      </c>
      <c r="K49" s="97">
        <v>0</v>
      </c>
      <c r="L49" s="97">
        <v>0</v>
      </c>
      <c r="M49" s="97">
        <v>0</v>
      </c>
      <c r="N49" s="97">
        <v>0</v>
      </c>
      <c r="O49" s="97">
        <v>0</v>
      </c>
      <c r="P49" s="97">
        <v>0</v>
      </c>
      <c r="Q49" s="103">
        <f t="shared" si="5"/>
        <v>0</v>
      </c>
      <c r="S49" s="35"/>
      <c r="T49" s="40">
        <f t="shared" si="0"/>
        <v>0</v>
      </c>
    </row>
    <row r="50" spans="1:20" s="3" customFormat="1" ht="24.95" hidden="1" customHeight="1">
      <c r="A50" s="271" t="s">
        <v>522</v>
      </c>
      <c r="B50" s="51" t="s">
        <v>703</v>
      </c>
      <c r="D50" s="26" t="s">
        <v>181</v>
      </c>
      <c r="E50" s="97">
        <v>0</v>
      </c>
      <c r="F50" s="97">
        <v>0</v>
      </c>
      <c r="G50" s="97">
        <v>0</v>
      </c>
      <c r="H50" s="97">
        <v>0</v>
      </c>
      <c r="I50" s="97">
        <v>0</v>
      </c>
      <c r="J50" s="97">
        <v>0</v>
      </c>
      <c r="K50" s="97">
        <v>0</v>
      </c>
      <c r="L50" s="97">
        <v>0</v>
      </c>
      <c r="M50" s="97">
        <v>0</v>
      </c>
      <c r="N50" s="97">
        <v>0</v>
      </c>
      <c r="O50" s="97">
        <v>0</v>
      </c>
      <c r="P50" s="97">
        <v>0</v>
      </c>
      <c r="Q50" s="103">
        <f t="shared" si="5"/>
        <v>0</v>
      </c>
      <c r="S50" s="35"/>
      <c r="T50" s="40">
        <f t="shared" si="0"/>
        <v>0</v>
      </c>
    </row>
    <row r="51" spans="1:20" s="3" customFormat="1" ht="24.95" hidden="1" customHeight="1">
      <c r="A51" s="54" t="s">
        <v>524</v>
      </c>
      <c r="B51" s="51" t="s">
        <v>703</v>
      </c>
      <c r="D51" s="26" t="s">
        <v>183</v>
      </c>
      <c r="E51" s="97">
        <v>0</v>
      </c>
      <c r="F51" s="97">
        <v>0</v>
      </c>
      <c r="G51" s="97">
        <v>0</v>
      </c>
      <c r="H51" s="97">
        <v>0</v>
      </c>
      <c r="I51" s="97">
        <v>0</v>
      </c>
      <c r="J51" s="97">
        <v>0</v>
      </c>
      <c r="K51" s="97">
        <v>0</v>
      </c>
      <c r="L51" s="97">
        <v>0</v>
      </c>
      <c r="M51" s="97">
        <v>0</v>
      </c>
      <c r="N51" s="97">
        <v>0</v>
      </c>
      <c r="O51" s="97">
        <v>0</v>
      </c>
      <c r="P51" s="97">
        <v>0</v>
      </c>
      <c r="Q51" s="103">
        <f t="shared" si="5"/>
        <v>0</v>
      </c>
      <c r="S51" s="35"/>
      <c r="T51" s="40">
        <f t="shared" si="0"/>
        <v>0</v>
      </c>
    </row>
    <row r="52" spans="1:20" s="3" customFormat="1" ht="24.95" hidden="1" customHeight="1">
      <c r="A52" s="271" t="s">
        <v>526</v>
      </c>
      <c r="B52" s="3" t="s">
        <v>703</v>
      </c>
      <c r="D52" s="26" t="s">
        <v>185</v>
      </c>
      <c r="E52" s="97">
        <v>0</v>
      </c>
      <c r="F52" s="97">
        <v>0</v>
      </c>
      <c r="G52" s="97">
        <v>0</v>
      </c>
      <c r="H52" s="97">
        <v>0</v>
      </c>
      <c r="I52" s="97">
        <v>0</v>
      </c>
      <c r="J52" s="97">
        <v>0</v>
      </c>
      <c r="K52" s="97">
        <v>0</v>
      </c>
      <c r="L52" s="97">
        <v>0</v>
      </c>
      <c r="M52" s="97">
        <v>0</v>
      </c>
      <c r="N52" s="97">
        <v>0</v>
      </c>
      <c r="O52" s="97">
        <v>0</v>
      </c>
      <c r="P52" s="97">
        <v>0</v>
      </c>
      <c r="Q52" s="103">
        <f t="shared" si="5"/>
        <v>0</v>
      </c>
      <c r="S52" s="35"/>
      <c r="T52" s="40">
        <f t="shared" si="0"/>
        <v>0</v>
      </c>
    </row>
    <row r="53" spans="1:20" s="3" customFormat="1" ht="24.95" hidden="1" customHeight="1">
      <c r="A53" s="271" t="s">
        <v>528</v>
      </c>
      <c r="B53" s="51" t="s">
        <v>703</v>
      </c>
      <c r="D53" s="26" t="s">
        <v>187</v>
      </c>
      <c r="E53" s="97">
        <v>0</v>
      </c>
      <c r="F53" s="97">
        <v>0</v>
      </c>
      <c r="G53" s="97">
        <v>0</v>
      </c>
      <c r="H53" s="97">
        <v>0</v>
      </c>
      <c r="I53" s="97">
        <v>0</v>
      </c>
      <c r="J53" s="97">
        <v>0</v>
      </c>
      <c r="K53" s="97">
        <v>0</v>
      </c>
      <c r="L53" s="97">
        <v>0</v>
      </c>
      <c r="M53" s="97">
        <v>0</v>
      </c>
      <c r="N53" s="97">
        <v>0</v>
      </c>
      <c r="O53" s="97">
        <v>0</v>
      </c>
      <c r="P53" s="97">
        <v>0</v>
      </c>
      <c r="Q53" s="103">
        <f t="shared" si="5"/>
        <v>0</v>
      </c>
      <c r="S53" s="35"/>
      <c r="T53" s="40">
        <f t="shared" si="0"/>
        <v>0</v>
      </c>
    </row>
    <row r="54" spans="1:20" s="3" customFormat="1" ht="24.95" hidden="1" customHeight="1">
      <c r="A54" s="271" t="s">
        <v>530</v>
      </c>
      <c r="B54" s="51" t="s">
        <v>703</v>
      </c>
      <c r="D54" s="26" t="s">
        <v>189</v>
      </c>
      <c r="E54" s="97">
        <v>0</v>
      </c>
      <c r="F54" s="97">
        <v>0</v>
      </c>
      <c r="G54" s="97">
        <v>0</v>
      </c>
      <c r="H54" s="97">
        <v>0</v>
      </c>
      <c r="I54" s="97">
        <v>0</v>
      </c>
      <c r="J54" s="97">
        <v>0</v>
      </c>
      <c r="K54" s="97">
        <v>0</v>
      </c>
      <c r="L54" s="97">
        <v>0</v>
      </c>
      <c r="M54" s="97">
        <v>0</v>
      </c>
      <c r="N54" s="97">
        <v>0</v>
      </c>
      <c r="O54" s="97">
        <v>0</v>
      </c>
      <c r="P54" s="97">
        <v>0</v>
      </c>
      <c r="Q54" s="103">
        <f t="shared" si="5"/>
        <v>0</v>
      </c>
      <c r="S54" s="35"/>
      <c r="T54" s="40">
        <f t="shared" si="0"/>
        <v>0</v>
      </c>
    </row>
    <row r="55" spans="1:20" s="19" customFormat="1" ht="24.95" hidden="1" customHeight="1">
      <c r="A55" s="271" t="s">
        <v>532</v>
      </c>
      <c r="B55" s="51" t="s">
        <v>703</v>
      </c>
      <c r="D55" s="26" t="s">
        <v>1182</v>
      </c>
      <c r="E55" s="97">
        <v>0</v>
      </c>
      <c r="F55" s="97">
        <v>0</v>
      </c>
      <c r="G55" s="97">
        <v>0</v>
      </c>
      <c r="H55" s="97">
        <v>0</v>
      </c>
      <c r="I55" s="97">
        <v>0</v>
      </c>
      <c r="J55" s="97">
        <v>0</v>
      </c>
      <c r="K55" s="97">
        <v>0</v>
      </c>
      <c r="L55" s="97">
        <v>0</v>
      </c>
      <c r="M55" s="97">
        <v>0</v>
      </c>
      <c r="N55" s="97">
        <v>0</v>
      </c>
      <c r="O55" s="97">
        <v>0</v>
      </c>
      <c r="P55" s="97">
        <v>0</v>
      </c>
      <c r="Q55" s="103">
        <f t="shared" si="5"/>
        <v>0</v>
      </c>
      <c r="R55" s="3"/>
      <c r="S55" s="35"/>
      <c r="T55" s="40">
        <f t="shared" si="0"/>
        <v>0</v>
      </c>
    </row>
    <row r="56" spans="1:20" s="3" customFormat="1" ht="24.95" hidden="1" customHeight="1">
      <c r="A56" s="50" t="s">
        <v>534</v>
      </c>
      <c r="B56" s="3" t="s">
        <v>703</v>
      </c>
      <c r="D56" s="26" t="s">
        <v>193</v>
      </c>
      <c r="E56" s="97">
        <v>0</v>
      </c>
      <c r="F56" s="97">
        <v>0</v>
      </c>
      <c r="G56" s="97">
        <v>0</v>
      </c>
      <c r="H56" s="97">
        <v>0</v>
      </c>
      <c r="I56" s="97">
        <v>0</v>
      </c>
      <c r="J56" s="97">
        <v>0</v>
      </c>
      <c r="K56" s="97">
        <v>0</v>
      </c>
      <c r="L56" s="97">
        <v>0</v>
      </c>
      <c r="M56" s="97">
        <v>0</v>
      </c>
      <c r="N56" s="97">
        <v>0</v>
      </c>
      <c r="O56" s="97">
        <v>0</v>
      </c>
      <c r="P56" s="97">
        <v>0</v>
      </c>
      <c r="Q56" s="103">
        <f t="shared" si="5"/>
        <v>0</v>
      </c>
      <c r="S56" s="35"/>
      <c r="T56" s="40">
        <f t="shared" si="0"/>
        <v>0</v>
      </c>
    </row>
    <row r="57" spans="1:20" s="3" customFormat="1" ht="24.95" hidden="1" customHeight="1">
      <c r="A57" s="271" t="s">
        <v>536</v>
      </c>
      <c r="B57" s="51" t="s">
        <v>703</v>
      </c>
      <c r="D57" s="26" t="s">
        <v>195</v>
      </c>
      <c r="E57" s="97">
        <v>0</v>
      </c>
      <c r="F57" s="97">
        <v>0</v>
      </c>
      <c r="G57" s="97">
        <v>0</v>
      </c>
      <c r="H57" s="97">
        <v>0</v>
      </c>
      <c r="I57" s="97">
        <v>0</v>
      </c>
      <c r="J57" s="97">
        <v>0</v>
      </c>
      <c r="K57" s="97">
        <v>0</v>
      </c>
      <c r="L57" s="97">
        <v>0</v>
      </c>
      <c r="M57" s="97">
        <v>0</v>
      </c>
      <c r="N57" s="97">
        <v>0</v>
      </c>
      <c r="O57" s="97">
        <v>0</v>
      </c>
      <c r="P57" s="97">
        <v>0</v>
      </c>
      <c r="Q57" s="103">
        <f t="shared" si="5"/>
        <v>0</v>
      </c>
      <c r="S57" s="35"/>
      <c r="T57" s="40">
        <f t="shared" si="0"/>
        <v>0</v>
      </c>
    </row>
    <row r="58" spans="1:20" s="3" customFormat="1" ht="24.95" hidden="1" customHeight="1">
      <c r="A58" s="271" t="s">
        <v>538</v>
      </c>
      <c r="B58" s="51" t="s">
        <v>703</v>
      </c>
      <c r="D58" s="26" t="s">
        <v>197</v>
      </c>
      <c r="E58" s="97">
        <v>0</v>
      </c>
      <c r="F58" s="97">
        <v>0</v>
      </c>
      <c r="G58" s="97">
        <v>0</v>
      </c>
      <c r="H58" s="97">
        <v>0</v>
      </c>
      <c r="I58" s="97">
        <v>0</v>
      </c>
      <c r="J58" s="97">
        <v>0</v>
      </c>
      <c r="K58" s="97">
        <v>0</v>
      </c>
      <c r="L58" s="97">
        <v>0</v>
      </c>
      <c r="M58" s="97">
        <v>0</v>
      </c>
      <c r="N58" s="97">
        <v>0</v>
      </c>
      <c r="O58" s="97">
        <v>0</v>
      </c>
      <c r="P58" s="97">
        <v>0</v>
      </c>
      <c r="Q58" s="103">
        <f t="shared" si="5"/>
        <v>0</v>
      </c>
      <c r="R58" s="39" t="e">
        <f t="shared" ref="R58:R84" si="6">Q58/$Q$14</f>
        <v>#DIV/0!</v>
      </c>
      <c r="S58" s="35"/>
      <c r="T58" s="40">
        <f t="shared" si="0"/>
        <v>0</v>
      </c>
    </row>
    <row r="59" spans="1:20" s="3" customFormat="1" ht="24.95" hidden="1" customHeight="1">
      <c r="A59" s="271" t="s">
        <v>540</v>
      </c>
      <c r="B59" s="51" t="s">
        <v>703</v>
      </c>
      <c r="D59" s="26" t="s">
        <v>199</v>
      </c>
      <c r="E59" s="97">
        <v>0</v>
      </c>
      <c r="F59" s="97">
        <v>0</v>
      </c>
      <c r="G59" s="97">
        <v>0</v>
      </c>
      <c r="H59" s="97">
        <v>0</v>
      </c>
      <c r="I59" s="97">
        <v>0</v>
      </c>
      <c r="J59" s="97">
        <v>0</v>
      </c>
      <c r="K59" s="97">
        <v>0</v>
      </c>
      <c r="L59" s="97">
        <v>0</v>
      </c>
      <c r="M59" s="97">
        <v>0</v>
      </c>
      <c r="N59" s="97">
        <v>0</v>
      </c>
      <c r="O59" s="97">
        <v>0</v>
      </c>
      <c r="P59" s="97">
        <v>0</v>
      </c>
      <c r="Q59" s="103">
        <f t="shared" si="5"/>
        <v>0</v>
      </c>
      <c r="R59" s="39" t="e">
        <f t="shared" si="6"/>
        <v>#DIV/0!</v>
      </c>
      <c r="S59" s="35"/>
      <c r="T59" s="40">
        <f t="shared" si="0"/>
        <v>0</v>
      </c>
    </row>
    <row r="60" spans="1:20" s="3" customFormat="1" ht="24.95" hidden="1" customHeight="1">
      <c r="A60" s="271" t="s">
        <v>542</v>
      </c>
      <c r="B60" s="51" t="s">
        <v>703</v>
      </c>
      <c r="D60" s="26" t="s">
        <v>201</v>
      </c>
      <c r="E60" s="97">
        <v>0</v>
      </c>
      <c r="F60" s="97">
        <v>0</v>
      </c>
      <c r="G60" s="97">
        <v>0</v>
      </c>
      <c r="H60" s="97">
        <v>0</v>
      </c>
      <c r="I60" s="97">
        <v>0</v>
      </c>
      <c r="J60" s="97">
        <v>0</v>
      </c>
      <c r="K60" s="97">
        <v>0</v>
      </c>
      <c r="L60" s="97">
        <v>0</v>
      </c>
      <c r="M60" s="97">
        <v>0</v>
      </c>
      <c r="N60" s="97">
        <v>0</v>
      </c>
      <c r="O60" s="97">
        <v>0</v>
      </c>
      <c r="P60" s="97">
        <v>0</v>
      </c>
      <c r="Q60" s="103">
        <f t="shared" si="5"/>
        <v>0</v>
      </c>
      <c r="R60" s="39" t="e">
        <f t="shared" si="6"/>
        <v>#DIV/0!</v>
      </c>
      <c r="S60" s="35"/>
      <c r="T60" s="40">
        <f t="shared" si="0"/>
        <v>0</v>
      </c>
    </row>
    <row r="61" spans="1:20" s="3" customFormat="1" ht="24.95" hidden="1" customHeight="1">
      <c r="A61" s="271" t="s">
        <v>544</v>
      </c>
      <c r="B61" s="51" t="s">
        <v>703</v>
      </c>
      <c r="D61" s="26" t="s">
        <v>203</v>
      </c>
      <c r="E61" s="97">
        <v>0</v>
      </c>
      <c r="F61" s="97">
        <v>0</v>
      </c>
      <c r="G61" s="97">
        <v>0</v>
      </c>
      <c r="H61" s="97">
        <v>0</v>
      </c>
      <c r="I61" s="97">
        <v>0</v>
      </c>
      <c r="J61" s="97">
        <v>0</v>
      </c>
      <c r="K61" s="97">
        <v>0</v>
      </c>
      <c r="L61" s="97">
        <v>0</v>
      </c>
      <c r="M61" s="97">
        <v>0</v>
      </c>
      <c r="N61" s="97">
        <v>0</v>
      </c>
      <c r="O61" s="97">
        <v>0</v>
      </c>
      <c r="P61" s="97">
        <v>0</v>
      </c>
      <c r="Q61" s="103">
        <f t="shared" si="5"/>
        <v>0</v>
      </c>
      <c r="R61" s="39" t="e">
        <f t="shared" si="6"/>
        <v>#DIV/0!</v>
      </c>
      <c r="S61" s="35"/>
      <c r="T61" s="40">
        <f t="shared" si="0"/>
        <v>0</v>
      </c>
    </row>
    <row r="62" spans="1:20" s="3" customFormat="1" ht="24.95" hidden="1" customHeight="1">
      <c r="A62" s="271" t="s">
        <v>546</v>
      </c>
      <c r="B62" s="51" t="s">
        <v>703</v>
      </c>
      <c r="D62" s="26" t="s">
        <v>205</v>
      </c>
      <c r="E62" s="97">
        <v>0</v>
      </c>
      <c r="F62" s="97">
        <v>0</v>
      </c>
      <c r="G62" s="97">
        <v>0</v>
      </c>
      <c r="H62" s="97">
        <v>0</v>
      </c>
      <c r="I62" s="97">
        <v>0</v>
      </c>
      <c r="J62" s="97">
        <v>0</v>
      </c>
      <c r="K62" s="97">
        <v>0</v>
      </c>
      <c r="L62" s="97">
        <v>0</v>
      </c>
      <c r="M62" s="97">
        <v>0</v>
      </c>
      <c r="N62" s="97">
        <v>0</v>
      </c>
      <c r="O62" s="97">
        <v>0</v>
      </c>
      <c r="P62" s="97">
        <v>0</v>
      </c>
      <c r="Q62" s="103">
        <f t="shared" si="5"/>
        <v>0</v>
      </c>
      <c r="R62" s="39" t="e">
        <f t="shared" si="6"/>
        <v>#DIV/0!</v>
      </c>
      <c r="S62" s="35"/>
      <c r="T62" s="40">
        <f t="shared" si="0"/>
        <v>0</v>
      </c>
    </row>
    <row r="63" spans="1:20" s="3" customFormat="1" ht="24.95" hidden="1" customHeight="1">
      <c r="A63" s="271" t="s">
        <v>548</v>
      </c>
      <c r="B63" s="51" t="s">
        <v>703</v>
      </c>
      <c r="D63" s="26" t="s">
        <v>207</v>
      </c>
      <c r="E63" s="97">
        <v>0</v>
      </c>
      <c r="F63" s="97">
        <v>0</v>
      </c>
      <c r="G63" s="97">
        <v>0</v>
      </c>
      <c r="H63" s="97">
        <v>0</v>
      </c>
      <c r="I63" s="97">
        <v>0</v>
      </c>
      <c r="J63" s="97">
        <v>0</v>
      </c>
      <c r="K63" s="97">
        <v>0</v>
      </c>
      <c r="L63" s="97">
        <v>0</v>
      </c>
      <c r="M63" s="97">
        <v>0</v>
      </c>
      <c r="N63" s="97">
        <v>0</v>
      </c>
      <c r="O63" s="97">
        <v>0</v>
      </c>
      <c r="P63" s="97">
        <v>0</v>
      </c>
      <c r="Q63" s="103">
        <f t="shared" si="5"/>
        <v>0</v>
      </c>
      <c r="R63" s="39" t="e">
        <f t="shared" si="6"/>
        <v>#DIV/0!</v>
      </c>
      <c r="S63" s="35"/>
      <c r="T63" s="40">
        <f t="shared" si="0"/>
        <v>0</v>
      </c>
    </row>
    <row r="64" spans="1:20" s="3" customFormat="1" ht="24.95" hidden="1" customHeight="1">
      <c r="A64" s="271" t="s">
        <v>550</v>
      </c>
      <c r="B64" s="51" t="s">
        <v>703</v>
      </c>
      <c r="D64" s="26" t="s">
        <v>209</v>
      </c>
      <c r="E64" s="97">
        <v>0</v>
      </c>
      <c r="F64" s="97">
        <v>0</v>
      </c>
      <c r="G64" s="97">
        <v>0</v>
      </c>
      <c r="H64" s="97">
        <v>0</v>
      </c>
      <c r="I64" s="97">
        <v>0</v>
      </c>
      <c r="J64" s="97">
        <v>0</v>
      </c>
      <c r="K64" s="97">
        <v>0</v>
      </c>
      <c r="L64" s="97">
        <v>0</v>
      </c>
      <c r="M64" s="97">
        <v>0</v>
      </c>
      <c r="N64" s="97">
        <v>0</v>
      </c>
      <c r="O64" s="97">
        <v>0</v>
      </c>
      <c r="P64" s="97">
        <v>0</v>
      </c>
      <c r="Q64" s="103">
        <f t="shared" si="5"/>
        <v>0</v>
      </c>
      <c r="R64" s="39" t="e">
        <f t="shared" si="6"/>
        <v>#DIV/0!</v>
      </c>
      <c r="S64" s="35"/>
      <c r="T64" s="40">
        <f t="shared" si="0"/>
        <v>0</v>
      </c>
    </row>
    <row r="65" spans="1:20" s="3" customFormat="1" ht="24.95" hidden="1" customHeight="1">
      <c r="A65" s="271" t="s">
        <v>552</v>
      </c>
      <c r="B65" s="51" t="s">
        <v>703</v>
      </c>
      <c r="D65" s="26" t="s">
        <v>211</v>
      </c>
      <c r="E65" s="97">
        <v>0</v>
      </c>
      <c r="F65" s="97">
        <v>0</v>
      </c>
      <c r="G65" s="97">
        <v>0</v>
      </c>
      <c r="H65" s="97">
        <v>0</v>
      </c>
      <c r="I65" s="97">
        <v>0</v>
      </c>
      <c r="J65" s="97">
        <v>0</v>
      </c>
      <c r="K65" s="97">
        <v>0</v>
      </c>
      <c r="L65" s="97">
        <v>0</v>
      </c>
      <c r="M65" s="97">
        <v>0</v>
      </c>
      <c r="N65" s="97">
        <v>0</v>
      </c>
      <c r="O65" s="97">
        <v>0</v>
      </c>
      <c r="P65" s="97">
        <v>0</v>
      </c>
      <c r="Q65" s="103">
        <f t="shared" si="5"/>
        <v>0</v>
      </c>
      <c r="R65" s="39" t="e">
        <f t="shared" si="6"/>
        <v>#DIV/0!</v>
      </c>
      <c r="S65" s="35"/>
      <c r="T65" s="40">
        <f t="shared" si="0"/>
        <v>0</v>
      </c>
    </row>
    <row r="66" spans="1:20" s="3" customFormat="1" ht="24.95" hidden="1" customHeight="1">
      <c r="A66" s="271" t="s">
        <v>554</v>
      </c>
      <c r="B66" s="51" t="s">
        <v>703</v>
      </c>
      <c r="D66" s="26" t="s">
        <v>213</v>
      </c>
      <c r="E66" s="97">
        <v>0</v>
      </c>
      <c r="F66" s="97">
        <v>0</v>
      </c>
      <c r="G66" s="97">
        <v>0</v>
      </c>
      <c r="H66" s="97">
        <v>0</v>
      </c>
      <c r="I66" s="97">
        <v>0</v>
      </c>
      <c r="J66" s="97">
        <v>0</v>
      </c>
      <c r="K66" s="97">
        <v>0</v>
      </c>
      <c r="L66" s="97">
        <v>0</v>
      </c>
      <c r="M66" s="97">
        <v>0</v>
      </c>
      <c r="N66" s="97">
        <v>0</v>
      </c>
      <c r="O66" s="97">
        <v>0</v>
      </c>
      <c r="P66" s="97">
        <v>0</v>
      </c>
      <c r="Q66" s="103">
        <f t="shared" si="5"/>
        <v>0</v>
      </c>
      <c r="R66" s="39" t="e">
        <f t="shared" si="6"/>
        <v>#DIV/0!</v>
      </c>
      <c r="S66" s="35"/>
      <c r="T66" s="40">
        <f t="shared" si="0"/>
        <v>0</v>
      </c>
    </row>
    <row r="67" spans="1:20" s="3" customFormat="1" ht="24.95" hidden="1" customHeight="1">
      <c r="A67" s="3" t="s">
        <v>556</v>
      </c>
      <c r="B67" s="51" t="s">
        <v>703</v>
      </c>
      <c r="D67" s="26" t="s">
        <v>215</v>
      </c>
      <c r="E67" s="97">
        <v>0</v>
      </c>
      <c r="F67" s="97">
        <v>0</v>
      </c>
      <c r="G67" s="97">
        <v>0</v>
      </c>
      <c r="H67" s="97">
        <v>0</v>
      </c>
      <c r="I67" s="97">
        <v>0</v>
      </c>
      <c r="J67" s="97">
        <v>0</v>
      </c>
      <c r="K67" s="97">
        <v>0</v>
      </c>
      <c r="L67" s="97">
        <v>0</v>
      </c>
      <c r="M67" s="97">
        <v>0</v>
      </c>
      <c r="N67" s="97">
        <v>0</v>
      </c>
      <c r="O67" s="97">
        <v>0</v>
      </c>
      <c r="P67" s="97">
        <v>0</v>
      </c>
      <c r="Q67" s="103">
        <f t="shared" si="5"/>
        <v>0</v>
      </c>
      <c r="R67" s="39" t="e">
        <f t="shared" si="6"/>
        <v>#DIV/0!</v>
      </c>
      <c r="S67" s="35"/>
      <c r="T67" s="40">
        <f t="shared" si="0"/>
        <v>0</v>
      </c>
    </row>
    <row r="68" spans="1:20" s="3" customFormat="1" ht="24.95" hidden="1" customHeight="1">
      <c r="A68" s="3" t="s">
        <v>558</v>
      </c>
      <c r="B68" s="51" t="s">
        <v>703</v>
      </c>
      <c r="D68" s="26" t="s">
        <v>217</v>
      </c>
      <c r="E68" s="97">
        <v>0</v>
      </c>
      <c r="F68" s="97">
        <v>0</v>
      </c>
      <c r="G68" s="97">
        <v>0</v>
      </c>
      <c r="H68" s="97">
        <v>0</v>
      </c>
      <c r="I68" s="97">
        <v>0</v>
      </c>
      <c r="J68" s="97">
        <v>0</v>
      </c>
      <c r="K68" s="97">
        <v>0</v>
      </c>
      <c r="L68" s="97">
        <v>0</v>
      </c>
      <c r="M68" s="97">
        <v>0</v>
      </c>
      <c r="N68" s="97">
        <v>0</v>
      </c>
      <c r="O68" s="97">
        <v>0</v>
      </c>
      <c r="P68" s="97">
        <v>0</v>
      </c>
      <c r="Q68" s="103">
        <f t="shared" si="5"/>
        <v>0</v>
      </c>
      <c r="R68" s="39" t="e">
        <f t="shared" si="6"/>
        <v>#DIV/0!</v>
      </c>
      <c r="S68" s="35"/>
      <c r="T68" s="40">
        <f t="shared" si="0"/>
        <v>0</v>
      </c>
    </row>
    <row r="69" spans="1:20" s="3" customFormat="1" ht="24.95" hidden="1" customHeight="1">
      <c r="A69" s="3" t="s">
        <v>560</v>
      </c>
      <c r="B69" s="51" t="s">
        <v>703</v>
      </c>
      <c r="D69" s="26" t="s">
        <v>219</v>
      </c>
      <c r="E69" s="97">
        <v>0</v>
      </c>
      <c r="F69" s="97">
        <v>0</v>
      </c>
      <c r="G69" s="97">
        <v>0</v>
      </c>
      <c r="H69" s="97">
        <v>0</v>
      </c>
      <c r="I69" s="97">
        <v>0</v>
      </c>
      <c r="J69" s="97">
        <v>0</v>
      </c>
      <c r="K69" s="97">
        <v>0</v>
      </c>
      <c r="L69" s="97">
        <v>0</v>
      </c>
      <c r="M69" s="97">
        <v>0</v>
      </c>
      <c r="N69" s="97">
        <v>0</v>
      </c>
      <c r="O69" s="97">
        <v>0</v>
      </c>
      <c r="P69" s="97">
        <v>0</v>
      </c>
      <c r="Q69" s="103">
        <f t="shared" si="5"/>
        <v>0</v>
      </c>
      <c r="R69" s="39" t="e">
        <f t="shared" si="6"/>
        <v>#DIV/0!</v>
      </c>
      <c r="S69" s="35"/>
      <c r="T69" s="40">
        <f t="shared" si="0"/>
        <v>0</v>
      </c>
    </row>
    <row r="70" spans="1:20" s="3" customFormat="1" ht="24.95" hidden="1" customHeight="1">
      <c r="A70" s="3" t="s">
        <v>562</v>
      </c>
      <c r="B70" s="51" t="s">
        <v>703</v>
      </c>
      <c r="D70" s="26" t="s">
        <v>221</v>
      </c>
      <c r="E70" s="97">
        <v>0</v>
      </c>
      <c r="F70" s="97">
        <v>0</v>
      </c>
      <c r="G70" s="97">
        <v>0</v>
      </c>
      <c r="H70" s="97">
        <v>0</v>
      </c>
      <c r="I70" s="97">
        <v>0</v>
      </c>
      <c r="J70" s="97">
        <v>0</v>
      </c>
      <c r="K70" s="97">
        <v>0</v>
      </c>
      <c r="L70" s="97">
        <v>0</v>
      </c>
      <c r="M70" s="97">
        <v>0</v>
      </c>
      <c r="N70" s="97">
        <v>0</v>
      </c>
      <c r="O70" s="97">
        <v>0</v>
      </c>
      <c r="P70" s="97">
        <v>0</v>
      </c>
      <c r="Q70" s="103">
        <f t="shared" si="5"/>
        <v>0</v>
      </c>
      <c r="R70" s="39" t="e">
        <f t="shared" si="6"/>
        <v>#DIV/0!</v>
      </c>
      <c r="S70" s="35"/>
      <c r="T70" s="40">
        <f t="shared" si="0"/>
        <v>0</v>
      </c>
    </row>
    <row r="71" spans="1:20" s="3" customFormat="1" ht="24.95" hidden="1" customHeight="1">
      <c r="A71" s="3" t="s">
        <v>564</v>
      </c>
      <c r="B71" s="51" t="s">
        <v>703</v>
      </c>
      <c r="D71" s="26" t="s">
        <v>223</v>
      </c>
      <c r="E71" s="97">
        <v>0</v>
      </c>
      <c r="F71" s="97">
        <v>0</v>
      </c>
      <c r="G71" s="97">
        <v>0</v>
      </c>
      <c r="H71" s="97">
        <v>0</v>
      </c>
      <c r="I71" s="97">
        <v>0</v>
      </c>
      <c r="J71" s="97">
        <v>0</v>
      </c>
      <c r="K71" s="97">
        <v>0</v>
      </c>
      <c r="L71" s="97">
        <v>0</v>
      </c>
      <c r="M71" s="97">
        <v>0</v>
      </c>
      <c r="N71" s="97">
        <v>0</v>
      </c>
      <c r="O71" s="97">
        <v>0</v>
      </c>
      <c r="P71" s="97">
        <v>0</v>
      </c>
      <c r="Q71" s="103">
        <f t="shared" si="5"/>
        <v>0</v>
      </c>
      <c r="R71" s="39" t="e">
        <f t="shared" si="6"/>
        <v>#DIV/0!</v>
      </c>
      <c r="S71" s="35"/>
      <c r="T71" s="40">
        <f t="shared" si="0"/>
        <v>0</v>
      </c>
    </row>
    <row r="72" spans="1:20" s="3" customFormat="1" ht="24.95" hidden="1" customHeight="1">
      <c r="A72" s="3" t="s">
        <v>566</v>
      </c>
      <c r="B72" s="51" t="s">
        <v>703</v>
      </c>
      <c r="D72" s="26" t="s">
        <v>225</v>
      </c>
      <c r="E72" s="97">
        <v>0</v>
      </c>
      <c r="F72" s="97">
        <v>0</v>
      </c>
      <c r="G72" s="97">
        <v>0</v>
      </c>
      <c r="H72" s="97">
        <v>0</v>
      </c>
      <c r="I72" s="97">
        <v>0</v>
      </c>
      <c r="J72" s="97">
        <v>0</v>
      </c>
      <c r="K72" s="97">
        <v>0</v>
      </c>
      <c r="L72" s="97">
        <v>0</v>
      </c>
      <c r="M72" s="97">
        <v>0</v>
      </c>
      <c r="N72" s="97">
        <v>0</v>
      </c>
      <c r="O72" s="97">
        <v>0</v>
      </c>
      <c r="P72" s="97">
        <v>0</v>
      </c>
      <c r="Q72" s="103">
        <f t="shared" si="5"/>
        <v>0</v>
      </c>
      <c r="R72" s="39" t="e">
        <f t="shared" si="6"/>
        <v>#DIV/0!</v>
      </c>
      <c r="S72" s="35"/>
      <c r="T72" s="40">
        <f t="shared" si="0"/>
        <v>0</v>
      </c>
    </row>
    <row r="73" spans="1:20" s="3" customFormat="1" ht="24.95" hidden="1" customHeight="1">
      <c r="A73" s="3" t="s">
        <v>568</v>
      </c>
      <c r="B73" s="51" t="s">
        <v>703</v>
      </c>
      <c r="D73" s="26" t="s">
        <v>227</v>
      </c>
      <c r="E73" s="97">
        <v>0</v>
      </c>
      <c r="F73" s="97">
        <v>0</v>
      </c>
      <c r="G73" s="97">
        <v>0</v>
      </c>
      <c r="H73" s="97">
        <v>0</v>
      </c>
      <c r="I73" s="97">
        <v>0</v>
      </c>
      <c r="J73" s="97">
        <v>0</v>
      </c>
      <c r="K73" s="97">
        <v>0</v>
      </c>
      <c r="L73" s="97">
        <v>0</v>
      </c>
      <c r="M73" s="97">
        <v>0</v>
      </c>
      <c r="N73" s="97">
        <v>0</v>
      </c>
      <c r="O73" s="97">
        <v>0</v>
      </c>
      <c r="P73" s="97">
        <v>0</v>
      </c>
      <c r="Q73" s="103">
        <f t="shared" si="5"/>
        <v>0</v>
      </c>
      <c r="R73" s="39" t="e">
        <f t="shared" si="6"/>
        <v>#DIV/0!</v>
      </c>
      <c r="S73" s="35"/>
      <c r="T73" s="40">
        <f t="shared" si="0"/>
        <v>0</v>
      </c>
    </row>
    <row r="74" spans="1:20" s="3" customFormat="1" ht="24.95" hidden="1" customHeight="1">
      <c r="A74" s="3" t="s">
        <v>570</v>
      </c>
      <c r="B74" s="51" t="s">
        <v>703</v>
      </c>
      <c r="D74" s="26" t="s">
        <v>229</v>
      </c>
      <c r="E74" s="97">
        <v>0</v>
      </c>
      <c r="F74" s="97">
        <v>0</v>
      </c>
      <c r="G74" s="97">
        <v>0</v>
      </c>
      <c r="H74" s="97">
        <v>0</v>
      </c>
      <c r="I74" s="97">
        <v>0</v>
      </c>
      <c r="J74" s="97">
        <v>0</v>
      </c>
      <c r="K74" s="97">
        <v>0</v>
      </c>
      <c r="L74" s="97">
        <v>0</v>
      </c>
      <c r="M74" s="97">
        <v>0</v>
      </c>
      <c r="N74" s="97">
        <v>0</v>
      </c>
      <c r="O74" s="97">
        <v>0</v>
      </c>
      <c r="P74" s="97">
        <v>0</v>
      </c>
      <c r="Q74" s="103">
        <f t="shared" si="5"/>
        <v>0</v>
      </c>
      <c r="R74" s="39" t="e">
        <f t="shared" si="6"/>
        <v>#DIV/0!</v>
      </c>
      <c r="S74" s="35"/>
      <c r="T74" s="40">
        <f t="shared" si="0"/>
        <v>0</v>
      </c>
    </row>
    <row r="75" spans="1:20" s="3" customFormat="1" ht="24.95" hidden="1" customHeight="1">
      <c r="A75" s="271" t="s">
        <v>572</v>
      </c>
      <c r="B75" s="51" t="s">
        <v>703</v>
      </c>
      <c r="D75" s="26" t="s">
        <v>231</v>
      </c>
      <c r="E75" s="97">
        <v>0</v>
      </c>
      <c r="F75" s="97">
        <v>0</v>
      </c>
      <c r="G75" s="97">
        <v>0</v>
      </c>
      <c r="H75" s="97">
        <v>0</v>
      </c>
      <c r="I75" s="97">
        <v>0</v>
      </c>
      <c r="J75" s="97">
        <v>0</v>
      </c>
      <c r="K75" s="97">
        <v>0</v>
      </c>
      <c r="L75" s="97">
        <v>0</v>
      </c>
      <c r="M75" s="97">
        <v>0</v>
      </c>
      <c r="N75" s="97">
        <v>0</v>
      </c>
      <c r="O75" s="97">
        <v>0</v>
      </c>
      <c r="P75" s="97">
        <v>0</v>
      </c>
      <c r="Q75" s="103">
        <f t="shared" si="5"/>
        <v>0</v>
      </c>
      <c r="R75" s="39" t="e">
        <f t="shared" si="6"/>
        <v>#DIV/0!</v>
      </c>
      <c r="S75" s="35"/>
      <c r="T75" s="40">
        <f t="shared" si="0"/>
        <v>0</v>
      </c>
    </row>
    <row r="76" spans="1:20" s="3" customFormat="1" ht="24.95" hidden="1" customHeight="1">
      <c r="A76" s="271" t="s">
        <v>574</v>
      </c>
      <c r="B76" s="51" t="s">
        <v>703</v>
      </c>
      <c r="D76" s="26" t="s">
        <v>233</v>
      </c>
      <c r="E76" s="97">
        <v>0</v>
      </c>
      <c r="F76" s="97">
        <v>0</v>
      </c>
      <c r="G76" s="97">
        <v>0</v>
      </c>
      <c r="H76" s="97">
        <v>0</v>
      </c>
      <c r="I76" s="97">
        <v>0</v>
      </c>
      <c r="J76" s="97">
        <v>0</v>
      </c>
      <c r="K76" s="97">
        <v>0</v>
      </c>
      <c r="L76" s="97">
        <v>0</v>
      </c>
      <c r="M76" s="97">
        <v>0</v>
      </c>
      <c r="N76" s="97">
        <v>0</v>
      </c>
      <c r="O76" s="97">
        <v>0</v>
      </c>
      <c r="P76" s="97">
        <v>0</v>
      </c>
      <c r="Q76" s="103">
        <f t="shared" si="5"/>
        <v>0</v>
      </c>
      <c r="R76" s="39" t="e">
        <f t="shared" si="6"/>
        <v>#DIV/0!</v>
      </c>
      <c r="S76" s="35"/>
      <c r="T76" s="40">
        <f t="shared" si="0"/>
        <v>0</v>
      </c>
    </row>
    <row r="77" spans="1:20" s="3" customFormat="1" ht="24.95" hidden="1" customHeight="1">
      <c r="A77" s="271" t="s">
        <v>434</v>
      </c>
      <c r="B77" s="51" t="s">
        <v>703</v>
      </c>
      <c r="D77" s="26" t="s">
        <v>435</v>
      </c>
      <c r="E77" s="97">
        <v>0</v>
      </c>
      <c r="F77" s="97">
        <v>0</v>
      </c>
      <c r="G77" s="97">
        <v>0</v>
      </c>
      <c r="H77" s="97">
        <v>0</v>
      </c>
      <c r="I77" s="97">
        <v>0</v>
      </c>
      <c r="J77" s="97">
        <v>0</v>
      </c>
      <c r="K77" s="97">
        <v>0</v>
      </c>
      <c r="L77" s="97">
        <v>0</v>
      </c>
      <c r="M77" s="97">
        <v>0</v>
      </c>
      <c r="N77" s="97">
        <v>0</v>
      </c>
      <c r="O77" s="97">
        <v>0</v>
      </c>
      <c r="P77" s="97">
        <v>0</v>
      </c>
      <c r="Q77" s="103">
        <f t="shared" si="5"/>
        <v>0</v>
      </c>
      <c r="R77" s="39" t="e">
        <f t="shared" si="6"/>
        <v>#DIV/0!</v>
      </c>
      <c r="S77" s="35"/>
      <c r="T77" s="40">
        <f t="shared" ref="T77:T101" si="7">IF(Q77-S77=0,0,(Q77-S77)/S77)</f>
        <v>0</v>
      </c>
    </row>
    <row r="78" spans="1:20" ht="26.25" hidden="1" customHeight="1">
      <c r="A78" s="5" t="s">
        <v>576</v>
      </c>
      <c r="B78" s="5" t="s">
        <v>703</v>
      </c>
      <c r="D78" s="26" t="s">
        <v>235</v>
      </c>
      <c r="E78" s="97">
        <v>0</v>
      </c>
      <c r="F78" s="97">
        <v>0</v>
      </c>
      <c r="G78" s="97">
        <v>0</v>
      </c>
      <c r="H78" s="97">
        <v>0</v>
      </c>
      <c r="I78" s="97">
        <v>0</v>
      </c>
      <c r="J78" s="97">
        <v>0</v>
      </c>
      <c r="K78" s="97">
        <v>0</v>
      </c>
      <c r="L78" s="97">
        <v>0</v>
      </c>
      <c r="M78" s="97">
        <v>0</v>
      </c>
      <c r="N78" s="97">
        <v>0</v>
      </c>
      <c r="O78" s="97">
        <v>0</v>
      </c>
      <c r="P78" s="97">
        <v>0</v>
      </c>
      <c r="Q78" s="103">
        <f t="shared" si="5"/>
        <v>0</v>
      </c>
      <c r="R78" s="39" t="e">
        <f t="shared" si="6"/>
        <v>#DIV/0!</v>
      </c>
      <c r="S78" s="35"/>
      <c r="T78" s="40">
        <f t="shared" si="7"/>
        <v>0</v>
      </c>
    </row>
    <row r="79" spans="1:20" ht="26.25" hidden="1" customHeight="1">
      <c r="A79" s="5" t="s">
        <v>578</v>
      </c>
      <c r="B79" s="5" t="s">
        <v>703</v>
      </c>
      <c r="D79" s="26" t="s">
        <v>237</v>
      </c>
      <c r="E79" s="97">
        <v>0</v>
      </c>
      <c r="F79" s="97">
        <v>0</v>
      </c>
      <c r="G79" s="97">
        <v>0</v>
      </c>
      <c r="H79" s="97">
        <v>0</v>
      </c>
      <c r="I79" s="97">
        <v>0</v>
      </c>
      <c r="J79" s="97">
        <v>0</v>
      </c>
      <c r="K79" s="97">
        <v>0</v>
      </c>
      <c r="L79" s="97">
        <v>0</v>
      </c>
      <c r="M79" s="97">
        <v>0</v>
      </c>
      <c r="N79" s="97">
        <v>0</v>
      </c>
      <c r="O79" s="97">
        <v>0</v>
      </c>
      <c r="P79" s="97">
        <v>0</v>
      </c>
      <c r="Q79" s="103">
        <f t="shared" si="5"/>
        <v>0</v>
      </c>
      <c r="R79" s="39" t="e">
        <f t="shared" si="6"/>
        <v>#DIV/0!</v>
      </c>
      <c r="S79" s="35"/>
      <c r="T79" s="40">
        <f t="shared" si="7"/>
        <v>0</v>
      </c>
    </row>
    <row r="80" spans="1:20" ht="26.25" hidden="1" customHeight="1">
      <c r="A80" s="5" t="s">
        <v>580</v>
      </c>
      <c r="B80" s="5" t="s">
        <v>703</v>
      </c>
      <c r="D80" s="26" t="s">
        <v>239</v>
      </c>
      <c r="E80" s="97">
        <v>0</v>
      </c>
      <c r="F80" s="97">
        <v>0</v>
      </c>
      <c r="G80" s="97">
        <v>0</v>
      </c>
      <c r="H80" s="97">
        <v>0</v>
      </c>
      <c r="I80" s="97">
        <v>0</v>
      </c>
      <c r="J80" s="97">
        <v>0</v>
      </c>
      <c r="K80" s="97">
        <v>0</v>
      </c>
      <c r="L80" s="97">
        <v>0</v>
      </c>
      <c r="M80" s="97">
        <v>0</v>
      </c>
      <c r="N80" s="97">
        <v>0</v>
      </c>
      <c r="O80" s="97">
        <v>0</v>
      </c>
      <c r="P80" s="97">
        <v>0</v>
      </c>
      <c r="Q80" s="103">
        <f t="shared" si="5"/>
        <v>0</v>
      </c>
      <c r="R80" s="39" t="e">
        <f t="shared" si="6"/>
        <v>#DIV/0!</v>
      </c>
      <c r="S80" s="35"/>
      <c r="T80" s="40">
        <f t="shared" si="7"/>
        <v>0</v>
      </c>
    </row>
    <row r="81" spans="1:20" ht="26.25" hidden="1" customHeight="1">
      <c r="A81" s="5" t="s">
        <v>582</v>
      </c>
      <c r="B81" s="5" t="s">
        <v>703</v>
      </c>
      <c r="D81" s="26" t="s">
        <v>241</v>
      </c>
      <c r="E81" s="97">
        <v>0</v>
      </c>
      <c r="F81" s="97">
        <v>0</v>
      </c>
      <c r="G81" s="97">
        <v>0</v>
      </c>
      <c r="H81" s="97">
        <v>0</v>
      </c>
      <c r="I81" s="97">
        <v>0</v>
      </c>
      <c r="J81" s="97">
        <v>0</v>
      </c>
      <c r="K81" s="97">
        <v>0</v>
      </c>
      <c r="L81" s="97">
        <v>0</v>
      </c>
      <c r="M81" s="97">
        <v>0</v>
      </c>
      <c r="N81" s="97">
        <v>0</v>
      </c>
      <c r="O81" s="97">
        <v>0</v>
      </c>
      <c r="P81" s="97">
        <v>0</v>
      </c>
      <c r="Q81" s="103">
        <f t="shared" si="5"/>
        <v>0</v>
      </c>
      <c r="R81" s="39" t="e">
        <f t="shared" si="6"/>
        <v>#DIV/0!</v>
      </c>
      <c r="S81" s="35"/>
      <c r="T81" s="40">
        <f t="shared" si="7"/>
        <v>0</v>
      </c>
    </row>
    <row r="82" spans="1:20" ht="26.25" hidden="1" customHeight="1">
      <c r="A82" s="5" t="s">
        <v>584</v>
      </c>
      <c r="B82" s="5" t="s">
        <v>703</v>
      </c>
      <c r="D82" s="26" t="s">
        <v>243</v>
      </c>
      <c r="E82" s="97">
        <v>0</v>
      </c>
      <c r="F82" s="97">
        <v>0</v>
      </c>
      <c r="G82" s="97">
        <v>0</v>
      </c>
      <c r="H82" s="97">
        <v>0</v>
      </c>
      <c r="I82" s="97">
        <v>0</v>
      </c>
      <c r="J82" s="97">
        <v>0</v>
      </c>
      <c r="K82" s="97">
        <v>0</v>
      </c>
      <c r="L82" s="97">
        <v>0</v>
      </c>
      <c r="M82" s="97">
        <v>0</v>
      </c>
      <c r="N82" s="97">
        <v>0</v>
      </c>
      <c r="O82" s="97">
        <v>0</v>
      </c>
      <c r="P82" s="97">
        <v>0</v>
      </c>
      <c r="Q82" s="103">
        <f t="shared" si="5"/>
        <v>0</v>
      </c>
      <c r="R82" s="39" t="e">
        <f t="shared" si="6"/>
        <v>#DIV/0!</v>
      </c>
      <c r="S82" s="35"/>
      <c r="T82" s="40">
        <f t="shared" si="7"/>
        <v>0</v>
      </c>
    </row>
    <row r="83" spans="1:20" ht="26.25" hidden="1" customHeight="1">
      <c r="A83" s="5" t="s">
        <v>586</v>
      </c>
      <c r="B83" s="5" t="s">
        <v>703</v>
      </c>
      <c r="D83" s="26" t="s">
        <v>245</v>
      </c>
      <c r="E83" s="97">
        <v>0</v>
      </c>
      <c r="F83" s="97">
        <v>0</v>
      </c>
      <c r="G83" s="97">
        <v>0</v>
      </c>
      <c r="H83" s="97">
        <v>0</v>
      </c>
      <c r="I83" s="97">
        <v>0</v>
      </c>
      <c r="J83" s="97">
        <v>0</v>
      </c>
      <c r="K83" s="97">
        <v>0</v>
      </c>
      <c r="L83" s="97">
        <v>0</v>
      </c>
      <c r="M83" s="97">
        <v>0</v>
      </c>
      <c r="N83" s="97">
        <v>0</v>
      </c>
      <c r="O83" s="97">
        <v>0</v>
      </c>
      <c r="P83" s="97">
        <v>0</v>
      </c>
      <c r="Q83" s="103">
        <f t="shared" si="5"/>
        <v>0</v>
      </c>
      <c r="R83" s="39" t="e">
        <f t="shared" si="6"/>
        <v>#DIV/0!</v>
      </c>
      <c r="S83" s="35"/>
      <c r="T83" s="40">
        <f t="shared" si="7"/>
        <v>0</v>
      </c>
    </row>
    <row r="84" spans="1:20" ht="26.25" hidden="1" customHeight="1">
      <c r="A84" s="5" t="s">
        <v>588</v>
      </c>
      <c r="B84" s="5" t="s">
        <v>703</v>
      </c>
      <c r="D84" s="26" t="s">
        <v>247</v>
      </c>
      <c r="E84" s="97">
        <v>0</v>
      </c>
      <c r="F84" s="97">
        <v>0</v>
      </c>
      <c r="G84" s="97">
        <v>0</v>
      </c>
      <c r="H84" s="97">
        <v>0</v>
      </c>
      <c r="I84" s="97">
        <v>0</v>
      </c>
      <c r="J84" s="97">
        <v>0</v>
      </c>
      <c r="K84" s="97">
        <v>0</v>
      </c>
      <c r="L84" s="97">
        <v>0</v>
      </c>
      <c r="M84" s="97">
        <v>0</v>
      </c>
      <c r="N84" s="97">
        <v>0</v>
      </c>
      <c r="O84" s="97">
        <v>0</v>
      </c>
      <c r="P84" s="97">
        <v>0</v>
      </c>
      <c r="Q84" s="103">
        <f t="shared" si="5"/>
        <v>0</v>
      </c>
      <c r="R84" s="39" t="e">
        <f t="shared" si="6"/>
        <v>#DIV/0!</v>
      </c>
      <c r="S84" s="35"/>
      <c r="T84" s="40">
        <f t="shared" si="7"/>
        <v>0</v>
      </c>
    </row>
    <row r="85" spans="1:20" ht="26.25" customHeight="1">
      <c r="A85" s="5" t="s">
        <v>590</v>
      </c>
      <c r="B85" s="5" t="s">
        <v>703</v>
      </c>
      <c r="D85" s="26" t="s">
        <v>249</v>
      </c>
      <c r="E85" s="97">
        <v>0</v>
      </c>
      <c r="F85" s="97">
        <v>0</v>
      </c>
      <c r="G85" s="97">
        <v>0</v>
      </c>
      <c r="H85" s="97">
        <v>0</v>
      </c>
      <c r="I85" s="97">
        <v>0</v>
      </c>
      <c r="J85" s="97">
        <v>0</v>
      </c>
      <c r="K85" s="97">
        <v>0</v>
      </c>
      <c r="L85" s="97">
        <v>0</v>
      </c>
      <c r="M85" s="97">
        <v>0</v>
      </c>
      <c r="N85" s="97">
        <v>0</v>
      </c>
      <c r="O85" s="97">
        <v>0</v>
      </c>
      <c r="P85" s="97">
        <v>0</v>
      </c>
      <c r="Q85" s="103">
        <f t="shared" si="5"/>
        <v>0</v>
      </c>
      <c r="R85" s="39">
        <f>IF($Q$14=0,0,Q85/$Q$14)</f>
        <v>0</v>
      </c>
      <c r="S85" s="35"/>
      <c r="T85" s="40">
        <f t="shared" si="7"/>
        <v>0</v>
      </c>
    </row>
    <row r="86" spans="1:20" ht="26.25" customHeight="1">
      <c r="A86" s="5" t="s">
        <v>592</v>
      </c>
      <c r="B86" s="5" t="s">
        <v>703</v>
      </c>
      <c r="D86" s="26" t="s">
        <v>251</v>
      </c>
      <c r="E86" s="97">
        <f>Laundry!E201</f>
        <v>1823.49</v>
      </c>
      <c r="F86" s="97">
        <f>Laundry!F201</f>
        <v>1955.81</v>
      </c>
      <c r="G86" s="97">
        <f>Laundry!G201</f>
        <v>1818.6</v>
      </c>
      <c r="H86" s="97">
        <f>Laundry!H201</f>
        <v>1967.15</v>
      </c>
      <c r="I86" s="97">
        <f>Laundry!I201</f>
        <v>1985.46</v>
      </c>
      <c r="J86" s="97">
        <f>Laundry!J201</f>
        <v>1998.85</v>
      </c>
      <c r="K86" s="97">
        <f>Laundry!K201</f>
        <v>1984.1</v>
      </c>
      <c r="L86" s="97">
        <f>Laundry!L201</f>
        <v>1991.14</v>
      </c>
      <c r="M86" s="97">
        <f>Laundry!M201</f>
        <v>2083.35</v>
      </c>
      <c r="N86" s="97">
        <f>Laundry!N201</f>
        <v>2215.67</v>
      </c>
      <c r="O86" s="97">
        <f>Laundry!O201</f>
        <v>1929.87</v>
      </c>
      <c r="P86" s="97">
        <f>Laundry!P201</f>
        <v>1903.11</v>
      </c>
      <c r="Q86" s="103">
        <f t="shared" si="5"/>
        <v>23656.599999999995</v>
      </c>
      <c r="R86" s="39">
        <f t="shared" ref="R86:R99" si="8">IF($Q$14=0,0,Q86/$Q$14)</f>
        <v>0</v>
      </c>
      <c r="S86" s="35"/>
      <c r="T86" s="40">
        <f>-IF(S86&lt;&gt;0,(Q86-S86)/S86,1)</f>
        <v>-1</v>
      </c>
    </row>
    <row r="87" spans="1:20" ht="26.25" hidden="1" customHeight="1">
      <c r="A87" s="5" t="s">
        <v>594</v>
      </c>
      <c r="B87" s="5" t="s">
        <v>703</v>
      </c>
      <c r="D87" s="26" t="s">
        <v>253</v>
      </c>
      <c r="E87" s="97">
        <v>0</v>
      </c>
      <c r="F87" s="97">
        <v>0</v>
      </c>
      <c r="G87" s="97">
        <v>0</v>
      </c>
      <c r="H87" s="97">
        <v>0</v>
      </c>
      <c r="I87" s="97">
        <v>0</v>
      </c>
      <c r="J87" s="97">
        <v>0</v>
      </c>
      <c r="K87" s="97">
        <v>0</v>
      </c>
      <c r="L87" s="97">
        <v>0</v>
      </c>
      <c r="M87" s="97">
        <v>0</v>
      </c>
      <c r="N87" s="97">
        <v>0</v>
      </c>
      <c r="O87" s="97">
        <v>0</v>
      </c>
      <c r="P87" s="97">
        <v>0</v>
      </c>
      <c r="Q87" s="103">
        <f t="shared" si="5"/>
        <v>0</v>
      </c>
      <c r="R87" s="39">
        <f t="shared" si="8"/>
        <v>0</v>
      </c>
      <c r="S87" s="35"/>
      <c r="T87" s="40">
        <f t="shared" ref="T87:T98" si="9">-IF(S87&lt;&gt;0,(Q87-S87)/S87,1)</f>
        <v>-1</v>
      </c>
    </row>
    <row r="88" spans="1:20" ht="26.25" hidden="1" customHeight="1">
      <c r="A88" s="5" t="s">
        <v>596</v>
      </c>
      <c r="B88" s="5" t="s">
        <v>703</v>
      </c>
      <c r="D88" s="26" t="s">
        <v>255</v>
      </c>
      <c r="E88" s="97">
        <v>0</v>
      </c>
      <c r="F88" s="97">
        <v>0</v>
      </c>
      <c r="G88" s="97">
        <v>0</v>
      </c>
      <c r="H88" s="97">
        <v>0</v>
      </c>
      <c r="I88" s="97">
        <v>0</v>
      </c>
      <c r="J88" s="97">
        <v>0</v>
      </c>
      <c r="K88" s="97">
        <v>0</v>
      </c>
      <c r="L88" s="97">
        <v>0</v>
      </c>
      <c r="M88" s="97">
        <v>0</v>
      </c>
      <c r="N88" s="97">
        <v>0</v>
      </c>
      <c r="O88" s="97">
        <v>0</v>
      </c>
      <c r="P88" s="97">
        <v>0</v>
      </c>
      <c r="Q88" s="103">
        <f t="shared" si="5"/>
        <v>0</v>
      </c>
      <c r="R88" s="39">
        <f t="shared" si="8"/>
        <v>0</v>
      </c>
      <c r="S88" s="35"/>
      <c r="T88" s="40">
        <f t="shared" si="9"/>
        <v>-1</v>
      </c>
    </row>
    <row r="89" spans="1:20" ht="26.25" hidden="1" customHeight="1">
      <c r="A89" s="5" t="s">
        <v>598</v>
      </c>
      <c r="B89" s="5" t="s">
        <v>703</v>
      </c>
      <c r="D89" s="26" t="s">
        <v>257</v>
      </c>
      <c r="E89" s="97">
        <v>0</v>
      </c>
      <c r="F89" s="97">
        <v>0</v>
      </c>
      <c r="G89" s="97">
        <v>0</v>
      </c>
      <c r="H89" s="97">
        <v>0</v>
      </c>
      <c r="I89" s="97">
        <v>0</v>
      </c>
      <c r="J89" s="97">
        <v>0</v>
      </c>
      <c r="K89" s="97">
        <v>0</v>
      </c>
      <c r="L89" s="97">
        <v>0</v>
      </c>
      <c r="M89" s="97">
        <v>0</v>
      </c>
      <c r="N89" s="97">
        <v>0</v>
      </c>
      <c r="O89" s="97">
        <v>0</v>
      </c>
      <c r="P89" s="97">
        <v>0</v>
      </c>
      <c r="Q89" s="103">
        <f t="shared" si="5"/>
        <v>0</v>
      </c>
      <c r="R89" s="39">
        <f t="shared" si="8"/>
        <v>0</v>
      </c>
      <c r="S89" s="35"/>
      <c r="T89" s="40">
        <f t="shared" si="9"/>
        <v>-1</v>
      </c>
    </row>
    <row r="90" spans="1:20" ht="26.25" hidden="1" customHeight="1">
      <c r="A90" s="5" t="s">
        <v>600</v>
      </c>
      <c r="B90" s="5" t="s">
        <v>703</v>
      </c>
      <c r="D90" s="26" t="s">
        <v>259</v>
      </c>
      <c r="E90" s="97">
        <v>0</v>
      </c>
      <c r="F90" s="97">
        <v>0</v>
      </c>
      <c r="G90" s="97">
        <v>0</v>
      </c>
      <c r="H90" s="97">
        <v>0</v>
      </c>
      <c r="I90" s="97">
        <v>0</v>
      </c>
      <c r="J90" s="97">
        <v>0</v>
      </c>
      <c r="K90" s="97">
        <v>0</v>
      </c>
      <c r="L90" s="97">
        <v>0</v>
      </c>
      <c r="M90" s="97">
        <v>0</v>
      </c>
      <c r="N90" s="97">
        <v>0</v>
      </c>
      <c r="O90" s="97">
        <v>0</v>
      </c>
      <c r="P90" s="97">
        <v>0</v>
      </c>
      <c r="Q90" s="103">
        <f t="shared" si="5"/>
        <v>0</v>
      </c>
      <c r="R90" s="39">
        <f t="shared" si="8"/>
        <v>0</v>
      </c>
      <c r="S90" s="35"/>
      <c r="T90" s="40">
        <f t="shared" si="9"/>
        <v>-1</v>
      </c>
    </row>
    <row r="91" spans="1:20" ht="26.25" hidden="1" customHeight="1">
      <c r="A91" s="5" t="s">
        <v>602</v>
      </c>
      <c r="B91" s="5" t="s">
        <v>703</v>
      </c>
      <c r="D91" s="26" t="s">
        <v>261</v>
      </c>
      <c r="E91" s="97">
        <v>0</v>
      </c>
      <c r="F91" s="97">
        <v>0</v>
      </c>
      <c r="G91" s="97">
        <v>0</v>
      </c>
      <c r="H91" s="97">
        <v>0</v>
      </c>
      <c r="I91" s="97">
        <v>0</v>
      </c>
      <c r="J91" s="97">
        <v>0</v>
      </c>
      <c r="K91" s="97">
        <v>0</v>
      </c>
      <c r="L91" s="97">
        <v>0</v>
      </c>
      <c r="M91" s="97">
        <v>0</v>
      </c>
      <c r="N91" s="97">
        <v>0</v>
      </c>
      <c r="O91" s="97">
        <v>0</v>
      </c>
      <c r="P91" s="97">
        <v>0</v>
      </c>
      <c r="Q91" s="103">
        <f t="shared" si="5"/>
        <v>0</v>
      </c>
      <c r="R91" s="39">
        <f t="shared" si="8"/>
        <v>0</v>
      </c>
      <c r="S91" s="35"/>
      <c r="T91" s="40">
        <f t="shared" si="9"/>
        <v>-1</v>
      </c>
    </row>
    <row r="92" spans="1:20" ht="26.25" hidden="1" customHeight="1">
      <c r="A92" s="5" t="s">
        <v>604</v>
      </c>
      <c r="B92" s="5" t="s">
        <v>703</v>
      </c>
      <c r="D92" s="26" t="s">
        <v>263</v>
      </c>
      <c r="E92" s="97">
        <v>0</v>
      </c>
      <c r="F92" s="97">
        <v>0</v>
      </c>
      <c r="G92" s="97">
        <v>0</v>
      </c>
      <c r="H92" s="97">
        <v>0</v>
      </c>
      <c r="I92" s="97">
        <v>0</v>
      </c>
      <c r="J92" s="97">
        <v>0</v>
      </c>
      <c r="K92" s="97">
        <v>0</v>
      </c>
      <c r="L92" s="97">
        <v>0</v>
      </c>
      <c r="M92" s="97">
        <v>0</v>
      </c>
      <c r="N92" s="97">
        <v>0</v>
      </c>
      <c r="O92" s="97">
        <v>0</v>
      </c>
      <c r="P92" s="97">
        <v>0</v>
      </c>
      <c r="Q92" s="103">
        <f t="shared" si="5"/>
        <v>0</v>
      </c>
      <c r="R92" s="39">
        <f t="shared" si="8"/>
        <v>0</v>
      </c>
      <c r="S92" s="35"/>
      <c r="T92" s="40">
        <f t="shared" si="9"/>
        <v>-1</v>
      </c>
    </row>
    <row r="93" spans="1:20" ht="26.25" hidden="1" customHeight="1">
      <c r="A93" s="5" t="s">
        <v>606</v>
      </c>
      <c r="B93" s="5" t="s">
        <v>703</v>
      </c>
      <c r="D93" s="26" t="s">
        <v>265</v>
      </c>
      <c r="E93" s="97">
        <v>0</v>
      </c>
      <c r="F93" s="97">
        <v>0</v>
      </c>
      <c r="G93" s="97">
        <v>0</v>
      </c>
      <c r="H93" s="97">
        <v>0</v>
      </c>
      <c r="I93" s="97">
        <v>0</v>
      </c>
      <c r="J93" s="97">
        <v>0</v>
      </c>
      <c r="K93" s="97">
        <v>0</v>
      </c>
      <c r="L93" s="97">
        <v>0</v>
      </c>
      <c r="M93" s="97">
        <v>0</v>
      </c>
      <c r="N93" s="97">
        <v>0</v>
      </c>
      <c r="O93" s="97">
        <v>0</v>
      </c>
      <c r="P93" s="97">
        <v>0</v>
      </c>
      <c r="Q93" s="103">
        <f t="shared" si="5"/>
        <v>0</v>
      </c>
      <c r="R93" s="39">
        <f t="shared" si="8"/>
        <v>0</v>
      </c>
      <c r="S93" s="35"/>
      <c r="T93" s="40">
        <f t="shared" si="9"/>
        <v>-1</v>
      </c>
    </row>
    <row r="94" spans="1:20" ht="26.25" hidden="1" customHeight="1">
      <c r="A94" s="5" t="s">
        <v>608</v>
      </c>
      <c r="B94" s="5" t="s">
        <v>703</v>
      </c>
      <c r="D94" s="26" t="s">
        <v>267</v>
      </c>
      <c r="E94" s="97">
        <v>0</v>
      </c>
      <c r="F94" s="97">
        <v>0</v>
      </c>
      <c r="G94" s="97">
        <v>0</v>
      </c>
      <c r="H94" s="97">
        <v>0</v>
      </c>
      <c r="I94" s="97">
        <v>0</v>
      </c>
      <c r="J94" s="97">
        <v>0</v>
      </c>
      <c r="K94" s="97">
        <v>0</v>
      </c>
      <c r="L94" s="97">
        <v>0</v>
      </c>
      <c r="M94" s="97">
        <v>0</v>
      </c>
      <c r="N94" s="97">
        <v>0</v>
      </c>
      <c r="O94" s="97">
        <v>0</v>
      </c>
      <c r="P94" s="97">
        <v>0</v>
      </c>
      <c r="Q94" s="103">
        <f t="shared" si="5"/>
        <v>0</v>
      </c>
      <c r="R94" s="39">
        <f t="shared" si="8"/>
        <v>0</v>
      </c>
      <c r="S94" s="35"/>
      <c r="T94" s="40">
        <f t="shared" si="9"/>
        <v>-1</v>
      </c>
    </row>
    <row r="95" spans="1:20" ht="26.25" hidden="1" customHeight="1">
      <c r="A95" s="5" t="s">
        <v>268</v>
      </c>
      <c r="B95" s="5" t="s">
        <v>703</v>
      </c>
      <c r="D95" s="26" t="s">
        <v>269</v>
      </c>
      <c r="E95" s="97">
        <v>0</v>
      </c>
      <c r="F95" s="97">
        <v>0</v>
      </c>
      <c r="G95" s="97">
        <v>0</v>
      </c>
      <c r="H95" s="97">
        <v>0</v>
      </c>
      <c r="I95" s="97">
        <v>0</v>
      </c>
      <c r="J95" s="97">
        <v>0</v>
      </c>
      <c r="K95" s="97">
        <v>0</v>
      </c>
      <c r="L95" s="97">
        <v>0</v>
      </c>
      <c r="M95" s="97">
        <v>0</v>
      </c>
      <c r="N95" s="97">
        <v>0</v>
      </c>
      <c r="O95" s="97">
        <v>0</v>
      </c>
      <c r="P95" s="97">
        <v>0</v>
      </c>
      <c r="Q95" s="103">
        <f t="shared" ref="Q95:Q97" si="10">SUM(E95:P95)</f>
        <v>0</v>
      </c>
      <c r="R95" s="39">
        <f t="shared" si="8"/>
        <v>0</v>
      </c>
      <c r="S95" s="35"/>
      <c r="T95" s="40">
        <f t="shared" si="9"/>
        <v>-1</v>
      </c>
    </row>
    <row r="96" spans="1:20" ht="26.25" hidden="1" customHeight="1">
      <c r="A96" s="5" t="s">
        <v>270</v>
      </c>
      <c r="B96" s="5" t="s">
        <v>703</v>
      </c>
      <c r="D96" s="26" t="s">
        <v>271</v>
      </c>
      <c r="E96" s="97">
        <v>0</v>
      </c>
      <c r="F96" s="97">
        <v>0</v>
      </c>
      <c r="G96" s="97">
        <v>0</v>
      </c>
      <c r="H96" s="97">
        <v>0</v>
      </c>
      <c r="I96" s="97">
        <v>0</v>
      </c>
      <c r="J96" s="97">
        <v>0</v>
      </c>
      <c r="K96" s="97">
        <v>0</v>
      </c>
      <c r="L96" s="97">
        <v>0</v>
      </c>
      <c r="M96" s="97">
        <v>0</v>
      </c>
      <c r="N96" s="97">
        <v>0</v>
      </c>
      <c r="O96" s="97">
        <v>0</v>
      </c>
      <c r="P96" s="97">
        <v>0</v>
      </c>
      <c r="Q96" s="103">
        <f t="shared" si="10"/>
        <v>0</v>
      </c>
      <c r="R96" s="39">
        <f t="shared" si="8"/>
        <v>0</v>
      </c>
      <c r="S96" s="35"/>
      <c r="T96" s="40">
        <f t="shared" si="9"/>
        <v>-1</v>
      </c>
    </row>
    <row r="97" spans="1:20" ht="26.25" customHeight="1">
      <c r="A97" s="5" t="s">
        <v>611</v>
      </c>
      <c r="B97" s="5" t="s">
        <v>703</v>
      </c>
      <c r="D97" s="26" t="s">
        <v>273</v>
      </c>
      <c r="E97" s="97">
        <v>0</v>
      </c>
      <c r="F97" s="97">
        <v>0</v>
      </c>
      <c r="G97" s="97">
        <v>0</v>
      </c>
      <c r="H97" s="97">
        <v>0</v>
      </c>
      <c r="I97" s="97">
        <v>0</v>
      </c>
      <c r="J97" s="97">
        <v>0</v>
      </c>
      <c r="K97" s="97">
        <v>0</v>
      </c>
      <c r="L97" s="97">
        <v>0</v>
      </c>
      <c r="M97" s="97">
        <v>0</v>
      </c>
      <c r="N97" s="97">
        <v>0</v>
      </c>
      <c r="O97" s="97">
        <v>0</v>
      </c>
      <c r="P97" s="97">
        <v>0</v>
      </c>
      <c r="Q97" s="103">
        <f t="shared" si="10"/>
        <v>0</v>
      </c>
      <c r="R97" s="39">
        <f t="shared" si="8"/>
        <v>0</v>
      </c>
      <c r="S97" s="35"/>
      <c r="T97" s="40">
        <f t="shared" si="9"/>
        <v>-1</v>
      </c>
    </row>
    <row r="98" spans="1:20" ht="26.25" customHeight="1">
      <c r="D98" s="21" t="s">
        <v>774</v>
      </c>
      <c r="E98" s="98">
        <f>SUM(E30:E97)</f>
        <v>1823.49</v>
      </c>
      <c r="F98" s="98">
        <f t="shared" ref="F98:Q98" si="11">SUM(F30:F97)</f>
        <v>1955.81</v>
      </c>
      <c r="G98" s="98">
        <f t="shared" si="11"/>
        <v>1818.6</v>
      </c>
      <c r="H98" s="98">
        <f t="shared" si="11"/>
        <v>1967.15</v>
      </c>
      <c r="I98" s="98">
        <f t="shared" si="11"/>
        <v>1985.46</v>
      </c>
      <c r="J98" s="98">
        <f t="shared" si="11"/>
        <v>1998.85</v>
      </c>
      <c r="K98" s="98">
        <f t="shared" si="11"/>
        <v>1984.1</v>
      </c>
      <c r="L98" s="98">
        <f t="shared" si="11"/>
        <v>1991.14</v>
      </c>
      <c r="M98" s="98">
        <f t="shared" si="11"/>
        <v>2083.35</v>
      </c>
      <c r="N98" s="98">
        <f t="shared" si="11"/>
        <v>2215.67</v>
      </c>
      <c r="O98" s="98">
        <f t="shared" si="11"/>
        <v>1929.87</v>
      </c>
      <c r="P98" s="98">
        <f t="shared" si="11"/>
        <v>1903.11</v>
      </c>
      <c r="Q98" s="98">
        <f t="shared" si="11"/>
        <v>23656.599999999995</v>
      </c>
      <c r="R98" s="39">
        <f t="shared" si="8"/>
        <v>0</v>
      </c>
      <c r="S98" s="35"/>
      <c r="T98" s="40">
        <f t="shared" si="9"/>
        <v>-1</v>
      </c>
    </row>
    <row r="99" spans="1:20" ht="26.25" customHeight="1">
      <c r="D99" s="21" t="s">
        <v>775</v>
      </c>
      <c r="E99" s="27">
        <f>E14-E25-E27-E98</f>
        <v>-31883.870000000003</v>
      </c>
      <c r="F99" s="27">
        <f t="shared" ref="F99:Q99" si="12">F14-F25-F27-F98</f>
        <v>-34183.65</v>
      </c>
      <c r="G99" s="27">
        <f t="shared" si="12"/>
        <v>-30526.28</v>
      </c>
      <c r="H99" s="27">
        <f t="shared" si="12"/>
        <v>-32027.530000000002</v>
      </c>
      <c r="I99" s="27">
        <f t="shared" si="12"/>
        <v>-32045.84</v>
      </c>
      <c r="J99" s="27">
        <f t="shared" si="12"/>
        <v>-32059.23</v>
      </c>
      <c r="K99" s="27">
        <f t="shared" si="12"/>
        <v>-30691.78</v>
      </c>
      <c r="L99" s="27">
        <f t="shared" si="12"/>
        <v>-30698.82</v>
      </c>
      <c r="M99" s="27">
        <f t="shared" si="12"/>
        <v>-32143.73</v>
      </c>
      <c r="N99" s="27">
        <f t="shared" si="12"/>
        <v>-34443.51</v>
      </c>
      <c r="O99" s="27">
        <f t="shared" si="12"/>
        <v>-30637.55</v>
      </c>
      <c r="P99" s="27">
        <f t="shared" si="12"/>
        <v>-30610.79</v>
      </c>
      <c r="Q99" s="27">
        <f t="shared" si="12"/>
        <v>-381952.57999999996</v>
      </c>
      <c r="R99" s="39">
        <f t="shared" si="8"/>
        <v>0</v>
      </c>
      <c r="S99" s="35"/>
      <c r="T99" s="40" t="e">
        <f t="shared" si="7"/>
        <v>#DIV/0!</v>
      </c>
    </row>
    <row r="100" spans="1:20" ht="26.25" customHeight="1">
      <c r="A100" s="5" t="s">
        <v>776</v>
      </c>
      <c r="B100" s="5" t="s">
        <v>703</v>
      </c>
      <c r="D100" s="21" t="s">
        <v>351</v>
      </c>
      <c r="E100" s="97"/>
      <c r="F100" s="97"/>
      <c r="G100" s="97"/>
      <c r="H100" s="97"/>
      <c r="I100" s="97"/>
      <c r="J100" s="97"/>
      <c r="K100" s="97"/>
      <c r="L100" s="97"/>
      <c r="M100" s="97"/>
      <c r="N100" s="97"/>
      <c r="O100" s="97"/>
      <c r="P100" s="97"/>
      <c r="Q100" s="97"/>
      <c r="S100" s="35"/>
      <c r="T100" s="40"/>
    </row>
    <row r="101" spans="1:20" ht="26.25" customHeight="1">
      <c r="E101" s="105"/>
      <c r="F101" s="105"/>
      <c r="G101" s="105"/>
      <c r="H101" s="105"/>
      <c r="I101" s="105"/>
      <c r="J101" s="105"/>
      <c r="K101" s="105"/>
      <c r="L101" s="105"/>
      <c r="M101" s="105"/>
      <c r="N101" s="105"/>
      <c r="O101" s="105"/>
      <c r="P101" s="105"/>
      <c r="Q101" s="105"/>
      <c r="S101" s="115"/>
      <c r="T101" s="40">
        <f t="shared" si="7"/>
        <v>0</v>
      </c>
    </row>
    <row r="102" spans="1:20" ht="26.25" customHeight="1">
      <c r="D102" s="21" t="s">
        <v>777</v>
      </c>
      <c r="E102" s="72"/>
      <c r="F102" s="106"/>
      <c r="G102" s="72"/>
      <c r="H102" s="107"/>
      <c r="I102" s="72"/>
      <c r="J102" s="106"/>
      <c r="K102" s="72"/>
      <c r="L102" s="109"/>
      <c r="M102" s="72"/>
      <c r="N102" s="106"/>
      <c r="O102" s="110"/>
      <c r="P102" s="110"/>
      <c r="Q102" s="110"/>
      <c r="S102" s="35"/>
      <c r="T102" s="40"/>
    </row>
    <row r="103" spans="1:20" ht="26.25" customHeight="1">
      <c r="D103" s="21" t="s">
        <v>778</v>
      </c>
      <c r="E103" s="72"/>
      <c r="F103" s="106"/>
      <c r="G103" s="72"/>
      <c r="H103" s="107"/>
      <c r="I103" s="72"/>
      <c r="J103" s="106"/>
      <c r="K103" s="72"/>
      <c r="L103" s="109"/>
      <c r="M103" s="72"/>
      <c r="N103" s="106"/>
      <c r="O103" s="110"/>
      <c r="P103" s="110"/>
      <c r="Q103" s="110"/>
      <c r="S103" s="35"/>
      <c r="T103" s="40"/>
    </row>
    <row r="104" spans="1:20" ht="26.25" customHeight="1">
      <c r="A104" s="5" t="s">
        <v>295</v>
      </c>
      <c r="B104" s="5" t="s">
        <v>703</v>
      </c>
      <c r="D104" s="26" t="s">
        <v>779</v>
      </c>
      <c r="E104" s="97">
        <v>6500</v>
      </c>
      <c r="F104" s="97">
        <v>6500</v>
      </c>
      <c r="G104" s="97">
        <v>6500</v>
      </c>
      <c r="H104" s="97">
        <v>6500</v>
      </c>
      <c r="I104" s="97">
        <v>6500</v>
      </c>
      <c r="J104" s="97">
        <v>6500</v>
      </c>
      <c r="K104" s="97">
        <v>6500</v>
      </c>
      <c r="L104" s="97">
        <v>6500</v>
      </c>
      <c r="M104" s="97">
        <v>6500</v>
      </c>
      <c r="N104" s="97">
        <v>6500</v>
      </c>
      <c r="O104" s="97">
        <v>6500</v>
      </c>
      <c r="P104" s="97">
        <v>6500</v>
      </c>
      <c r="Q104" s="103">
        <f>SUM(E104:P104)</f>
        <v>78000</v>
      </c>
      <c r="R104" s="39">
        <f>IF($Q$14=0,0,Q104/$Q$14)</f>
        <v>0</v>
      </c>
      <c r="S104" s="35"/>
      <c r="T104" s="40" t="e">
        <f>-IF(Q104-S104=0,0,(Q104-S104)/S104)</f>
        <v>#DIV/0!</v>
      </c>
    </row>
    <row r="105" spans="1:20" ht="26.25" customHeight="1">
      <c r="A105" s="5" t="s">
        <v>298</v>
      </c>
      <c r="B105" s="5" t="s">
        <v>703</v>
      </c>
      <c r="D105" s="26" t="s">
        <v>780</v>
      </c>
      <c r="E105" s="108">
        <v>7000</v>
      </c>
      <c r="F105" s="108">
        <v>7000</v>
      </c>
      <c r="G105" s="108">
        <v>7000</v>
      </c>
      <c r="H105" s="108">
        <v>7000</v>
      </c>
      <c r="I105" s="108">
        <v>7000</v>
      </c>
      <c r="J105" s="108">
        <v>7000</v>
      </c>
      <c r="K105" s="108">
        <v>7000</v>
      </c>
      <c r="L105" s="108">
        <v>7000</v>
      </c>
      <c r="M105" s="108">
        <v>7000</v>
      </c>
      <c r="N105" s="108">
        <v>7000</v>
      </c>
      <c r="O105" s="108">
        <v>7000</v>
      </c>
      <c r="P105" s="108">
        <v>7000</v>
      </c>
      <c r="Q105" s="111">
        <f>SUM(E105:P105)</f>
        <v>84000</v>
      </c>
      <c r="R105" s="39">
        <f t="shared" ref="R105:R106" si="13">IF($Q$14=0,0,Q105/$Q$14)</f>
        <v>0</v>
      </c>
      <c r="S105" s="35"/>
      <c r="T105" s="40" t="e">
        <f t="shared" ref="T105:T137" si="14">-IF(Q105-S105=0,0,(Q105-S105)/S105)</f>
        <v>#DIV/0!</v>
      </c>
    </row>
    <row r="106" spans="1:20" ht="26.25" customHeight="1">
      <c r="D106" s="21" t="s">
        <v>781</v>
      </c>
      <c r="E106" s="99">
        <f>SUM(E104:E105)</f>
        <v>13500</v>
      </c>
      <c r="F106" s="99">
        <f t="shared" ref="F106:P106" si="15">SUM(F104:F105)</f>
        <v>13500</v>
      </c>
      <c r="G106" s="99">
        <f t="shared" si="15"/>
        <v>13500</v>
      </c>
      <c r="H106" s="99">
        <f t="shared" si="15"/>
        <v>13500</v>
      </c>
      <c r="I106" s="99">
        <f t="shared" si="15"/>
        <v>13500</v>
      </c>
      <c r="J106" s="99">
        <f t="shared" si="15"/>
        <v>13500</v>
      </c>
      <c r="K106" s="99">
        <f t="shared" si="15"/>
        <v>13500</v>
      </c>
      <c r="L106" s="99">
        <f t="shared" si="15"/>
        <v>13500</v>
      </c>
      <c r="M106" s="99">
        <f t="shared" si="15"/>
        <v>13500</v>
      </c>
      <c r="N106" s="99">
        <f t="shared" si="15"/>
        <v>13500</v>
      </c>
      <c r="O106" s="99">
        <f t="shared" si="15"/>
        <v>13500</v>
      </c>
      <c r="P106" s="99">
        <f t="shared" si="15"/>
        <v>13500</v>
      </c>
      <c r="Q106" s="99">
        <f t="shared" ref="Q106" si="16">SUM(Q104:Q105)</f>
        <v>162000</v>
      </c>
      <c r="R106" s="39">
        <f t="shared" si="13"/>
        <v>0</v>
      </c>
      <c r="S106" s="35"/>
      <c r="T106" s="40" t="e">
        <f t="shared" si="14"/>
        <v>#DIV/0!</v>
      </c>
    </row>
    <row r="107" spans="1:20" ht="26.25" customHeight="1">
      <c r="E107" s="72"/>
      <c r="F107" s="72"/>
      <c r="G107" s="72"/>
      <c r="H107" s="72"/>
      <c r="I107" s="72"/>
      <c r="J107" s="72"/>
      <c r="K107" s="72"/>
      <c r="L107" s="72"/>
      <c r="M107" s="72"/>
      <c r="N107" s="72"/>
      <c r="O107" s="72"/>
      <c r="P107" s="72"/>
      <c r="Q107" s="110"/>
      <c r="S107" s="35"/>
      <c r="T107" s="40"/>
    </row>
    <row r="108" spans="1:20" ht="26.25" customHeight="1">
      <c r="A108" s="5" t="s">
        <v>619</v>
      </c>
      <c r="B108" s="5" t="s">
        <v>703</v>
      </c>
      <c r="D108" s="26" t="s">
        <v>782</v>
      </c>
      <c r="E108" s="97">
        <v>1289.6600000000001</v>
      </c>
      <c r="F108" s="97">
        <v>3331.03</v>
      </c>
      <c r="G108" s="97">
        <v>0</v>
      </c>
      <c r="H108" s="97">
        <v>1289.6600000000001</v>
      </c>
      <c r="I108" s="97">
        <v>1289.6600000000001</v>
      </c>
      <c r="J108" s="97">
        <v>1289.6600000000001</v>
      </c>
      <c r="K108" s="97">
        <v>0</v>
      </c>
      <c r="L108" s="97">
        <v>0</v>
      </c>
      <c r="M108" s="97">
        <v>1289.6600000000001</v>
      </c>
      <c r="N108" s="97">
        <v>3331.03</v>
      </c>
      <c r="O108" s="97">
        <v>0</v>
      </c>
      <c r="P108" s="97">
        <v>0</v>
      </c>
      <c r="Q108" s="103">
        <f>SUM(E108:P108)</f>
        <v>13110.36</v>
      </c>
      <c r="R108" s="39">
        <f>IF($Q$14=0,0,Q108/$Q$14)</f>
        <v>0</v>
      </c>
      <c r="S108" s="35"/>
      <c r="T108" s="40" t="e">
        <f t="shared" si="14"/>
        <v>#DIV/0!</v>
      </c>
    </row>
    <row r="109" spans="1:20" ht="26.25" customHeight="1">
      <c r="A109" s="5" t="s">
        <v>308</v>
      </c>
      <c r="B109" s="5" t="s">
        <v>703</v>
      </c>
      <c r="D109" s="26" t="s">
        <v>783</v>
      </c>
      <c r="E109" s="97">
        <f>ROUND(E106/12*1.5,2)</f>
        <v>1687.5</v>
      </c>
      <c r="F109" s="97">
        <f t="shared" ref="F109:P109" si="17">ROUND(F106/12*1.5,2)</f>
        <v>1687.5</v>
      </c>
      <c r="G109" s="97">
        <f t="shared" si="17"/>
        <v>1687.5</v>
      </c>
      <c r="H109" s="97">
        <f t="shared" si="17"/>
        <v>1687.5</v>
      </c>
      <c r="I109" s="97">
        <f t="shared" si="17"/>
        <v>1687.5</v>
      </c>
      <c r="J109" s="97">
        <f t="shared" si="17"/>
        <v>1687.5</v>
      </c>
      <c r="K109" s="97">
        <f t="shared" si="17"/>
        <v>1687.5</v>
      </c>
      <c r="L109" s="97">
        <f t="shared" si="17"/>
        <v>1687.5</v>
      </c>
      <c r="M109" s="97">
        <f t="shared" si="17"/>
        <v>1687.5</v>
      </c>
      <c r="N109" s="97">
        <f t="shared" si="17"/>
        <v>1687.5</v>
      </c>
      <c r="O109" s="97">
        <f t="shared" si="17"/>
        <v>1687.5</v>
      </c>
      <c r="P109" s="97">
        <f t="shared" si="17"/>
        <v>1687.5</v>
      </c>
      <c r="Q109" s="103">
        <f t="shared" ref="Q109:Q114" si="18">SUM(E109:P109)</f>
        <v>20250</v>
      </c>
      <c r="R109" s="39">
        <f t="shared" ref="R109:R125" si="19">IF($Q$14=0,0,Q109/$Q$14)</f>
        <v>0</v>
      </c>
      <c r="S109" s="35"/>
      <c r="T109" s="40" t="e">
        <f t="shared" si="14"/>
        <v>#DIV/0!</v>
      </c>
    </row>
    <row r="110" spans="1:20" ht="26.25" customHeight="1">
      <c r="A110" s="5" t="s">
        <v>620</v>
      </c>
      <c r="B110" s="5" t="s">
        <v>703</v>
      </c>
      <c r="D110" s="26" t="s">
        <v>784</v>
      </c>
      <c r="E110" s="97"/>
      <c r="F110" s="97"/>
      <c r="G110" s="97"/>
      <c r="H110" s="97"/>
      <c r="I110" s="97"/>
      <c r="J110" s="97"/>
      <c r="K110" s="97"/>
      <c r="L110" s="97"/>
      <c r="M110" s="97"/>
      <c r="N110" s="97"/>
      <c r="O110" s="97"/>
      <c r="P110" s="97"/>
      <c r="Q110" s="103">
        <f t="shared" si="18"/>
        <v>0</v>
      </c>
      <c r="R110" s="39">
        <f t="shared" si="19"/>
        <v>0</v>
      </c>
      <c r="S110" s="35"/>
      <c r="T110" s="40"/>
    </row>
    <row r="111" spans="1:20" ht="26.25" customHeight="1">
      <c r="A111" s="5" t="s">
        <v>621</v>
      </c>
      <c r="B111" s="5" t="s">
        <v>703</v>
      </c>
      <c r="D111" s="26" t="s">
        <v>785</v>
      </c>
      <c r="E111" s="97"/>
      <c r="F111" s="97"/>
      <c r="G111" s="97"/>
      <c r="H111" s="97"/>
      <c r="I111" s="97"/>
      <c r="J111" s="97"/>
      <c r="K111" s="97"/>
      <c r="L111" s="97"/>
      <c r="M111" s="97"/>
      <c r="N111" s="97"/>
      <c r="O111" s="97"/>
      <c r="P111" s="97"/>
      <c r="Q111" s="103">
        <f t="shared" ref="Q111:Q112" si="20">SUM(E111:P111)</f>
        <v>0</v>
      </c>
      <c r="R111" s="39">
        <f t="shared" si="19"/>
        <v>0</v>
      </c>
      <c r="S111" s="35"/>
      <c r="T111" s="40">
        <f t="shared" ref="T111:T112" si="21">-IF(Q111-S111=0,0,(Q111-S111)/S111)</f>
        <v>0</v>
      </c>
    </row>
    <row r="112" spans="1:20" ht="26.25" customHeight="1">
      <c r="A112" s="5" t="s">
        <v>622</v>
      </c>
      <c r="B112" s="5" t="s">
        <v>703</v>
      </c>
      <c r="D112" s="26" t="s">
        <v>786</v>
      </c>
      <c r="E112" s="97"/>
      <c r="F112" s="97"/>
      <c r="G112" s="97"/>
      <c r="H112" s="97"/>
      <c r="I112" s="97"/>
      <c r="J112" s="97"/>
      <c r="K112" s="97"/>
      <c r="L112" s="97"/>
      <c r="M112" s="97"/>
      <c r="N112" s="97"/>
      <c r="O112" s="97"/>
      <c r="P112" s="97"/>
      <c r="Q112" s="103">
        <f t="shared" si="20"/>
        <v>0</v>
      </c>
      <c r="R112" s="39">
        <f t="shared" si="19"/>
        <v>0</v>
      </c>
      <c r="S112" s="35"/>
      <c r="T112" s="40">
        <f t="shared" si="21"/>
        <v>0</v>
      </c>
    </row>
    <row r="113" spans="1:20" ht="26.25" customHeight="1">
      <c r="A113" s="5" t="s">
        <v>1109</v>
      </c>
      <c r="B113" s="5" t="s">
        <v>703</v>
      </c>
      <c r="D113" s="26" t="s">
        <v>1113</v>
      </c>
      <c r="E113" s="97">
        <v>5200</v>
      </c>
      <c r="F113" s="97">
        <v>5200</v>
      </c>
      <c r="G113" s="97">
        <v>5200</v>
      </c>
      <c r="H113" s="97">
        <v>5200</v>
      </c>
      <c r="I113" s="97">
        <v>5200</v>
      </c>
      <c r="J113" s="97">
        <v>5200</v>
      </c>
      <c r="K113" s="97">
        <v>5200</v>
      </c>
      <c r="L113" s="97">
        <v>5200</v>
      </c>
      <c r="M113" s="97">
        <v>5200</v>
      </c>
      <c r="N113" s="97">
        <v>5200</v>
      </c>
      <c r="O113" s="97">
        <v>5200</v>
      </c>
      <c r="P113" s="97">
        <v>5200</v>
      </c>
      <c r="Q113" s="103">
        <f t="shared" si="18"/>
        <v>62400</v>
      </c>
      <c r="R113" s="39">
        <f t="shared" si="19"/>
        <v>0</v>
      </c>
      <c r="S113" s="35"/>
      <c r="T113" s="40" t="e">
        <f t="shared" si="14"/>
        <v>#DIV/0!</v>
      </c>
    </row>
    <row r="114" spans="1:20" ht="26.25" customHeight="1">
      <c r="A114" s="5" t="s">
        <v>1109</v>
      </c>
      <c r="B114" s="5" t="s">
        <v>703</v>
      </c>
      <c r="D114" s="26" t="s">
        <v>1114</v>
      </c>
      <c r="E114" s="108"/>
      <c r="F114" s="108"/>
      <c r="G114" s="108"/>
      <c r="H114" s="108"/>
      <c r="I114" s="108"/>
      <c r="J114" s="108"/>
      <c r="K114" s="108"/>
      <c r="L114" s="108"/>
      <c r="M114" s="108"/>
      <c r="N114" s="108"/>
      <c r="O114" s="108"/>
      <c r="P114" s="108"/>
      <c r="Q114" s="103">
        <f t="shared" si="18"/>
        <v>0</v>
      </c>
      <c r="R114" s="39">
        <f t="shared" si="19"/>
        <v>0</v>
      </c>
      <c r="S114" s="35"/>
      <c r="T114" s="40">
        <f t="shared" si="14"/>
        <v>0</v>
      </c>
    </row>
    <row r="115" spans="1:20" ht="26.25" customHeight="1">
      <c r="D115" s="21" t="s">
        <v>787</v>
      </c>
      <c r="E115" s="99">
        <f>SUM(E108:E114)</f>
        <v>8177.16</v>
      </c>
      <c r="F115" s="99">
        <f t="shared" ref="F115:P115" si="22">SUM(F108:F114)</f>
        <v>10218.530000000001</v>
      </c>
      <c r="G115" s="99">
        <f t="shared" si="22"/>
        <v>6887.5</v>
      </c>
      <c r="H115" s="99">
        <f t="shared" si="22"/>
        <v>8177.16</v>
      </c>
      <c r="I115" s="99">
        <f t="shared" si="22"/>
        <v>8177.16</v>
      </c>
      <c r="J115" s="99">
        <f t="shared" si="22"/>
        <v>8177.16</v>
      </c>
      <c r="K115" s="99">
        <f t="shared" si="22"/>
        <v>6887.5</v>
      </c>
      <c r="L115" s="99">
        <f t="shared" si="22"/>
        <v>6887.5</v>
      </c>
      <c r="M115" s="99">
        <f t="shared" si="22"/>
        <v>8177.16</v>
      </c>
      <c r="N115" s="99">
        <f t="shared" si="22"/>
        <v>10218.530000000001</v>
      </c>
      <c r="O115" s="99">
        <f t="shared" si="22"/>
        <v>6887.5</v>
      </c>
      <c r="P115" s="99">
        <f t="shared" si="22"/>
        <v>6887.5</v>
      </c>
      <c r="Q115" s="99">
        <f t="shared" ref="Q115" si="23">SUM(Q108:Q114)</f>
        <v>95760.36</v>
      </c>
      <c r="R115" s="39">
        <f t="shared" si="19"/>
        <v>0</v>
      </c>
      <c r="S115" s="35"/>
      <c r="T115" s="40" t="e">
        <f t="shared" si="14"/>
        <v>#DIV/0!</v>
      </c>
    </row>
    <row r="116" spans="1:20" ht="26.25" customHeight="1">
      <c r="E116" s="72"/>
      <c r="F116" s="106"/>
      <c r="G116" s="72"/>
      <c r="H116" s="72"/>
      <c r="I116" s="72"/>
      <c r="J116" s="106"/>
      <c r="K116" s="72"/>
      <c r="L116" s="109"/>
      <c r="M116" s="72"/>
      <c r="N116" s="106"/>
      <c r="O116" s="110"/>
      <c r="P116" s="110"/>
      <c r="Q116" s="110"/>
      <c r="S116" s="35"/>
      <c r="T116" s="40"/>
    </row>
    <row r="117" spans="1:20" ht="26.25" customHeight="1">
      <c r="A117" s="5" t="s">
        <v>625</v>
      </c>
      <c r="B117" s="5" t="s">
        <v>703</v>
      </c>
      <c r="D117" s="26" t="s">
        <v>788</v>
      </c>
      <c r="E117" s="97">
        <v>2576</v>
      </c>
      <c r="F117" s="97">
        <v>2576</v>
      </c>
      <c r="G117" s="97">
        <v>2576</v>
      </c>
      <c r="H117" s="97">
        <v>2576</v>
      </c>
      <c r="I117" s="97">
        <v>2576</v>
      </c>
      <c r="J117" s="97">
        <v>2576</v>
      </c>
      <c r="K117" s="97">
        <v>2576</v>
      </c>
      <c r="L117" s="97">
        <v>2576</v>
      </c>
      <c r="M117" s="97">
        <v>2576</v>
      </c>
      <c r="N117" s="97">
        <v>2576</v>
      </c>
      <c r="O117" s="97">
        <v>2576</v>
      </c>
      <c r="P117" s="97">
        <v>2576</v>
      </c>
      <c r="Q117" s="103">
        <f>SUM(E117:P117)</f>
        <v>30912</v>
      </c>
      <c r="R117" s="39">
        <f t="shared" si="19"/>
        <v>0</v>
      </c>
      <c r="S117" s="35"/>
      <c r="T117" s="40" t="e">
        <f t="shared" si="14"/>
        <v>#DIV/0!</v>
      </c>
    </row>
    <row r="118" spans="1:20" ht="26.25" customHeight="1">
      <c r="A118" s="5" t="s">
        <v>626</v>
      </c>
      <c r="B118" s="5" t="s">
        <v>703</v>
      </c>
      <c r="D118" s="26" t="s">
        <v>789</v>
      </c>
      <c r="E118" s="97">
        <v>1127</v>
      </c>
      <c r="F118" s="97">
        <v>1127</v>
      </c>
      <c r="G118" s="97">
        <v>1127</v>
      </c>
      <c r="H118" s="97">
        <v>1127</v>
      </c>
      <c r="I118" s="97">
        <v>1127</v>
      </c>
      <c r="J118" s="97">
        <v>1127</v>
      </c>
      <c r="K118" s="97">
        <v>1127</v>
      </c>
      <c r="L118" s="97">
        <v>1127</v>
      </c>
      <c r="M118" s="97">
        <v>1127</v>
      </c>
      <c r="N118" s="97">
        <v>1127</v>
      </c>
      <c r="O118" s="97">
        <v>1127</v>
      </c>
      <c r="P118" s="97">
        <v>1127</v>
      </c>
      <c r="Q118" s="103">
        <f t="shared" ref="Q118:Q123" si="24">SUM(E118:P118)</f>
        <v>13524</v>
      </c>
      <c r="R118" s="39">
        <f t="shared" si="19"/>
        <v>0</v>
      </c>
      <c r="S118" s="35"/>
      <c r="T118" s="40" t="e">
        <f t="shared" si="14"/>
        <v>#DIV/0!</v>
      </c>
    </row>
    <row r="119" spans="1:20" ht="26.25" customHeight="1">
      <c r="A119" s="5" t="s">
        <v>627</v>
      </c>
      <c r="B119" s="5" t="s">
        <v>703</v>
      </c>
      <c r="D119" s="26" t="s">
        <v>790</v>
      </c>
      <c r="E119" s="97">
        <v>80.5</v>
      </c>
      <c r="F119" s="97">
        <v>80.5</v>
      </c>
      <c r="G119" s="97">
        <v>80.5</v>
      </c>
      <c r="H119" s="97">
        <v>80.5</v>
      </c>
      <c r="I119" s="97">
        <v>80.5</v>
      </c>
      <c r="J119" s="97">
        <v>80.5</v>
      </c>
      <c r="K119" s="97">
        <v>80.5</v>
      </c>
      <c r="L119" s="97">
        <v>80.5</v>
      </c>
      <c r="M119" s="97">
        <v>80.5</v>
      </c>
      <c r="N119" s="97">
        <v>80.5</v>
      </c>
      <c r="O119" s="97">
        <v>80.5</v>
      </c>
      <c r="P119" s="97">
        <v>80.5</v>
      </c>
      <c r="Q119" s="103">
        <f t="shared" si="24"/>
        <v>966</v>
      </c>
      <c r="R119" s="39">
        <f t="shared" si="19"/>
        <v>0</v>
      </c>
      <c r="S119" s="35"/>
      <c r="T119" s="40" t="e">
        <f t="shared" si="14"/>
        <v>#DIV/0!</v>
      </c>
    </row>
    <row r="120" spans="1:20" ht="26.25" customHeight="1">
      <c r="A120" s="5" t="s">
        <v>628</v>
      </c>
      <c r="B120" s="5" t="s">
        <v>703</v>
      </c>
      <c r="D120" s="26" t="s">
        <v>791</v>
      </c>
      <c r="E120" s="97">
        <v>64.400000000000006</v>
      </c>
      <c r="F120" s="97">
        <v>64.400000000000006</v>
      </c>
      <c r="G120" s="97">
        <v>64.400000000000006</v>
      </c>
      <c r="H120" s="97">
        <v>64.400000000000006</v>
      </c>
      <c r="I120" s="97">
        <v>64.400000000000006</v>
      </c>
      <c r="J120" s="97">
        <v>64.400000000000006</v>
      </c>
      <c r="K120" s="97">
        <v>64.400000000000006</v>
      </c>
      <c r="L120" s="97">
        <v>64.400000000000006</v>
      </c>
      <c r="M120" s="97">
        <v>64.400000000000006</v>
      </c>
      <c r="N120" s="97">
        <v>64.400000000000006</v>
      </c>
      <c r="O120" s="97">
        <v>64.400000000000006</v>
      </c>
      <c r="P120" s="97">
        <v>64.400000000000006</v>
      </c>
      <c r="Q120" s="103">
        <f t="shared" si="24"/>
        <v>772.79999999999984</v>
      </c>
      <c r="R120" s="39">
        <f t="shared" si="19"/>
        <v>0</v>
      </c>
      <c r="S120" s="35"/>
      <c r="T120" s="40" t="e">
        <f t="shared" si="14"/>
        <v>#DIV/0!</v>
      </c>
    </row>
    <row r="121" spans="1:20" ht="26.25" customHeight="1">
      <c r="A121" s="5" t="s">
        <v>629</v>
      </c>
      <c r="B121" s="5" t="s">
        <v>703</v>
      </c>
      <c r="D121" s="26" t="s">
        <v>792</v>
      </c>
      <c r="E121" s="97">
        <v>128.80000000000001</v>
      </c>
      <c r="F121" s="97">
        <v>128.80000000000001</v>
      </c>
      <c r="G121" s="97">
        <v>128.80000000000001</v>
      </c>
      <c r="H121" s="97">
        <v>128.80000000000001</v>
      </c>
      <c r="I121" s="97">
        <v>128.80000000000001</v>
      </c>
      <c r="J121" s="97">
        <v>128.80000000000001</v>
      </c>
      <c r="K121" s="97">
        <v>128.80000000000001</v>
      </c>
      <c r="L121" s="97">
        <v>128.80000000000001</v>
      </c>
      <c r="M121" s="97">
        <v>128.80000000000001</v>
      </c>
      <c r="N121" s="97">
        <v>128.80000000000001</v>
      </c>
      <c r="O121" s="97">
        <v>128.80000000000001</v>
      </c>
      <c r="P121" s="97">
        <v>128.80000000000001</v>
      </c>
      <c r="Q121" s="103">
        <f t="shared" si="24"/>
        <v>1545.5999999999997</v>
      </c>
      <c r="R121" s="39">
        <f t="shared" si="19"/>
        <v>0</v>
      </c>
      <c r="S121" s="35"/>
      <c r="T121" s="40" t="e">
        <f t="shared" si="14"/>
        <v>#DIV/0!</v>
      </c>
    </row>
    <row r="122" spans="1:20" ht="26.25" customHeight="1">
      <c r="A122" s="5" t="s">
        <v>630</v>
      </c>
      <c r="B122" s="5" t="s">
        <v>703</v>
      </c>
      <c r="D122" s="26" t="s">
        <v>793</v>
      </c>
      <c r="E122" s="97">
        <v>1350</v>
      </c>
      <c r="F122" s="97">
        <v>1350</v>
      </c>
      <c r="G122" s="97">
        <v>1350</v>
      </c>
      <c r="H122" s="97">
        <v>1350</v>
      </c>
      <c r="I122" s="97">
        <v>1350</v>
      </c>
      <c r="J122" s="97">
        <v>1350</v>
      </c>
      <c r="K122" s="97">
        <v>1350</v>
      </c>
      <c r="L122" s="97">
        <v>1350</v>
      </c>
      <c r="M122" s="97">
        <v>1350</v>
      </c>
      <c r="N122" s="97">
        <v>1350</v>
      </c>
      <c r="O122" s="97">
        <v>1350</v>
      </c>
      <c r="P122" s="97">
        <v>1350</v>
      </c>
      <c r="Q122" s="103">
        <f t="shared" si="24"/>
        <v>16200</v>
      </c>
      <c r="R122" s="39">
        <f t="shared" si="19"/>
        <v>0</v>
      </c>
      <c r="S122" s="35"/>
      <c r="T122" s="40" t="e">
        <f t="shared" si="14"/>
        <v>#DIV/0!</v>
      </c>
    </row>
    <row r="123" spans="1:20" ht="26.25" customHeight="1">
      <c r="A123" s="5" t="s">
        <v>631</v>
      </c>
      <c r="B123" s="5" t="s">
        <v>703</v>
      </c>
      <c r="D123" s="26" t="s">
        <v>794</v>
      </c>
      <c r="E123" s="97">
        <f>ROUND(E106*0.02,2)</f>
        <v>270</v>
      </c>
      <c r="F123" s="97">
        <f t="shared" ref="F123:P123" si="25">ROUND(F106*0.02,2)</f>
        <v>270</v>
      </c>
      <c r="G123" s="97">
        <f t="shared" si="25"/>
        <v>270</v>
      </c>
      <c r="H123" s="97">
        <f t="shared" si="25"/>
        <v>270</v>
      </c>
      <c r="I123" s="97">
        <f t="shared" si="25"/>
        <v>270</v>
      </c>
      <c r="J123" s="97">
        <f t="shared" si="25"/>
        <v>270</v>
      </c>
      <c r="K123" s="97">
        <f t="shared" si="25"/>
        <v>270</v>
      </c>
      <c r="L123" s="97">
        <f t="shared" si="25"/>
        <v>270</v>
      </c>
      <c r="M123" s="97">
        <f t="shared" si="25"/>
        <v>270</v>
      </c>
      <c r="N123" s="97">
        <f t="shared" si="25"/>
        <v>270</v>
      </c>
      <c r="O123" s="97">
        <f t="shared" si="25"/>
        <v>270</v>
      </c>
      <c r="P123" s="97">
        <f t="shared" si="25"/>
        <v>270</v>
      </c>
      <c r="Q123" s="103">
        <f t="shared" si="24"/>
        <v>3240</v>
      </c>
      <c r="R123" s="39">
        <f t="shared" si="19"/>
        <v>0</v>
      </c>
      <c r="S123" s="35"/>
      <c r="T123" s="40" t="e">
        <f t="shared" si="14"/>
        <v>#DIV/0!</v>
      </c>
    </row>
    <row r="124" spans="1:20" ht="26.25" customHeight="1">
      <c r="A124" s="5" t="s">
        <v>632</v>
      </c>
      <c r="B124" s="5" t="s">
        <v>703</v>
      </c>
      <c r="D124" s="26" t="s">
        <v>795</v>
      </c>
      <c r="E124" s="108">
        <v>0</v>
      </c>
      <c r="F124" s="108"/>
      <c r="G124" s="108"/>
      <c r="H124" s="108"/>
      <c r="I124" s="108"/>
      <c r="J124" s="108"/>
      <c r="K124" s="108"/>
      <c r="L124" s="108"/>
      <c r="M124" s="108"/>
      <c r="N124" s="108"/>
      <c r="O124" s="108"/>
      <c r="P124" s="108"/>
      <c r="Q124" s="111">
        <f t="shared" ref="Q124" si="26">SUM(E124:P124)</f>
        <v>0</v>
      </c>
      <c r="R124" s="39">
        <f t="shared" si="19"/>
        <v>0</v>
      </c>
      <c r="S124" s="35"/>
      <c r="T124" s="40">
        <f t="shared" si="14"/>
        <v>0</v>
      </c>
    </row>
    <row r="125" spans="1:20" ht="26.25" customHeight="1">
      <c r="D125" s="21" t="s">
        <v>796</v>
      </c>
      <c r="E125" s="99">
        <f>SUM(E117:E124)</f>
        <v>5596.7000000000007</v>
      </c>
      <c r="F125" s="99">
        <f t="shared" ref="F125:P125" si="27">SUM(F117:F124)</f>
        <v>5596.7000000000007</v>
      </c>
      <c r="G125" s="99">
        <f t="shared" si="27"/>
        <v>5596.7000000000007</v>
      </c>
      <c r="H125" s="99">
        <f t="shared" si="27"/>
        <v>5596.7000000000007</v>
      </c>
      <c r="I125" s="99">
        <f t="shared" si="27"/>
        <v>5596.7000000000007</v>
      </c>
      <c r="J125" s="99">
        <f t="shared" si="27"/>
        <v>5596.7000000000007</v>
      </c>
      <c r="K125" s="99">
        <f t="shared" si="27"/>
        <v>5596.7000000000007</v>
      </c>
      <c r="L125" s="99">
        <f t="shared" si="27"/>
        <v>5596.7000000000007</v>
      </c>
      <c r="M125" s="99">
        <f t="shared" si="27"/>
        <v>5596.7000000000007</v>
      </c>
      <c r="N125" s="99">
        <f t="shared" si="27"/>
        <v>5596.7000000000007</v>
      </c>
      <c r="O125" s="99">
        <f t="shared" si="27"/>
        <v>5596.7000000000007</v>
      </c>
      <c r="P125" s="99">
        <f t="shared" si="27"/>
        <v>5596.7000000000007</v>
      </c>
      <c r="Q125" s="99">
        <f t="shared" ref="Q125" si="28">SUM(Q117:Q124)</f>
        <v>67160.399999999994</v>
      </c>
      <c r="R125" s="39">
        <f t="shared" si="19"/>
        <v>0</v>
      </c>
      <c r="S125" s="35"/>
      <c r="T125" s="40" t="e">
        <f t="shared" si="14"/>
        <v>#DIV/0!</v>
      </c>
    </row>
    <row r="126" spans="1:20" ht="26.25" customHeight="1">
      <c r="E126" s="72"/>
      <c r="F126" s="106"/>
      <c r="G126" s="72"/>
      <c r="H126" s="72"/>
      <c r="I126" s="72"/>
      <c r="J126" s="106"/>
      <c r="K126" s="72"/>
      <c r="L126" s="109"/>
      <c r="M126" s="72"/>
      <c r="N126" s="106"/>
      <c r="O126" s="110"/>
      <c r="P126" s="110"/>
      <c r="Q126" s="110"/>
      <c r="S126" s="35"/>
      <c r="T126" s="40"/>
    </row>
    <row r="127" spans="1:20" ht="26.25" hidden="1" customHeight="1">
      <c r="A127" s="5" t="s">
        <v>633</v>
      </c>
      <c r="B127" s="5" t="s">
        <v>703</v>
      </c>
      <c r="D127" s="26" t="s">
        <v>797</v>
      </c>
      <c r="E127" s="97"/>
      <c r="F127" s="97"/>
      <c r="G127" s="97"/>
      <c r="H127" s="97"/>
      <c r="I127" s="97"/>
      <c r="J127" s="97"/>
      <c r="K127" s="97"/>
      <c r="L127" s="97"/>
      <c r="M127" s="97"/>
      <c r="N127" s="97"/>
      <c r="O127" s="97"/>
      <c r="P127" s="97"/>
      <c r="Q127" s="103">
        <f>SUM(E127:P127)</f>
        <v>0</v>
      </c>
      <c r="R127" s="39">
        <f t="shared" ref="R127:R130" si="29">IF($Q$14=0,0,Q127/$Q$14)</f>
        <v>0</v>
      </c>
      <c r="S127" s="35"/>
      <c r="T127" s="40">
        <f t="shared" si="14"/>
        <v>0</v>
      </c>
    </row>
    <row r="128" spans="1:20" ht="26.25" hidden="1" customHeight="1">
      <c r="A128" s="5" t="s">
        <v>634</v>
      </c>
      <c r="B128" s="5" t="s">
        <v>703</v>
      </c>
      <c r="D128" s="26" t="s">
        <v>798</v>
      </c>
      <c r="E128" s="97"/>
      <c r="F128" s="97"/>
      <c r="G128" s="97"/>
      <c r="H128" s="97"/>
      <c r="I128" s="97"/>
      <c r="J128" s="97"/>
      <c r="K128" s="97"/>
      <c r="L128" s="97"/>
      <c r="M128" s="97"/>
      <c r="N128" s="97"/>
      <c r="O128" s="97"/>
      <c r="P128" s="97"/>
      <c r="Q128" s="103">
        <f t="shared" ref="Q128:Q133" si="30">SUM(E128:P128)</f>
        <v>0</v>
      </c>
      <c r="R128" s="39">
        <f t="shared" si="29"/>
        <v>0</v>
      </c>
      <c r="S128" s="35"/>
      <c r="T128" s="40">
        <f t="shared" si="14"/>
        <v>0</v>
      </c>
    </row>
    <row r="129" spans="1:20" ht="26.25" hidden="1" customHeight="1">
      <c r="A129" s="5" t="s">
        <v>635</v>
      </c>
      <c r="B129" s="5" t="s">
        <v>703</v>
      </c>
      <c r="D129" s="26" t="s">
        <v>799</v>
      </c>
      <c r="E129" s="97"/>
      <c r="F129" s="97"/>
      <c r="G129" s="97"/>
      <c r="H129" s="97"/>
      <c r="I129" s="97"/>
      <c r="J129" s="97"/>
      <c r="K129" s="97"/>
      <c r="L129" s="97"/>
      <c r="M129" s="97"/>
      <c r="N129" s="97"/>
      <c r="O129" s="97"/>
      <c r="P129" s="97"/>
      <c r="Q129" s="103">
        <f t="shared" si="30"/>
        <v>0</v>
      </c>
      <c r="R129" s="39">
        <f t="shared" si="29"/>
        <v>0</v>
      </c>
      <c r="S129" s="35"/>
      <c r="T129" s="40">
        <f t="shared" si="14"/>
        <v>0</v>
      </c>
    </row>
    <row r="130" spans="1:20" ht="26.25" hidden="1" customHeight="1">
      <c r="A130" s="5" t="s">
        <v>636</v>
      </c>
      <c r="B130" s="5" t="s">
        <v>703</v>
      </c>
      <c r="D130" s="26" t="s">
        <v>800</v>
      </c>
      <c r="E130" s="97"/>
      <c r="F130" s="97"/>
      <c r="G130" s="97"/>
      <c r="H130" s="97"/>
      <c r="I130" s="97"/>
      <c r="J130" s="97"/>
      <c r="K130" s="97"/>
      <c r="L130" s="97"/>
      <c r="M130" s="97"/>
      <c r="N130" s="97"/>
      <c r="O130" s="97"/>
      <c r="P130" s="97"/>
      <c r="Q130" s="103">
        <f t="shared" si="30"/>
        <v>0</v>
      </c>
      <c r="R130" s="39">
        <f t="shared" si="29"/>
        <v>0</v>
      </c>
      <c r="S130" s="35"/>
      <c r="T130" s="40">
        <f t="shared" si="14"/>
        <v>0</v>
      </c>
    </row>
    <row r="131" spans="1:20" ht="26.25" hidden="1" customHeight="1">
      <c r="A131" s="5" t="s">
        <v>637</v>
      </c>
      <c r="B131" s="5" t="s">
        <v>703</v>
      </c>
      <c r="D131" s="26" t="s">
        <v>801</v>
      </c>
      <c r="E131" s="97"/>
      <c r="F131" s="97"/>
      <c r="G131" s="97"/>
      <c r="H131" s="97"/>
      <c r="I131" s="97"/>
      <c r="J131" s="97"/>
      <c r="K131" s="97"/>
      <c r="L131" s="97"/>
      <c r="M131" s="97"/>
      <c r="N131" s="97"/>
      <c r="O131" s="97"/>
      <c r="P131" s="97"/>
      <c r="Q131" s="103">
        <f t="shared" si="30"/>
        <v>0</v>
      </c>
      <c r="R131" s="39">
        <f t="shared" ref="R131:R135" si="31">IF($Q$14=0,0,Q131/$Q$14)</f>
        <v>0</v>
      </c>
      <c r="S131" s="35"/>
      <c r="T131" s="40">
        <f t="shared" si="14"/>
        <v>0</v>
      </c>
    </row>
    <row r="132" spans="1:20" ht="26.25" hidden="1" customHeight="1">
      <c r="A132" s="5" t="s">
        <v>344</v>
      </c>
      <c r="B132" s="5" t="s">
        <v>703</v>
      </c>
      <c r="D132" s="26" t="s">
        <v>802</v>
      </c>
      <c r="E132" s="97"/>
      <c r="F132" s="97"/>
      <c r="G132" s="97"/>
      <c r="H132" s="97"/>
      <c r="I132" s="97">
        <v>0</v>
      </c>
      <c r="J132" s="97"/>
      <c r="K132" s="97"/>
      <c r="L132" s="97"/>
      <c r="M132" s="97"/>
      <c r="N132" s="97"/>
      <c r="O132" s="97"/>
      <c r="P132" s="97"/>
      <c r="Q132" s="103">
        <f t="shared" si="30"/>
        <v>0</v>
      </c>
      <c r="R132" s="39">
        <f t="shared" si="31"/>
        <v>0</v>
      </c>
      <c r="S132" s="35"/>
      <c r="T132" s="40"/>
    </row>
    <row r="133" spans="1:20" ht="26.25" customHeight="1">
      <c r="A133" s="5" t="s">
        <v>640</v>
      </c>
      <c r="B133" s="5" t="s">
        <v>703</v>
      </c>
      <c r="D133" s="26" t="s">
        <v>803</v>
      </c>
      <c r="E133" s="97">
        <f>'Staff Canteen'!E201</f>
        <v>2786.52</v>
      </c>
      <c r="F133" s="97">
        <f>'Staff Canteen'!F201</f>
        <v>2912.61</v>
      </c>
      <c r="G133" s="97">
        <f>'Staff Canteen'!G201</f>
        <v>2723.48</v>
      </c>
      <c r="H133" s="97">
        <f>'Staff Canteen'!H201</f>
        <v>2786.52</v>
      </c>
      <c r="I133" s="97">
        <f>'Staff Canteen'!I201</f>
        <v>2786.52</v>
      </c>
      <c r="J133" s="97">
        <f>'Staff Canteen'!J201</f>
        <v>2786.52</v>
      </c>
      <c r="K133" s="97">
        <f>'Staff Canteen'!K201</f>
        <v>2723.48</v>
      </c>
      <c r="L133" s="97">
        <f>'Staff Canteen'!L201</f>
        <v>2723.48</v>
      </c>
      <c r="M133" s="97">
        <f>'Staff Canteen'!M201</f>
        <v>2786.52</v>
      </c>
      <c r="N133" s="97">
        <f>'Staff Canteen'!N201</f>
        <v>2912.61</v>
      </c>
      <c r="O133" s="97">
        <f>'Staff Canteen'!O201</f>
        <v>2723.48</v>
      </c>
      <c r="P133" s="97">
        <f>'Staff Canteen'!P201</f>
        <v>2723.48</v>
      </c>
      <c r="Q133" s="111">
        <f t="shared" si="30"/>
        <v>33375.22</v>
      </c>
      <c r="R133" s="39">
        <f t="shared" si="31"/>
        <v>0</v>
      </c>
      <c r="S133" s="35"/>
      <c r="T133" s="40" t="e">
        <f t="shared" si="14"/>
        <v>#DIV/0!</v>
      </c>
    </row>
    <row r="134" spans="1:20" ht="26.25" customHeight="1">
      <c r="D134" s="26" t="s">
        <v>804</v>
      </c>
      <c r="E134" s="119">
        <f>SUM(E127:E133)</f>
        <v>2786.52</v>
      </c>
      <c r="F134" s="119">
        <f t="shared" ref="F134:Q134" si="32">SUM(F127:F133)</f>
        <v>2912.61</v>
      </c>
      <c r="G134" s="119">
        <f t="shared" si="32"/>
        <v>2723.48</v>
      </c>
      <c r="H134" s="119">
        <f t="shared" si="32"/>
        <v>2786.52</v>
      </c>
      <c r="I134" s="119">
        <f t="shared" si="32"/>
        <v>2786.52</v>
      </c>
      <c r="J134" s="119">
        <f t="shared" si="32"/>
        <v>2786.52</v>
      </c>
      <c r="K134" s="119">
        <f t="shared" si="32"/>
        <v>2723.48</v>
      </c>
      <c r="L134" s="119">
        <f t="shared" si="32"/>
        <v>2723.48</v>
      </c>
      <c r="M134" s="119">
        <f t="shared" si="32"/>
        <v>2786.52</v>
      </c>
      <c r="N134" s="119">
        <f t="shared" si="32"/>
        <v>2912.61</v>
      </c>
      <c r="O134" s="119">
        <f t="shared" si="32"/>
        <v>2723.48</v>
      </c>
      <c r="P134" s="119">
        <f t="shared" si="32"/>
        <v>2723.48</v>
      </c>
      <c r="Q134" s="108">
        <f t="shared" si="32"/>
        <v>33375.22</v>
      </c>
      <c r="R134" s="39">
        <f t="shared" si="31"/>
        <v>0</v>
      </c>
      <c r="S134" s="35"/>
      <c r="T134" s="40" t="e">
        <f t="shared" si="14"/>
        <v>#DIV/0!</v>
      </c>
    </row>
    <row r="135" spans="1:20" ht="26.25" customHeight="1">
      <c r="D135" s="21" t="s">
        <v>805</v>
      </c>
      <c r="E135" s="99">
        <f>E106+E115+E125+E134</f>
        <v>30060.38</v>
      </c>
      <c r="F135" s="99">
        <f t="shared" ref="F135:P135" si="33">F106+F115+F125+F134</f>
        <v>32227.84</v>
      </c>
      <c r="G135" s="99">
        <f t="shared" si="33"/>
        <v>28707.68</v>
      </c>
      <c r="H135" s="99">
        <f t="shared" si="33"/>
        <v>30060.38</v>
      </c>
      <c r="I135" s="99">
        <f t="shared" si="33"/>
        <v>30060.38</v>
      </c>
      <c r="J135" s="99">
        <f t="shared" si="33"/>
        <v>30060.38</v>
      </c>
      <c r="K135" s="99">
        <f t="shared" si="33"/>
        <v>28707.68</v>
      </c>
      <c r="L135" s="99">
        <f t="shared" si="33"/>
        <v>28707.68</v>
      </c>
      <c r="M135" s="99">
        <f t="shared" si="33"/>
        <v>30060.38</v>
      </c>
      <c r="N135" s="99">
        <f t="shared" si="33"/>
        <v>32227.84</v>
      </c>
      <c r="O135" s="99">
        <f t="shared" si="33"/>
        <v>28707.68</v>
      </c>
      <c r="P135" s="99">
        <f t="shared" si="33"/>
        <v>28707.68</v>
      </c>
      <c r="Q135" s="99">
        <f t="shared" ref="Q135" si="34">Q106+Q115+Q125+Q134</f>
        <v>358295.98</v>
      </c>
      <c r="R135" s="39">
        <f t="shared" si="31"/>
        <v>0</v>
      </c>
      <c r="S135" s="35"/>
      <c r="T135" s="40" t="e">
        <f t="shared" si="14"/>
        <v>#DIV/0!</v>
      </c>
    </row>
    <row r="136" spans="1:20" ht="26.25" customHeight="1">
      <c r="D136" s="21"/>
      <c r="E136" s="72"/>
      <c r="F136" s="106"/>
      <c r="G136" s="72"/>
      <c r="H136" s="72"/>
      <c r="I136" s="72"/>
      <c r="J136" s="106"/>
      <c r="K136" s="72"/>
      <c r="L136" s="109"/>
      <c r="M136" s="72"/>
      <c r="N136" s="106"/>
      <c r="O136" s="110"/>
      <c r="P136" s="110"/>
      <c r="Q136" s="145">
        <f>Q135-Q113</f>
        <v>295895.98</v>
      </c>
      <c r="S136" s="35"/>
      <c r="T136" s="40"/>
    </row>
    <row r="137" spans="1:20" ht="26.25" customHeight="1">
      <c r="A137" s="5" t="s">
        <v>105</v>
      </c>
      <c r="B137" s="5" t="s">
        <v>703</v>
      </c>
      <c r="D137" s="21" t="s">
        <v>824</v>
      </c>
      <c r="E137" s="99">
        <v>5</v>
      </c>
      <c r="F137" s="99">
        <v>5</v>
      </c>
      <c r="G137" s="99">
        <v>5</v>
      </c>
      <c r="H137" s="99">
        <v>5</v>
      </c>
      <c r="I137" s="99">
        <v>5</v>
      </c>
      <c r="J137" s="99">
        <v>5</v>
      </c>
      <c r="K137" s="99">
        <v>5</v>
      </c>
      <c r="L137" s="99">
        <v>5</v>
      </c>
      <c r="M137" s="99">
        <v>5</v>
      </c>
      <c r="N137" s="99">
        <v>5</v>
      </c>
      <c r="O137" s="99">
        <v>5</v>
      </c>
      <c r="P137" s="99">
        <v>5</v>
      </c>
      <c r="Q137" s="99">
        <v>5</v>
      </c>
      <c r="S137" s="35"/>
      <c r="T137" s="40" t="e">
        <f t="shared" si="14"/>
        <v>#DIV/0!</v>
      </c>
    </row>
    <row r="138" spans="1:20" ht="26.25" customHeight="1">
      <c r="H138" s="7"/>
    </row>
    <row r="139" spans="1:20" ht="26.25" customHeight="1">
      <c r="H139" s="7"/>
    </row>
    <row r="140" spans="1:20" ht="26.25" customHeight="1">
      <c r="H140" s="7"/>
    </row>
  </sheetData>
  <phoneticPr fontId="57" type="noConversion"/>
  <dataValidations count="23">
    <dataValidation type="textLength" errorStyle="information" allowBlank="1" showInputMessage="1" showErrorMessage="1" error="XLBVal:6=24.37_x000d__x000a_" sqref="E12:P12">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4818.27_x000d__x000a_" sqref="G100">
      <formula1>0</formula1>
      <formula2>300</formula2>
    </dataValidation>
    <dataValidation type="textLength" errorStyle="information" allowBlank="1" showInputMessage="1" showErrorMessage="1" error="XLBVal:6=15115.28_x000d__x000a_" sqref="F100">
      <formula1>0</formula1>
      <formula2>300</formula2>
    </dataValidation>
    <dataValidation type="textLength" errorStyle="information" allowBlank="1" showInputMessage="1" showErrorMessage="1" error="XLBVal:6=404240.2_x000d__x000a_" sqref="Q100">
      <formula1>0</formula1>
      <formula2>300</formula2>
    </dataValidation>
    <dataValidation type="textLength" errorStyle="information" allowBlank="1" showInputMessage="1" showErrorMessage="1" error="XLBVal:2=0_x000d__x000a_" sqref="Q12 E13:Q13 E30:P98 Q17:Q98 Q108:Q114 Q127:Q133 E16:P24 Q117:Q125 E123:P125 E127:P132 E104:Q105">
      <formula1>0</formula1>
      <formula2>300</formula2>
    </dataValidation>
    <dataValidation type="textLength" errorStyle="information" allowBlank="1" showInputMessage="1" showErrorMessage="1" error="XLBVal:6=28280_x000d__x000a_" sqref="Q16">
      <formula1>0</formula1>
      <formula2>300</formula2>
    </dataValidation>
    <dataValidation type="textLength" errorStyle="information" allowBlank="1" showInputMessage="1" showErrorMessage="1" error="XLBVal:6=11728.43_x000d__x000a_" sqref="E27:P27">
      <formula1>0</formula1>
      <formula2>300</formula2>
    </dataValidation>
    <dataValidation type="textLength" errorStyle="information" allowBlank="1" showInputMessage="1" showErrorMessage="1" error="XLBVal:6=11704.06_x000d__x000a_" sqref="E100">
      <formula1>0</formula1>
      <formula2>300</formula2>
    </dataValidation>
    <dataValidation type="textLength" errorStyle="information" allowBlank="1" showInputMessage="1" showErrorMessage="1" error="XLBVal:6=18590.22_x000d__x000a_" sqref="H100">
      <formula1>0</formula1>
      <formula2>300</formula2>
    </dataValidation>
    <dataValidation type="textLength" errorStyle="information" allowBlank="1" showInputMessage="1" showErrorMessage="1" error="XLBVal:6=34671.22_x000d__x000a_" sqref="M100">
      <formula1>0</formula1>
      <formula2>300</formula2>
    </dataValidation>
    <dataValidation type="textLength" errorStyle="information" allowBlank="1" showInputMessage="1" showErrorMessage="1" error="XLBVal:6=25173.24_x000d__x000a_" sqref="I100">
      <formula1>0</formula1>
      <formula2>300</formula2>
    </dataValidation>
    <dataValidation type="textLength" errorStyle="information" allowBlank="1" showInputMessage="1" showErrorMessage="1" error="XLBVal:6=27582.86_x000d__x000a_" sqref="J100">
      <formula1>0</formula1>
      <formula2>300</formula2>
    </dataValidation>
    <dataValidation type="textLength" errorStyle="information" allowBlank="1" showInputMessage="1" showErrorMessage="1" error="XLBVal:6=29247.01_x000d__x000a_" sqref="K100">
      <formula1>0</formula1>
      <formula2>300</formula2>
    </dataValidation>
    <dataValidation type="textLength" errorStyle="information" allowBlank="1" showInputMessage="1" showErrorMessage="1" error="XLBVal:6=33126.59_x000d__x000a_" sqref="O100:P100">
      <formula1>0</formula1>
      <formula2>300</formula2>
    </dataValidation>
    <dataValidation type="textLength" errorStyle="information" allowBlank="1" showInputMessage="1" showErrorMessage="1" error="XLBVal:6=25316.32_x000d__x000a_" sqref="L100">
      <formula1>0</formula1>
      <formula2>300</formula2>
    </dataValidation>
    <dataValidation type="textLength" errorStyle="information" allowBlank="1" showInputMessage="1" showErrorMessage="1" error="XLBVal:6=34126.59_x000d__x000a_" sqref="N100">
      <formula1>0</formula1>
      <formula2>300</formula2>
    </dataValidation>
    <dataValidation type="textLength" errorStyle="information" allowBlank="1" showInputMessage="1" showErrorMessage="1" error="XLBVal:6=800_x000d__x000a_" sqref="E108:P114">
      <formula1>0</formula1>
      <formula2>300</formula2>
    </dataValidation>
    <dataValidation type="textLength" errorStyle="information" allowBlank="1" showInputMessage="1" showErrorMessage="1" error="XLBVal:6=3074.84_x000d__x000a_" sqref="E133:P133">
      <formula1>0</formula1>
      <formula2>300</formula2>
    </dataValidation>
    <dataValidation type="textLength" errorStyle="information" allowBlank="1" showInputMessage="1" showErrorMessage="1" error="XLBVal:6=5_x000d__x000a_" sqref="E137:Q137">
      <formula1>0</formula1>
      <formula2>300</formula2>
    </dataValidation>
    <dataValidation type="textLength" errorStyle="information" allowBlank="1" showInputMessage="1" showErrorMessage="1" error="XLBVal:6=1910.58_x000d__x000a_" sqref="E117:P122">
      <formula1>0</formula1>
      <formula2>300</formula2>
    </dataValidation>
    <dataValidation type="textLength" errorStyle="information" allowBlank="1" showInputMessage="1" showErrorMessage="1" error="XLBVal:6=6688509.16_x000d__x000a_" sqref="E14:Q15">
      <formula1>0</formula1>
      <formula2>300</formula2>
    </dataValidation>
    <dataValidation type="textLength" errorStyle="information" allowBlank="1" showInputMessage="1" showErrorMessage="1" error="XLBVal:6=3239.86_x000d__x000a_" sqref="E25:P26 E28:P29">
      <formula1>0</formula1>
      <formula2>300</formula2>
    </dataValidation>
  </dataValidations>
  <printOptions horizontalCentered="1"/>
  <pageMargins left="0.118110236220472" right="0.118110236220472" top="0.59055118110236204" bottom="0.39370078740157499" header="0" footer="0"/>
  <pageSetup paperSize="9" scale="32" fitToHeight="0" orientation="landscape" r:id="rId1"/>
  <headerFooter>
    <oddFooter>&amp;L&amp;"微软雅黑,Regular"&amp;F&amp;C&amp;"微软雅黑,Regular"Page &amp;P of &amp;N&amp;R&amp;"微软雅黑,Regular"&amp;D</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tabColor rgb="FF92D050"/>
  </sheetPr>
  <dimension ref="A1:U137"/>
  <sheetViews>
    <sheetView zoomScale="50" zoomScaleNormal="50" zoomScaleSheetLayoutView="40" workbookViewId="0">
      <pane ySplit="10" topLeftCell="A11" activePane="bottomLeft" state="frozen"/>
      <selection activeCell="L7" sqref="L7"/>
      <selection pane="bottomLeft" activeCell="O15" sqref="O15"/>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67" style="6" customWidth="1" collapsed="1"/>
    <col min="5" max="5" width="26.125" style="7" customWidth="1"/>
    <col min="6" max="6" width="26.125" style="89" customWidth="1"/>
    <col min="7" max="7" width="26.125" style="7" customWidth="1"/>
    <col min="8" max="8" width="26.125" style="6" customWidth="1"/>
    <col min="9" max="9" width="26.125" style="7" customWidth="1"/>
    <col min="10" max="10" width="26.125" style="89" customWidth="1"/>
    <col min="11" max="11" width="26.125" style="7" customWidth="1"/>
    <col min="12" max="12" width="26.125" style="90" customWidth="1"/>
    <col min="13" max="13" width="26.125" style="7" customWidth="1"/>
    <col min="14" max="14" width="26.125" style="89" customWidth="1"/>
    <col min="15" max="17" width="26.125" style="5" customWidth="1"/>
    <col min="18" max="18" width="18.125" style="5" hidden="1" customWidth="1"/>
    <col min="19" max="19" width="22.5" style="8" hidden="1" customWidth="1"/>
    <col min="20" max="20" width="14.375" style="5" hidden="1" customWidth="1"/>
    <col min="21" max="21" width="11.625" style="5" hidden="1" customWidth="1"/>
    <col min="22"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830</v>
      </c>
      <c r="E6" s="13"/>
      <c r="F6" s="93"/>
      <c r="G6" s="13"/>
      <c r="H6" s="94"/>
      <c r="I6" s="13"/>
      <c r="J6" s="93"/>
      <c r="K6" s="13"/>
      <c r="L6" s="101"/>
      <c r="M6" s="13"/>
      <c r="N6" s="93"/>
      <c r="S6" s="33"/>
    </row>
    <row r="7" spans="1:20" s="2" customFormat="1" ht="24.95" customHeight="1">
      <c r="D7" s="15" t="s">
        <v>1185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3" t="s">
        <v>831</v>
      </c>
      <c r="B12" s="3" t="s">
        <v>717</v>
      </c>
      <c r="C12" s="3" t="s">
        <v>832</v>
      </c>
      <c r="D12" s="3" t="s">
        <v>833</v>
      </c>
      <c r="E12" s="27"/>
      <c r="F12" s="27"/>
      <c r="G12" s="27"/>
      <c r="H12" s="27"/>
      <c r="I12" s="27"/>
      <c r="J12" s="27"/>
      <c r="K12" s="27"/>
      <c r="L12" s="27"/>
      <c r="M12" s="27"/>
      <c r="N12" s="27"/>
      <c r="O12" s="27"/>
      <c r="P12" s="27"/>
      <c r="Q12" s="27">
        <f t="shared" ref="Q12:Q17" si="0">SUM(E12:P12)</f>
        <v>0</v>
      </c>
      <c r="S12" s="35"/>
      <c r="T12" s="40">
        <f>IF(Q12-S12=0,0,(Q12-S12)/S12)</f>
        <v>0</v>
      </c>
    </row>
    <row r="13" spans="1:20" s="3" customFormat="1" ht="24.95" customHeight="1">
      <c r="A13" s="3" t="s">
        <v>716</v>
      </c>
      <c r="B13" s="3" t="s">
        <v>717</v>
      </c>
      <c r="D13" s="26" t="s">
        <v>834</v>
      </c>
      <c r="E13" s="27">
        <v>3000</v>
      </c>
      <c r="F13" s="27">
        <v>3000</v>
      </c>
      <c r="G13" s="27">
        <v>3000</v>
      </c>
      <c r="H13" s="27">
        <v>3000</v>
      </c>
      <c r="I13" s="27">
        <v>3000</v>
      </c>
      <c r="J13" s="27">
        <v>3000</v>
      </c>
      <c r="K13" s="27">
        <v>3000</v>
      </c>
      <c r="L13" s="27">
        <v>3000</v>
      </c>
      <c r="M13" s="27">
        <v>3000</v>
      </c>
      <c r="N13" s="27">
        <v>3000</v>
      </c>
      <c r="O13" s="27">
        <v>3000</v>
      </c>
      <c r="P13" s="27">
        <v>3000</v>
      </c>
      <c r="Q13" s="27">
        <f t="shared" si="0"/>
        <v>36000</v>
      </c>
      <c r="S13" s="35"/>
      <c r="T13" s="40" t="e">
        <f t="shared" ref="T13:T76" si="1">IF(Q13-S13=0,0,(Q13-S13)/S13)</f>
        <v>#DIV/0!</v>
      </c>
    </row>
    <row r="14" spans="1:20" s="3" customFormat="1" ht="24.95" customHeight="1">
      <c r="A14" s="3" t="s">
        <v>831</v>
      </c>
      <c r="B14" s="3" t="s">
        <v>717</v>
      </c>
      <c r="C14" s="3" t="s">
        <v>835</v>
      </c>
      <c r="D14" s="26" t="s">
        <v>836</v>
      </c>
      <c r="E14" s="27"/>
      <c r="F14" s="27"/>
      <c r="G14" s="27"/>
      <c r="H14" s="27"/>
      <c r="I14" s="27"/>
      <c r="J14" s="27"/>
      <c r="K14" s="27"/>
      <c r="L14" s="27"/>
      <c r="M14" s="27"/>
      <c r="N14" s="27"/>
      <c r="O14" s="27"/>
      <c r="P14" s="27"/>
      <c r="Q14" s="27">
        <f t="shared" si="0"/>
        <v>0</v>
      </c>
      <c r="S14" s="35"/>
      <c r="T14" s="40">
        <f t="shared" si="1"/>
        <v>0</v>
      </c>
    </row>
    <row r="15" spans="1:20" s="3" customFormat="1" ht="24.95" customHeight="1">
      <c r="A15" s="3" t="s">
        <v>831</v>
      </c>
      <c r="B15" s="3" t="s">
        <v>717</v>
      </c>
      <c r="C15" s="3" t="s">
        <v>837</v>
      </c>
      <c r="D15" s="26" t="s">
        <v>838</v>
      </c>
      <c r="E15" s="27"/>
      <c r="F15" s="27"/>
      <c r="G15" s="27"/>
      <c r="H15" s="27"/>
      <c r="I15" s="27"/>
      <c r="J15" s="27"/>
      <c r="K15" s="27"/>
      <c r="L15" s="27"/>
      <c r="M15" s="27"/>
      <c r="N15" s="27"/>
      <c r="O15" s="27"/>
      <c r="P15" s="27"/>
      <c r="Q15" s="27">
        <f t="shared" si="0"/>
        <v>0</v>
      </c>
      <c r="S15" s="35"/>
      <c r="T15" s="40">
        <f t="shared" si="1"/>
        <v>0</v>
      </c>
    </row>
    <row r="16" spans="1:20" s="3" customFormat="1" ht="24.95" customHeight="1">
      <c r="A16" s="3" t="s">
        <v>831</v>
      </c>
      <c r="B16" s="3" t="s">
        <v>717</v>
      </c>
      <c r="C16" s="3" t="s">
        <v>839</v>
      </c>
      <c r="D16" s="78" t="s">
        <v>840</v>
      </c>
      <c r="E16" s="27"/>
      <c r="F16" s="27"/>
      <c r="G16" s="27"/>
      <c r="H16" s="27"/>
      <c r="I16" s="27"/>
      <c r="J16" s="27"/>
      <c r="K16" s="27"/>
      <c r="L16" s="27"/>
      <c r="M16" s="27"/>
      <c r="N16" s="27"/>
      <c r="O16" s="27"/>
      <c r="P16" s="27"/>
      <c r="Q16" s="27">
        <f t="shared" si="0"/>
        <v>0</v>
      </c>
      <c r="S16" s="35"/>
      <c r="T16" s="40">
        <f t="shared" si="1"/>
        <v>0</v>
      </c>
    </row>
    <row r="17" spans="1:20" s="3" customFormat="1" ht="24.95" customHeight="1">
      <c r="A17" s="3" t="s">
        <v>831</v>
      </c>
      <c r="B17" s="3" t="s">
        <v>717</v>
      </c>
      <c r="C17" s="3" t="s">
        <v>841</v>
      </c>
      <c r="D17" s="26" t="s">
        <v>762</v>
      </c>
      <c r="E17" s="27"/>
      <c r="F17" s="27"/>
      <c r="G17" s="27"/>
      <c r="H17" s="27"/>
      <c r="I17" s="27"/>
      <c r="J17" s="27"/>
      <c r="K17" s="27"/>
      <c r="L17" s="27"/>
      <c r="M17" s="27"/>
      <c r="N17" s="27"/>
      <c r="O17" s="27"/>
      <c r="P17" s="27"/>
      <c r="Q17" s="27">
        <f t="shared" si="0"/>
        <v>0</v>
      </c>
      <c r="S17" s="35"/>
      <c r="T17" s="40">
        <f t="shared" si="1"/>
        <v>0</v>
      </c>
    </row>
    <row r="18" spans="1:20" s="3" customFormat="1" ht="24.95" customHeight="1">
      <c r="D18" s="21" t="s">
        <v>671</v>
      </c>
      <c r="E18" s="30">
        <f t="shared" ref="E18:Q18" si="2">SUM(E12:E17)</f>
        <v>3000</v>
      </c>
      <c r="F18" s="30">
        <f t="shared" si="2"/>
        <v>3000</v>
      </c>
      <c r="G18" s="30">
        <f t="shared" si="2"/>
        <v>3000</v>
      </c>
      <c r="H18" s="30">
        <f t="shared" si="2"/>
        <v>3000</v>
      </c>
      <c r="I18" s="30">
        <f t="shared" si="2"/>
        <v>3000</v>
      </c>
      <c r="J18" s="30">
        <f t="shared" si="2"/>
        <v>3000</v>
      </c>
      <c r="K18" s="30">
        <f t="shared" si="2"/>
        <v>3000</v>
      </c>
      <c r="L18" s="30">
        <f t="shared" si="2"/>
        <v>3000</v>
      </c>
      <c r="M18" s="30">
        <f t="shared" si="2"/>
        <v>3000</v>
      </c>
      <c r="N18" s="30">
        <f t="shared" si="2"/>
        <v>3000</v>
      </c>
      <c r="O18" s="30">
        <f t="shared" si="2"/>
        <v>3000</v>
      </c>
      <c r="P18" s="30">
        <f t="shared" si="2"/>
        <v>3000</v>
      </c>
      <c r="Q18" s="30">
        <f t="shared" si="2"/>
        <v>36000</v>
      </c>
      <c r="S18" s="35"/>
      <c r="T18" s="40"/>
    </row>
    <row r="19" spans="1:20" s="3" customFormat="1" ht="24.95" customHeight="1">
      <c r="D19" s="21"/>
      <c r="E19" s="82"/>
      <c r="F19" s="82"/>
      <c r="G19" s="82"/>
      <c r="H19" s="82"/>
      <c r="I19" s="82"/>
      <c r="J19" s="82"/>
      <c r="K19" s="82"/>
      <c r="L19" s="82"/>
      <c r="M19" s="82"/>
      <c r="N19" s="82"/>
      <c r="O19" s="82"/>
      <c r="P19" s="82"/>
      <c r="Q19" s="82"/>
      <c r="S19" s="35"/>
      <c r="T19" s="40"/>
    </row>
    <row r="20" spans="1:20" s="3" customFormat="1" ht="24.95" customHeight="1">
      <c r="D20" s="21" t="s">
        <v>423</v>
      </c>
      <c r="E20" s="27"/>
      <c r="F20" s="96"/>
      <c r="G20" s="27"/>
      <c r="H20" s="96"/>
      <c r="I20" s="27"/>
      <c r="J20" s="96"/>
      <c r="K20" s="27"/>
      <c r="L20" s="96"/>
      <c r="M20" s="27"/>
      <c r="N20" s="96"/>
      <c r="O20" s="103"/>
      <c r="P20" s="103"/>
      <c r="Q20" s="103"/>
      <c r="S20" s="35"/>
      <c r="T20" s="40">
        <f t="shared" si="1"/>
        <v>0</v>
      </c>
    </row>
    <row r="21" spans="1:20" s="3" customFormat="1" ht="24.95" hidden="1" customHeight="1">
      <c r="A21" s="3" t="s">
        <v>765</v>
      </c>
      <c r="B21" s="3" t="s">
        <v>717</v>
      </c>
      <c r="C21" s="3" t="s">
        <v>832</v>
      </c>
      <c r="D21" s="26" t="s">
        <v>833</v>
      </c>
      <c r="E21" s="27">
        <v>0</v>
      </c>
      <c r="F21" s="27">
        <v>0</v>
      </c>
      <c r="G21" s="27">
        <v>0</v>
      </c>
      <c r="H21" s="27">
        <v>0</v>
      </c>
      <c r="I21" s="27">
        <v>0</v>
      </c>
      <c r="J21" s="27">
        <v>0</v>
      </c>
      <c r="K21" s="27">
        <v>0</v>
      </c>
      <c r="L21" s="27">
        <v>0</v>
      </c>
      <c r="M21" s="27">
        <v>0</v>
      </c>
      <c r="N21" s="27">
        <v>0</v>
      </c>
      <c r="O21" s="27">
        <v>0</v>
      </c>
      <c r="P21" s="27">
        <v>0</v>
      </c>
      <c r="Q21" s="103">
        <f t="shared" ref="Q21:Q27" si="3">SUM(E21:P21)</f>
        <v>0</v>
      </c>
      <c r="S21" s="35"/>
      <c r="T21" s="40">
        <f>-IF(Q21-S21=0,0,(Q21-S21)/S21)</f>
        <v>0</v>
      </c>
    </row>
    <row r="22" spans="1:20" s="3" customFormat="1" ht="24.95" customHeight="1">
      <c r="A22" s="3" t="s">
        <v>765</v>
      </c>
      <c r="B22" s="3" t="s">
        <v>717</v>
      </c>
      <c r="D22" s="26" t="s">
        <v>834</v>
      </c>
      <c r="E22" s="97">
        <f>ROUND(E13*20%,2)</f>
        <v>600</v>
      </c>
      <c r="F22" s="97">
        <f t="shared" ref="F22:P22" si="4">ROUND(F13*20%,2)</f>
        <v>600</v>
      </c>
      <c r="G22" s="97">
        <f t="shared" si="4"/>
        <v>600</v>
      </c>
      <c r="H22" s="97">
        <f t="shared" si="4"/>
        <v>600</v>
      </c>
      <c r="I22" s="97">
        <f t="shared" si="4"/>
        <v>600</v>
      </c>
      <c r="J22" s="97">
        <f t="shared" si="4"/>
        <v>600</v>
      </c>
      <c r="K22" s="97">
        <f t="shared" si="4"/>
        <v>600</v>
      </c>
      <c r="L22" s="97">
        <f t="shared" si="4"/>
        <v>600</v>
      </c>
      <c r="M22" s="97">
        <f t="shared" si="4"/>
        <v>600</v>
      </c>
      <c r="N22" s="97">
        <f t="shared" si="4"/>
        <v>600</v>
      </c>
      <c r="O22" s="97">
        <f t="shared" si="4"/>
        <v>600</v>
      </c>
      <c r="P22" s="97">
        <f t="shared" si="4"/>
        <v>600</v>
      </c>
      <c r="Q22" s="103">
        <f t="shared" si="3"/>
        <v>7200</v>
      </c>
      <c r="S22" s="35"/>
      <c r="T22" s="40" t="e">
        <f t="shared" ref="T22:T26" si="5">-IF(Q22-S22=0,0,(Q22-S22)/S22)</f>
        <v>#DIV/0!</v>
      </c>
    </row>
    <row r="23" spans="1:20" s="3" customFormat="1" ht="24.95" customHeight="1">
      <c r="A23" s="3" t="s">
        <v>765</v>
      </c>
      <c r="B23" s="3" t="s">
        <v>717</v>
      </c>
      <c r="C23" s="3" t="s">
        <v>835</v>
      </c>
      <c r="D23" s="26" t="s">
        <v>836</v>
      </c>
      <c r="E23" s="27">
        <v>0</v>
      </c>
      <c r="F23" s="27">
        <v>0</v>
      </c>
      <c r="G23" s="27">
        <v>0</v>
      </c>
      <c r="H23" s="27">
        <v>0</v>
      </c>
      <c r="I23" s="27">
        <v>0</v>
      </c>
      <c r="J23" s="27">
        <v>0</v>
      </c>
      <c r="K23" s="27">
        <v>0</v>
      </c>
      <c r="L23" s="27">
        <v>0</v>
      </c>
      <c r="M23" s="27">
        <v>0</v>
      </c>
      <c r="N23" s="27">
        <v>0</v>
      </c>
      <c r="O23" s="27">
        <v>0</v>
      </c>
      <c r="P23" s="27">
        <v>0</v>
      </c>
      <c r="Q23" s="103">
        <f t="shared" si="3"/>
        <v>0</v>
      </c>
      <c r="S23" s="35"/>
      <c r="T23" s="40">
        <f t="shared" si="5"/>
        <v>0</v>
      </c>
    </row>
    <row r="24" spans="1:20" s="3" customFormat="1" ht="24.95" customHeight="1">
      <c r="A24" s="3" t="s">
        <v>765</v>
      </c>
      <c r="B24" s="3" t="s">
        <v>717</v>
      </c>
      <c r="C24" s="3" t="s">
        <v>837</v>
      </c>
      <c r="D24" s="78" t="s">
        <v>838</v>
      </c>
      <c r="E24" s="27">
        <v>0</v>
      </c>
      <c r="F24" s="27">
        <v>0</v>
      </c>
      <c r="G24" s="27">
        <v>0</v>
      </c>
      <c r="H24" s="27">
        <v>0</v>
      </c>
      <c r="I24" s="27">
        <v>0</v>
      </c>
      <c r="J24" s="27">
        <v>0</v>
      </c>
      <c r="K24" s="27">
        <v>0</v>
      </c>
      <c r="L24" s="27">
        <v>0</v>
      </c>
      <c r="M24" s="27">
        <v>0</v>
      </c>
      <c r="N24" s="27">
        <v>0</v>
      </c>
      <c r="O24" s="27">
        <v>0</v>
      </c>
      <c r="P24" s="27">
        <v>0</v>
      </c>
      <c r="Q24" s="103">
        <f t="shared" si="3"/>
        <v>0</v>
      </c>
      <c r="S24" s="35"/>
      <c r="T24" s="40">
        <f t="shared" si="5"/>
        <v>0</v>
      </c>
    </row>
    <row r="25" spans="1:20" s="3" customFormat="1" ht="24.95" customHeight="1">
      <c r="A25" s="3" t="s">
        <v>765</v>
      </c>
      <c r="B25" s="3" t="s">
        <v>717</v>
      </c>
      <c r="C25" s="3" t="s">
        <v>839</v>
      </c>
      <c r="D25" s="26" t="s">
        <v>769</v>
      </c>
      <c r="E25" s="27">
        <v>0</v>
      </c>
      <c r="F25" s="27">
        <v>0</v>
      </c>
      <c r="G25" s="27">
        <v>0</v>
      </c>
      <c r="H25" s="27">
        <v>0</v>
      </c>
      <c r="I25" s="27">
        <v>0</v>
      </c>
      <c r="J25" s="27">
        <v>0</v>
      </c>
      <c r="K25" s="27">
        <v>0</v>
      </c>
      <c r="L25" s="27">
        <v>0</v>
      </c>
      <c r="M25" s="27">
        <v>0</v>
      </c>
      <c r="N25" s="27">
        <v>0</v>
      </c>
      <c r="O25" s="27">
        <v>0</v>
      </c>
      <c r="P25" s="27">
        <v>0</v>
      </c>
      <c r="Q25" s="103">
        <f t="shared" si="3"/>
        <v>0</v>
      </c>
      <c r="S25" s="35"/>
      <c r="T25" s="40">
        <f t="shared" si="5"/>
        <v>0</v>
      </c>
    </row>
    <row r="26" spans="1:20" s="3" customFormat="1" ht="24.95" customHeight="1">
      <c r="A26" s="3" t="s">
        <v>765</v>
      </c>
      <c r="B26" s="3" t="s">
        <v>717</v>
      </c>
      <c r="C26" s="3" t="s">
        <v>841</v>
      </c>
      <c r="D26" s="26" t="s">
        <v>762</v>
      </c>
      <c r="E26" s="27">
        <v>0</v>
      </c>
      <c r="F26" s="27">
        <v>0</v>
      </c>
      <c r="G26" s="27">
        <v>0</v>
      </c>
      <c r="H26" s="27">
        <v>0</v>
      </c>
      <c r="I26" s="27">
        <v>0</v>
      </c>
      <c r="J26" s="27">
        <v>0</v>
      </c>
      <c r="K26" s="27">
        <v>0</v>
      </c>
      <c r="L26" s="27">
        <v>0</v>
      </c>
      <c r="M26" s="27">
        <v>0</v>
      </c>
      <c r="N26" s="27">
        <v>0</v>
      </c>
      <c r="O26" s="27">
        <v>0</v>
      </c>
      <c r="P26" s="27">
        <v>0</v>
      </c>
      <c r="Q26" s="103">
        <f t="shared" si="3"/>
        <v>0</v>
      </c>
      <c r="S26" s="35"/>
      <c r="T26" s="40">
        <f t="shared" si="5"/>
        <v>0</v>
      </c>
    </row>
    <row r="27" spans="1:20" s="19" customFormat="1" ht="24.95" customHeight="1">
      <c r="A27" s="3" t="s">
        <v>823</v>
      </c>
      <c r="B27" s="3" t="s">
        <v>717</v>
      </c>
      <c r="C27" s="3"/>
      <c r="D27" s="21" t="s">
        <v>771</v>
      </c>
      <c r="E27" s="98">
        <f t="shared" ref="E27:P27" si="6">SUM(E21:E26)</f>
        <v>600</v>
      </c>
      <c r="F27" s="98">
        <f t="shared" si="6"/>
        <v>600</v>
      </c>
      <c r="G27" s="98">
        <f t="shared" si="6"/>
        <v>600</v>
      </c>
      <c r="H27" s="98">
        <f t="shared" si="6"/>
        <v>600</v>
      </c>
      <c r="I27" s="98">
        <f t="shared" si="6"/>
        <v>600</v>
      </c>
      <c r="J27" s="98">
        <f t="shared" si="6"/>
        <v>600</v>
      </c>
      <c r="K27" s="98">
        <f t="shared" si="6"/>
        <v>600</v>
      </c>
      <c r="L27" s="98">
        <f t="shared" si="6"/>
        <v>600</v>
      </c>
      <c r="M27" s="98">
        <f t="shared" si="6"/>
        <v>600</v>
      </c>
      <c r="N27" s="98">
        <f t="shared" si="6"/>
        <v>600</v>
      </c>
      <c r="O27" s="98">
        <f t="shared" si="6"/>
        <v>600</v>
      </c>
      <c r="P27" s="98">
        <f t="shared" si="6"/>
        <v>600</v>
      </c>
      <c r="Q27" s="118">
        <f t="shared" si="3"/>
        <v>7200</v>
      </c>
      <c r="R27" s="39">
        <f>Q27/$Q$18</f>
        <v>0.2</v>
      </c>
      <c r="S27" s="35"/>
      <c r="T27" s="40"/>
    </row>
    <row r="28" spans="1:20" s="19" customFormat="1" ht="24.95" customHeight="1">
      <c r="A28" s="3"/>
      <c r="B28" s="3"/>
      <c r="C28" s="3"/>
      <c r="D28" s="21"/>
      <c r="E28" s="99"/>
      <c r="F28" s="99"/>
      <c r="G28" s="99"/>
      <c r="H28" s="99"/>
      <c r="I28" s="99"/>
      <c r="J28" s="99"/>
      <c r="K28" s="99"/>
      <c r="L28" s="99"/>
      <c r="M28" s="99"/>
      <c r="N28" s="99"/>
      <c r="O28" s="99"/>
      <c r="P28" s="99"/>
      <c r="Q28" s="103"/>
      <c r="R28" s="3"/>
      <c r="S28" s="35"/>
      <c r="T28" s="40">
        <f>-IF(Q28-S28=0,0,(Q28-S28)/S28)</f>
        <v>0</v>
      </c>
    </row>
    <row r="29" spans="1:20" s="19" customFormat="1" ht="24.95" hidden="1" customHeight="1">
      <c r="A29" s="19" t="s">
        <v>482</v>
      </c>
      <c r="B29" s="19" t="s">
        <v>717</v>
      </c>
      <c r="D29" s="19" t="s">
        <v>772</v>
      </c>
      <c r="E29" s="99">
        <f>E135</f>
        <v>0</v>
      </c>
      <c r="F29" s="99">
        <f t="shared" ref="F29:P29" si="7">F135</f>
        <v>0</v>
      </c>
      <c r="G29" s="99">
        <f t="shared" si="7"/>
        <v>0</v>
      </c>
      <c r="H29" s="99">
        <f t="shared" si="7"/>
        <v>0</v>
      </c>
      <c r="I29" s="99">
        <f t="shared" si="7"/>
        <v>0</v>
      </c>
      <c r="J29" s="99">
        <f t="shared" si="7"/>
        <v>0</v>
      </c>
      <c r="K29" s="99">
        <f t="shared" si="7"/>
        <v>0</v>
      </c>
      <c r="L29" s="99">
        <f t="shared" si="7"/>
        <v>0</v>
      </c>
      <c r="M29" s="99">
        <f t="shared" si="7"/>
        <v>0</v>
      </c>
      <c r="N29" s="99">
        <f t="shared" si="7"/>
        <v>0</v>
      </c>
      <c r="O29" s="99">
        <f t="shared" si="7"/>
        <v>0</v>
      </c>
      <c r="P29" s="99">
        <f t="shared" si="7"/>
        <v>0</v>
      </c>
      <c r="Q29" s="103">
        <f>SUM(E29:P29)</f>
        <v>0</v>
      </c>
      <c r="R29" s="39">
        <f>Q29/$Q$18</f>
        <v>0</v>
      </c>
      <c r="S29" s="35"/>
      <c r="T29" s="40"/>
    </row>
    <row r="30" spans="1:20" s="19" customFormat="1" ht="24.95" hidden="1" customHeight="1">
      <c r="D30" s="26"/>
      <c r="E30" s="99"/>
      <c r="F30" s="99"/>
      <c r="G30" s="99"/>
      <c r="H30" s="99"/>
      <c r="I30" s="99"/>
      <c r="J30" s="99"/>
      <c r="K30" s="99"/>
      <c r="L30" s="99"/>
      <c r="M30" s="99"/>
      <c r="N30" s="99"/>
      <c r="O30" s="99"/>
      <c r="P30" s="99"/>
      <c r="Q30" s="103"/>
      <c r="R30" s="3"/>
      <c r="S30" s="35"/>
      <c r="T30" s="40"/>
    </row>
    <row r="31" spans="1:20" s="19" customFormat="1" ht="24.95" hidden="1" customHeight="1">
      <c r="D31" s="21" t="s">
        <v>773</v>
      </c>
      <c r="E31" s="99"/>
      <c r="F31" s="99"/>
      <c r="G31" s="99"/>
      <c r="H31" s="99"/>
      <c r="I31" s="99"/>
      <c r="J31" s="99"/>
      <c r="K31" s="99"/>
      <c r="L31" s="99"/>
      <c r="M31" s="99"/>
      <c r="N31" s="99"/>
      <c r="O31" s="99"/>
      <c r="P31" s="99"/>
      <c r="Q31" s="103"/>
      <c r="R31" s="3"/>
      <c r="S31" s="35"/>
      <c r="T31" s="40">
        <f t="shared" si="1"/>
        <v>0</v>
      </c>
    </row>
    <row r="32" spans="1:20" s="19" customFormat="1" ht="24.95" hidden="1" customHeight="1">
      <c r="A32" s="19" t="s">
        <v>484</v>
      </c>
      <c r="B32" s="19" t="s">
        <v>717</v>
      </c>
      <c r="D32" s="26" t="s">
        <v>141</v>
      </c>
      <c r="E32" s="97">
        <v>0</v>
      </c>
      <c r="F32" s="97">
        <v>0</v>
      </c>
      <c r="G32" s="97">
        <v>0</v>
      </c>
      <c r="H32" s="97">
        <v>0</v>
      </c>
      <c r="I32" s="97">
        <v>0</v>
      </c>
      <c r="J32" s="97">
        <v>0</v>
      </c>
      <c r="K32" s="97">
        <v>0</v>
      </c>
      <c r="L32" s="97">
        <v>0</v>
      </c>
      <c r="M32" s="97">
        <v>0</v>
      </c>
      <c r="N32" s="97">
        <v>0</v>
      </c>
      <c r="O32" s="97">
        <v>0</v>
      </c>
      <c r="P32" s="97">
        <v>0</v>
      </c>
      <c r="Q32" s="103">
        <f>SUM(E32:P32)</f>
        <v>0</v>
      </c>
      <c r="R32" s="3"/>
      <c r="S32" s="35"/>
      <c r="T32" s="40">
        <f t="shared" si="1"/>
        <v>0</v>
      </c>
    </row>
    <row r="33" spans="1:20" s="19" customFormat="1" ht="24.95" hidden="1" customHeight="1">
      <c r="A33" s="19" t="s">
        <v>486</v>
      </c>
      <c r="B33" s="19" t="s">
        <v>717</v>
      </c>
      <c r="D33" s="26" t="s">
        <v>143</v>
      </c>
      <c r="E33" s="97">
        <v>0</v>
      </c>
      <c r="F33" s="97">
        <v>0</v>
      </c>
      <c r="G33" s="97">
        <v>0</v>
      </c>
      <c r="H33" s="97">
        <v>0</v>
      </c>
      <c r="I33" s="97">
        <v>0</v>
      </c>
      <c r="J33" s="97">
        <v>0</v>
      </c>
      <c r="K33" s="97">
        <v>0</v>
      </c>
      <c r="L33" s="97">
        <v>0</v>
      </c>
      <c r="M33" s="97">
        <v>0</v>
      </c>
      <c r="N33" s="97">
        <v>0</v>
      </c>
      <c r="O33" s="97">
        <v>0</v>
      </c>
      <c r="P33" s="97">
        <v>0</v>
      </c>
      <c r="Q33" s="103">
        <f t="shared" ref="Q33:Q96" si="8">SUM(E33:P33)</f>
        <v>0</v>
      </c>
      <c r="R33" s="3"/>
      <c r="S33" s="35"/>
      <c r="T33" s="40">
        <f t="shared" si="1"/>
        <v>0</v>
      </c>
    </row>
    <row r="34" spans="1:20" s="19" customFormat="1" ht="24.95" hidden="1" customHeight="1">
      <c r="A34" s="19" t="s">
        <v>488</v>
      </c>
      <c r="B34" s="19" t="s">
        <v>717</v>
      </c>
      <c r="D34" s="26" t="s">
        <v>145</v>
      </c>
      <c r="E34" s="97">
        <v>0</v>
      </c>
      <c r="F34" s="97">
        <v>0</v>
      </c>
      <c r="G34" s="97">
        <v>0</v>
      </c>
      <c r="H34" s="97">
        <v>0</v>
      </c>
      <c r="I34" s="97">
        <v>0</v>
      </c>
      <c r="J34" s="97">
        <v>0</v>
      </c>
      <c r="K34" s="97">
        <v>0</v>
      </c>
      <c r="L34" s="97">
        <v>0</v>
      </c>
      <c r="M34" s="97">
        <v>0</v>
      </c>
      <c r="N34" s="97">
        <v>0</v>
      </c>
      <c r="O34" s="97">
        <v>0</v>
      </c>
      <c r="P34" s="97">
        <v>0</v>
      </c>
      <c r="Q34" s="103">
        <f t="shared" si="8"/>
        <v>0</v>
      </c>
      <c r="R34" s="3"/>
      <c r="S34" s="35"/>
      <c r="T34" s="40">
        <f t="shared" si="1"/>
        <v>0</v>
      </c>
    </row>
    <row r="35" spans="1:20" s="19" customFormat="1" ht="24.95" hidden="1" customHeight="1">
      <c r="A35" s="19" t="s">
        <v>490</v>
      </c>
      <c r="B35" s="19" t="s">
        <v>717</v>
      </c>
      <c r="D35" s="26" t="s">
        <v>147</v>
      </c>
      <c r="E35" s="97">
        <v>0</v>
      </c>
      <c r="F35" s="97">
        <v>0</v>
      </c>
      <c r="G35" s="97">
        <v>0</v>
      </c>
      <c r="H35" s="97">
        <v>0</v>
      </c>
      <c r="I35" s="97">
        <v>0</v>
      </c>
      <c r="J35" s="97">
        <v>0</v>
      </c>
      <c r="K35" s="97">
        <v>0</v>
      </c>
      <c r="L35" s="97">
        <v>0</v>
      </c>
      <c r="M35" s="97">
        <v>0</v>
      </c>
      <c r="N35" s="97">
        <v>0</v>
      </c>
      <c r="O35" s="97">
        <v>0</v>
      </c>
      <c r="P35" s="97">
        <v>0</v>
      </c>
      <c r="Q35" s="103">
        <f t="shared" si="8"/>
        <v>0</v>
      </c>
      <c r="R35" s="3"/>
      <c r="S35" s="35"/>
      <c r="T35" s="40">
        <f t="shared" si="1"/>
        <v>0</v>
      </c>
    </row>
    <row r="36" spans="1:20" s="19" customFormat="1" ht="24.95" hidden="1" customHeight="1">
      <c r="A36" s="19" t="s">
        <v>492</v>
      </c>
      <c r="B36" s="19" t="s">
        <v>717</v>
      </c>
      <c r="D36" s="26" t="s">
        <v>149</v>
      </c>
      <c r="E36" s="97">
        <v>0</v>
      </c>
      <c r="F36" s="97">
        <v>0</v>
      </c>
      <c r="G36" s="97">
        <v>0</v>
      </c>
      <c r="H36" s="97">
        <v>0</v>
      </c>
      <c r="I36" s="97">
        <v>0</v>
      </c>
      <c r="J36" s="97">
        <v>0</v>
      </c>
      <c r="K36" s="97">
        <v>0</v>
      </c>
      <c r="L36" s="97">
        <v>0</v>
      </c>
      <c r="M36" s="97">
        <v>0</v>
      </c>
      <c r="N36" s="97">
        <v>0</v>
      </c>
      <c r="O36" s="97">
        <v>0</v>
      </c>
      <c r="P36" s="97">
        <v>0</v>
      </c>
      <c r="Q36" s="103">
        <f t="shared" si="8"/>
        <v>0</v>
      </c>
      <c r="R36" s="3"/>
      <c r="S36" s="35"/>
      <c r="T36" s="40">
        <f t="shared" si="1"/>
        <v>0</v>
      </c>
    </row>
    <row r="37" spans="1:20" s="19" customFormat="1" ht="24.95" hidden="1" customHeight="1">
      <c r="A37" s="19" t="s">
        <v>494</v>
      </c>
      <c r="B37" s="19" t="s">
        <v>717</v>
      </c>
      <c r="D37" s="26" t="s">
        <v>151</v>
      </c>
      <c r="E37" s="97">
        <v>0</v>
      </c>
      <c r="F37" s="97">
        <v>0</v>
      </c>
      <c r="G37" s="97">
        <v>0</v>
      </c>
      <c r="H37" s="97">
        <v>0</v>
      </c>
      <c r="I37" s="97">
        <v>0</v>
      </c>
      <c r="J37" s="97">
        <v>0</v>
      </c>
      <c r="K37" s="97">
        <v>0</v>
      </c>
      <c r="L37" s="97">
        <v>0</v>
      </c>
      <c r="M37" s="97">
        <v>0</v>
      </c>
      <c r="N37" s="97">
        <v>0</v>
      </c>
      <c r="O37" s="97">
        <v>0</v>
      </c>
      <c r="P37" s="97">
        <v>0</v>
      </c>
      <c r="Q37" s="103">
        <f t="shared" si="8"/>
        <v>0</v>
      </c>
      <c r="R37" s="3"/>
      <c r="S37" s="35"/>
      <c r="T37" s="40">
        <f t="shared" si="1"/>
        <v>0</v>
      </c>
    </row>
    <row r="38" spans="1:20" s="19" customFormat="1" ht="24.95" hidden="1" customHeight="1">
      <c r="A38" s="19" t="s">
        <v>496</v>
      </c>
      <c r="B38" s="19" t="s">
        <v>717</v>
      </c>
      <c r="D38" s="26" t="s">
        <v>153</v>
      </c>
      <c r="E38" s="97">
        <v>0</v>
      </c>
      <c r="F38" s="97">
        <v>0</v>
      </c>
      <c r="G38" s="97">
        <v>0</v>
      </c>
      <c r="H38" s="97">
        <v>0</v>
      </c>
      <c r="I38" s="97">
        <v>0</v>
      </c>
      <c r="J38" s="97">
        <v>0</v>
      </c>
      <c r="K38" s="97">
        <v>0</v>
      </c>
      <c r="L38" s="97">
        <v>0</v>
      </c>
      <c r="M38" s="97">
        <v>0</v>
      </c>
      <c r="N38" s="97">
        <v>0</v>
      </c>
      <c r="O38" s="97">
        <v>0</v>
      </c>
      <c r="P38" s="97">
        <v>0</v>
      </c>
      <c r="Q38" s="103">
        <f t="shared" si="8"/>
        <v>0</v>
      </c>
      <c r="R38" s="3"/>
      <c r="S38" s="35"/>
      <c r="T38" s="40">
        <f t="shared" si="1"/>
        <v>0</v>
      </c>
    </row>
    <row r="39" spans="1:20" s="19" customFormat="1" ht="24.95" hidden="1" customHeight="1">
      <c r="A39" s="19" t="s">
        <v>498</v>
      </c>
      <c r="B39" s="19" t="s">
        <v>717</v>
      </c>
      <c r="D39" s="26" t="s">
        <v>155</v>
      </c>
      <c r="E39" s="97">
        <v>0</v>
      </c>
      <c r="F39" s="97">
        <v>0</v>
      </c>
      <c r="G39" s="97">
        <v>0</v>
      </c>
      <c r="H39" s="97">
        <v>0</v>
      </c>
      <c r="I39" s="97">
        <v>0</v>
      </c>
      <c r="J39" s="97">
        <v>0</v>
      </c>
      <c r="K39" s="97">
        <v>0</v>
      </c>
      <c r="L39" s="97">
        <v>0</v>
      </c>
      <c r="M39" s="97">
        <v>0</v>
      </c>
      <c r="N39" s="97">
        <v>0</v>
      </c>
      <c r="O39" s="97">
        <v>0</v>
      </c>
      <c r="P39" s="97">
        <v>0</v>
      </c>
      <c r="Q39" s="103">
        <f t="shared" si="8"/>
        <v>0</v>
      </c>
      <c r="R39" s="3"/>
      <c r="S39" s="35"/>
      <c r="T39" s="40">
        <f t="shared" si="1"/>
        <v>0</v>
      </c>
    </row>
    <row r="40" spans="1:20" s="19" customFormat="1" ht="24.95" hidden="1" customHeight="1">
      <c r="A40" s="19" t="s">
        <v>500</v>
      </c>
      <c r="B40" s="19" t="s">
        <v>717</v>
      </c>
      <c r="D40" s="26" t="s">
        <v>157</v>
      </c>
      <c r="E40" s="97">
        <v>0</v>
      </c>
      <c r="F40" s="97">
        <v>0</v>
      </c>
      <c r="G40" s="97">
        <v>0</v>
      </c>
      <c r="H40" s="97">
        <v>0</v>
      </c>
      <c r="I40" s="97">
        <v>0</v>
      </c>
      <c r="J40" s="97">
        <v>0</v>
      </c>
      <c r="K40" s="97">
        <v>0</v>
      </c>
      <c r="L40" s="97">
        <v>0</v>
      </c>
      <c r="M40" s="97">
        <v>0</v>
      </c>
      <c r="N40" s="97">
        <v>0</v>
      </c>
      <c r="O40" s="97">
        <v>0</v>
      </c>
      <c r="P40" s="97">
        <v>0</v>
      </c>
      <c r="Q40" s="103">
        <f t="shared" si="8"/>
        <v>0</v>
      </c>
      <c r="R40" s="3"/>
      <c r="S40" s="35"/>
      <c r="T40" s="40">
        <f t="shared" si="1"/>
        <v>0</v>
      </c>
    </row>
    <row r="41" spans="1:20" s="19" customFormat="1" ht="24.95" hidden="1" customHeight="1">
      <c r="A41" s="19" t="s">
        <v>502</v>
      </c>
      <c r="B41" s="19" t="s">
        <v>717</v>
      </c>
      <c r="D41" s="26" t="s">
        <v>159</v>
      </c>
      <c r="E41" s="97">
        <v>0</v>
      </c>
      <c r="F41" s="97">
        <v>0</v>
      </c>
      <c r="G41" s="97">
        <v>0</v>
      </c>
      <c r="H41" s="97">
        <v>0</v>
      </c>
      <c r="I41" s="97">
        <v>0</v>
      </c>
      <c r="J41" s="97">
        <v>0</v>
      </c>
      <c r="K41" s="97">
        <v>0</v>
      </c>
      <c r="L41" s="97">
        <v>0</v>
      </c>
      <c r="M41" s="97">
        <v>0</v>
      </c>
      <c r="N41" s="97">
        <v>0</v>
      </c>
      <c r="O41" s="97">
        <v>0</v>
      </c>
      <c r="P41" s="97">
        <v>0</v>
      </c>
      <c r="Q41" s="103">
        <f t="shared" si="8"/>
        <v>0</v>
      </c>
      <c r="R41" s="3"/>
      <c r="S41" s="35"/>
      <c r="T41" s="40">
        <f t="shared" si="1"/>
        <v>0</v>
      </c>
    </row>
    <row r="42" spans="1:20" s="19" customFormat="1" ht="24.95" hidden="1" customHeight="1">
      <c r="A42" s="19" t="s">
        <v>504</v>
      </c>
      <c r="B42" s="19" t="s">
        <v>717</v>
      </c>
      <c r="D42" s="26" t="s">
        <v>161</v>
      </c>
      <c r="E42" s="97">
        <v>0</v>
      </c>
      <c r="F42" s="97">
        <v>0</v>
      </c>
      <c r="G42" s="97">
        <v>0</v>
      </c>
      <c r="H42" s="97">
        <v>0</v>
      </c>
      <c r="I42" s="97">
        <v>0</v>
      </c>
      <c r="J42" s="97">
        <v>0</v>
      </c>
      <c r="K42" s="97">
        <v>0</v>
      </c>
      <c r="L42" s="97">
        <v>0</v>
      </c>
      <c r="M42" s="97">
        <v>0</v>
      </c>
      <c r="N42" s="97">
        <v>0</v>
      </c>
      <c r="O42" s="97">
        <v>0</v>
      </c>
      <c r="P42" s="97">
        <v>0</v>
      </c>
      <c r="Q42" s="103">
        <f t="shared" si="8"/>
        <v>0</v>
      </c>
      <c r="R42" s="3"/>
      <c r="S42" s="35"/>
      <c r="T42" s="40">
        <f t="shared" si="1"/>
        <v>0</v>
      </c>
    </row>
    <row r="43" spans="1:20" s="19" customFormat="1" ht="24.95" hidden="1" customHeight="1">
      <c r="A43" s="19" t="s">
        <v>506</v>
      </c>
      <c r="B43" s="19" t="s">
        <v>717</v>
      </c>
      <c r="D43" s="26" t="s">
        <v>163</v>
      </c>
      <c r="E43" s="97">
        <v>0</v>
      </c>
      <c r="F43" s="97">
        <v>0</v>
      </c>
      <c r="G43" s="97">
        <v>0</v>
      </c>
      <c r="H43" s="97">
        <v>0</v>
      </c>
      <c r="I43" s="97">
        <v>0</v>
      </c>
      <c r="J43" s="97">
        <v>0</v>
      </c>
      <c r="K43" s="97">
        <v>0</v>
      </c>
      <c r="L43" s="97">
        <v>0</v>
      </c>
      <c r="M43" s="97">
        <v>0</v>
      </c>
      <c r="N43" s="97">
        <v>0</v>
      </c>
      <c r="O43" s="97">
        <v>0</v>
      </c>
      <c r="P43" s="97">
        <v>0</v>
      </c>
      <c r="Q43" s="103">
        <f t="shared" si="8"/>
        <v>0</v>
      </c>
      <c r="R43" s="3"/>
      <c r="S43" s="35"/>
      <c r="T43" s="40">
        <f t="shared" si="1"/>
        <v>0</v>
      </c>
    </row>
    <row r="44" spans="1:20" s="19" customFormat="1" ht="24.95" hidden="1" customHeight="1">
      <c r="A44" s="19" t="s">
        <v>508</v>
      </c>
      <c r="B44" s="19" t="s">
        <v>717</v>
      </c>
      <c r="D44" s="26" t="s">
        <v>165</v>
      </c>
      <c r="E44" s="97">
        <v>0</v>
      </c>
      <c r="F44" s="97">
        <v>0</v>
      </c>
      <c r="G44" s="97">
        <v>0</v>
      </c>
      <c r="H44" s="97">
        <v>0</v>
      </c>
      <c r="I44" s="97">
        <v>0</v>
      </c>
      <c r="J44" s="97">
        <v>0</v>
      </c>
      <c r="K44" s="97">
        <v>0</v>
      </c>
      <c r="L44" s="97">
        <v>0</v>
      </c>
      <c r="M44" s="97">
        <v>0</v>
      </c>
      <c r="N44" s="97">
        <v>0</v>
      </c>
      <c r="O44" s="97">
        <v>0</v>
      </c>
      <c r="P44" s="97">
        <v>0</v>
      </c>
      <c r="Q44" s="103">
        <f t="shared" si="8"/>
        <v>0</v>
      </c>
      <c r="R44" s="3"/>
      <c r="S44" s="35"/>
      <c r="T44" s="40">
        <f t="shared" si="1"/>
        <v>0</v>
      </c>
    </row>
    <row r="45" spans="1:20" s="19" customFormat="1" ht="24.95" hidden="1" customHeight="1">
      <c r="A45" s="19" t="s">
        <v>510</v>
      </c>
      <c r="B45" s="19" t="s">
        <v>717</v>
      </c>
      <c r="D45" s="26" t="s">
        <v>167</v>
      </c>
      <c r="E45" s="97">
        <v>0</v>
      </c>
      <c r="F45" s="97">
        <v>0</v>
      </c>
      <c r="G45" s="97">
        <v>0</v>
      </c>
      <c r="H45" s="97">
        <v>0</v>
      </c>
      <c r="I45" s="97">
        <v>0</v>
      </c>
      <c r="J45" s="97">
        <v>0</v>
      </c>
      <c r="K45" s="97">
        <v>0</v>
      </c>
      <c r="L45" s="97">
        <v>0</v>
      </c>
      <c r="M45" s="97">
        <v>0</v>
      </c>
      <c r="N45" s="97">
        <v>0</v>
      </c>
      <c r="O45" s="97">
        <v>0</v>
      </c>
      <c r="P45" s="97">
        <v>0</v>
      </c>
      <c r="Q45" s="103">
        <f t="shared" si="8"/>
        <v>0</v>
      </c>
      <c r="R45" s="3"/>
      <c r="S45" s="35"/>
      <c r="T45" s="40">
        <f t="shared" si="1"/>
        <v>0</v>
      </c>
    </row>
    <row r="46" spans="1:20" s="3" customFormat="1" ht="24.95" hidden="1" customHeight="1">
      <c r="A46" s="3" t="s">
        <v>512</v>
      </c>
      <c r="B46" s="3" t="s">
        <v>717</v>
      </c>
      <c r="D46" s="26" t="s">
        <v>169</v>
      </c>
      <c r="E46" s="97">
        <v>0</v>
      </c>
      <c r="F46" s="97">
        <v>0</v>
      </c>
      <c r="G46" s="97">
        <v>0</v>
      </c>
      <c r="H46" s="97">
        <v>0</v>
      </c>
      <c r="I46" s="97">
        <v>0</v>
      </c>
      <c r="J46" s="97">
        <v>0</v>
      </c>
      <c r="K46" s="97">
        <v>0</v>
      </c>
      <c r="L46" s="97">
        <v>0</v>
      </c>
      <c r="M46" s="97">
        <v>0</v>
      </c>
      <c r="N46" s="97">
        <v>0</v>
      </c>
      <c r="O46" s="97">
        <v>0</v>
      </c>
      <c r="P46" s="97">
        <v>0</v>
      </c>
      <c r="Q46" s="103">
        <f t="shared" si="8"/>
        <v>0</v>
      </c>
      <c r="S46" s="35"/>
      <c r="T46" s="40">
        <f t="shared" si="1"/>
        <v>0</v>
      </c>
    </row>
    <row r="47" spans="1:20" s="3" customFormat="1" ht="24.95" hidden="1" customHeight="1">
      <c r="A47" s="3" t="s">
        <v>513</v>
      </c>
      <c r="B47" s="3" t="s">
        <v>717</v>
      </c>
      <c r="D47" s="26" t="s">
        <v>171</v>
      </c>
      <c r="E47" s="97">
        <v>0</v>
      </c>
      <c r="F47" s="97">
        <v>0</v>
      </c>
      <c r="G47" s="97">
        <v>0</v>
      </c>
      <c r="H47" s="97">
        <v>0</v>
      </c>
      <c r="I47" s="97">
        <v>0</v>
      </c>
      <c r="J47" s="97">
        <v>0</v>
      </c>
      <c r="K47" s="97">
        <v>0</v>
      </c>
      <c r="L47" s="97">
        <v>0</v>
      </c>
      <c r="M47" s="97">
        <v>0</v>
      </c>
      <c r="N47" s="97">
        <v>0</v>
      </c>
      <c r="O47" s="97">
        <v>0</v>
      </c>
      <c r="P47" s="97">
        <v>0</v>
      </c>
      <c r="Q47" s="103">
        <f t="shared" si="8"/>
        <v>0</v>
      </c>
      <c r="S47" s="35"/>
      <c r="T47" s="40">
        <f t="shared" si="1"/>
        <v>0</v>
      </c>
    </row>
    <row r="48" spans="1:20" s="3" customFormat="1" ht="24.95" hidden="1" customHeight="1">
      <c r="A48" s="271" t="s">
        <v>514</v>
      </c>
      <c r="B48" s="51" t="s">
        <v>717</v>
      </c>
      <c r="D48" s="26" t="s">
        <v>173</v>
      </c>
      <c r="E48" s="97">
        <v>0</v>
      </c>
      <c r="F48" s="97">
        <v>0</v>
      </c>
      <c r="G48" s="97">
        <v>0</v>
      </c>
      <c r="H48" s="97">
        <v>0</v>
      </c>
      <c r="I48" s="97">
        <v>0</v>
      </c>
      <c r="J48" s="97">
        <v>0</v>
      </c>
      <c r="K48" s="97">
        <v>0</v>
      </c>
      <c r="L48" s="97">
        <v>0</v>
      </c>
      <c r="M48" s="97">
        <v>0</v>
      </c>
      <c r="N48" s="97">
        <v>0</v>
      </c>
      <c r="O48" s="97">
        <v>0</v>
      </c>
      <c r="P48" s="97">
        <v>0</v>
      </c>
      <c r="Q48" s="103">
        <f t="shared" si="8"/>
        <v>0</v>
      </c>
      <c r="S48" s="35"/>
      <c r="T48" s="40">
        <f t="shared" si="1"/>
        <v>0</v>
      </c>
    </row>
    <row r="49" spans="1:20" s="3" customFormat="1" ht="24.95" hidden="1" customHeight="1">
      <c r="A49" s="271" t="s">
        <v>516</v>
      </c>
      <c r="B49" s="51" t="s">
        <v>717</v>
      </c>
      <c r="D49" s="26" t="s">
        <v>175</v>
      </c>
      <c r="E49" s="97">
        <v>0</v>
      </c>
      <c r="F49" s="97">
        <v>0</v>
      </c>
      <c r="G49" s="97">
        <v>0</v>
      </c>
      <c r="H49" s="97">
        <v>0</v>
      </c>
      <c r="I49" s="97">
        <v>0</v>
      </c>
      <c r="J49" s="97">
        <v>0</v>
      </c>
      <c r="K49" s="97">
        <v>0</v>
      </c>
      <c r="L49" s="97">
        <v>0</v>
      </c>
      <c r="M49" s="97">
        <v>0</v>
      </c>
      <c r="N49" s="97">
        <v>0</v>
      </c>
      <c r="O49" s="97">
        <v>0</v>
      </c>
      <c r="P49" s="97">
        <v>0</v>
      </c>
      <c r="Q49" s="103">
        <f t="shared" si="8"/>
        <v>0</v>
      </c>
      <c r="S49" s="35"/>
      <c r="T49" s="40">
        <f t="shared" si="1"/>
        <v>0</v>
      </c>
    </row>
    <row r="50" spans="1:20" s="3" customFormat="1" ht="24.95" hidden="1" customHeight="1">
      <c r="A50" s="3" t="s">
        <v>518</v>
      </c>
      <c r="B50" s="51" t="s">
        <v>717</v>
      </c>
      <c r="D50" s="26" t="s">
        <v>177</v>
      </c>
      <c r="E50" s="97">
        <v>0</v>
      </c>
      <c r="F50" s="97">
        <v>0</v>
      </c>
      <c r="G50" s="97">
        <v>0</v>
      </c>
      <c r="H50" s="97">
        <v>0</v>
      </c>
      <c r="I50" s="97">
        <v>0</v>
      </c>
      <c r="J50" s="97">
        <v>0</v>
      </c>
      <c r="K50" s="97">
        <v>0</v>
      </c>
      <c r="L50" s="97">
        <v>0</v>
      </c>
      <c r="M50" s="97">
        <v>0</v>
      </c>
      <c r="N50" s="97">
        <v>0</v>
      </c>
      <c r="O50" s="97">
        <v>0</v>
      </c>
      <c r="P50" s="97">
        <v>0</v>
      </c>
      <c r="Q50" s="103">
        <f t="shared" si="8"/>
        <v>0</v>
      </c>
      <c r="S50" s="35"/>
      <c r="T50" s="40">
        <f t="shared" si="1"/>
        <v>0</v>
      </c>
    </row>
    <row r="51" spans="1:20" s="3" customFormat="1" ht="24.95" hidden="1" customHeight="1">
      <c r="A51" s="3" t="s">
        <v>520</v>
      </c>
      <c r="B51" s="51" t="s">
        <v>717</v>
      </c>
      <c r="D51" s="26" t="s">
        <v>179</v>
      </c>
      <c r="E51" s="97">
        <v>0</v>
      </c>
      <c r="F51" s="97">
        <v>0</v>
      </c>
      <c r="G51" s="97">
        <v>0</v>
      </c>
      <c r="H51" s="97">
        <v>0</v>
      </c>
      <c r="I51" s="97">
        <v>0</v>
      </c>
      <c r="J51" s="97">
        <v>0</v>
      </c>
      <c r="K51" s="97">
        <v>0</v>
      </c>
      <c r="L51" s="97">
        <v>0</v>
      </c>
      <c r="M51" s="97">
        <v>0</v>
      </c>
      <c r="N51" s="97">
        <v>0</v>
      </c>
      <c r="O51" s="97">
        <v>0</v>
      </c>
      <c r="P51" s="97">
        <v>0</v>
      </c>
      <c r="Q51" s="103">
        <f t="shared" si="8"/>
        <v>0</v>
      </c>
      <c r="S51" s="35"/>
      <c r="T51" s="40">
        <f t="shared" si="1"/>
        <v>0</v>
      </c>
    </row>
    <row r="52" spans="1:20" s="3" customFormat="1" ht="24.95" hidden="1" customHeight="1">
      <c r="A52" s="271" t="s">
        <v>522</v>
      </c>
      <c r="B52" s="51" t="s">
        <v>717</v>
      </c>
      <c r="D52" s="26" t="s">
        <v>181</v>
      </c>
      <c r="E52" s="97">
        <v>0</v>
      </c>
      <c r="F52" s="97">
        <v>0</v>
      </c>
      <c r="G52" s="97">
        <v>0</v>
      </c>
      <c r="H52" s="97">
        <v>0</v>
      </c>
      <c r="I52" s="97">
        <v>0</v>
      </c>
      <c r="J52" s="97">
        <v>0</v>
      </c>
      <c r="K52" s="97">
        <v>0</v>
      </c>
      <c r="L52" s="97">
        <v>0</v>
      </c>
      <c r="M52" s="97">
        <v>0</v>
      </c>
      <c r="N52" s="97">
        <v>0</v>
      </c>
      <c r="O52" s="97">
        <v>0</v>
      </c>
      <c r="P52" s="97">
        <v>0</v>
      </c>
      <c r="Q52" s="103">
        <f t="shared" si="8"/>
        <v>0</v>
      </c>
      <c r="S52" s="35"/>
      <c r="T52" s="40">
        <f t="shared" si="1"/>
        <v>0</v>
      </c>
    </row>
    <row r="53" spans="1:20" s="3" customFormat="1" ht="24.95" hidden="1" customHeight="1">
      <c r="A53" s="54" t="s">
        <v>524</v>
      </c>
      <c r="B53" s="51" t="s">
        <v>717</v>
      </c>
      <c r="D53" s="26" t="s">
        <v>183</v>
      </c>
      <c r="E53" s="97">
        <v>0</v>
      </c>
      <c r="F53" s="97">
        <v>0</v>
      </c>
      <c r="G53" s="97">
        <v>0</v>
      </c>
      <c r="H53" s="97">
        <v>0</v>
      </c>
      <c r="I53" s="97">
        <v>0</v>
      </c>
      <c r="J53" s="97">
        <v>0</v>
      </c>
      <c r="K53" s="97">
        <v>0</v>
      </c>
      <c r="L53" s="97">
        <v>0</v>
      </c>
      <c r="M53" s="97">
        <v>0</v>
      </c>
      <c r="N53" s="97">
        <v>0</v>
      </c>
      <c r="O53" s="97">
        <v>0</v>
      </c>
      <c r="P53" s="97">
        <v>0</v>
      </c>
      <c r="Q53" s="103">
        <f t="shared" si="8"/>
        <v>0</v>
      </c>
      <c r="S53" s="35"/>
      <c r="T53" s="40">
        <f t="shared" si="1"/>
        <v>0</v>
      </c>
    </row>
    <row r="54" spans="1:20" s="3" customFormat="1" ht="24.95" hidden="1" customHeight="1">
      <c r="A54" s="271" t="s">
        <v>526</v>
      </c>
      <c r="B54" s="3" t="s">
        <v>717</v>
      </c>
      <c r="D54" s="26" t="s">
        <v>185</v>
      </c>
      <c r="E54" s="97">
        <v>0</v>
      </c>
      <c r="F54" s="97">
        <v>0</v>
      </c>
      <c r="G54" s="97">
        <v>0</v>
      </c>
      <c r="H54" s="97">
        <v>0</v>
      </c>
      <c r="I54" s="97">
        <v>0</v>
      </c>
      <c r="J54" s="97">
        <v>0</v>
      </c>
      <c r="K54" s="97">
        <v>0</v>
      </c>
      <c r="L54" s="97">
        <v>0</v>
      </c>
      <c r="M54" s="97">
        <v>0</v>
      </c>
      <c r="N54" s="97">
        <v>0</v>
      </c>
      <c r="O54" s="97">
        <v>0</v>
      </c>
      <c r="P54" s="97">
        <v>0</v>
      </c>
      <c r="Q54" s="103">
        <f t="shared" si="8"/>
        <v>0</v>
      </c>
      <c r="S54" s="35"/>
      <c r="T54" s="40">
        <f t="shared" si="1"/>
        <v>0</v>
      </c>
    </row>
    <row r="55" spans="1:20" s="3" customFormat="1" ht="24.95" hidden="1" customHeight="1">
      <c r="A55" s="271" t="s">
        <v>528</v>
      </c>
      <c r="B55" s="51" t="s">
        <v>717</v>
      </c>
      <c r="D55" s="26" t="s">
        <v>187</v>
      </c>
      <c r="E55" s="97">
        <v>0</v>
      </c>
      <c r="F55" s="97">
        <v>0</v>
      </c>
      <c r="G55" s="97">
        <v>0</v>
      </c>
      <c r="H55" s="97">
        <v>0</v>
      </c>
      <c r="I55" s="97">
        <v>0</v>
      </c>
      <c r="J55" s="97">
        <v>0</v>
      </c>
      <c r="K55" s="97">
        <v>0</v>
      </c>
      <c r="L55" s="97">
        <v>0</v>
      </c>
      <c r="M55" s="97">
        <v>0</v>
      </c>
      <c r="N55" s="97">
        <v>0</v>
      </c>
      <c r="O55" s="97">
        <v>0</v>
      </c>
      <c r="P55" s="97">
        <v>0</v>
      </c>
      <c r="Q55" s="103">
        <f t="shared" si="8"/>
        <v>0</v>
      </c>
      <c r="S55" s="35"/>
      <c r="T55" s="40">
        <f t="shared" si="1"/>
        <v>0</v>
      </c>
    </row>
    <row r="56" spans="1:20" s="3" customFormat="1" ht="24.95" hidden="1" customHeight="1">
      <c r="A56" s="271" t="s">
        <v>530</v>
      </c>
      <c r="B56" s="51" t="s">
        <v>717</v>
      </c>
      <c r="D56" s="26" t="s">
        <v>189</v>
      </c>
      <c r="E56" s="97">
        <v>0</v>
      </c>
      <c r="F56" s="97">
        <v>0</v>
      </c>
      <c r="G56" s="97">
        <v>0</v>
      </c>
      <c r="H56" s="97">
        <v>0</v>
      </c>
      <c r="I56" s="97">
        <v>0</v>
      </c>
      <c r="J56" s="97">
        <v>0</v>
      </c>
      <c r="K56" s="97">
        <v>0</v>
      </c>
      <c r="L56" s="97">
        <v>0</v>
      </c>
      <c r="M56" s="97">
        <v>0</v>
      </c>
      <c r="N56" s="97">
        <v>0</v>
      </c>
      <c r="O56" s="97">
        <v>0</v>
      </c>
      <c r="P56" s="97">
        <v>0</v>
      </c>
      <c r="Q56" s="103">
        <f t="shared" si="8"/>
        <v>0</v>
      </c>
      <c r="S56" s="35"/>
      <c r="T56" s="40">
        <f t="shared" si="1"/>
        <v>0</v>
      </c>
    </row>
    <row r="57" spans="1:20" s="19" customFormat="1" ht="24.95" hidden="1" customHeight="1">
      <c r="A57" s="271" t="s">
        <v>532</v>
      </c>
      <c r="B57" s="51" t="s">
        <v>717</v>
      </c>
      <c r="D57" s="26" t="s">
        <v>1182</v>
      </c>
      <c r="E57" s="97">
        <v>0</v>
      </c>
      <c r="F57" s="97">
        <v>0</v>
      </c>
      <c r="G57" s="97">
        <v>0</v>
      </c>
      <c r="H57" s="97">
        <v>0</v>
      </c>
      <c r="I57" s="97">
        <v>0</v>
      </c>
      <c r="J57" s="97">
        <v>0</v>
      </c>
      <c r="K57" s="97">
        <v>0</v>
      </c>
      <c r="L57" s="97">
        <v>0</v>
      </c>
      <c r="M57" s="97">
        <v>0</v>
      </c>
      <c r="N57" s="97">
        <v>0</v>
      </c>
      <c r="O57" s="97">
        <v>0</v>
      </c>
      <c r="P57" s="97">
        <v>0</v>
      </c>
      <c r="Q57" s="103">
        <f t="shared" si="8"/>
        <v>0</v>
      </c>
      <c r="R57" s="3"/>
      <c r="S57" s="35"/>
      <c r="T57" s="40">
        <f t="shared" si="1"/>
        <v>0</v>
      </c>
    </row>
    <row r="58" spans="1:20" s="3" customFormat="1" ht="24.95" hidden="1" customHeight="1">
      <c r="A58" s="50" t="s">
        <v>534</v>
      </c>
      <c r="B58" s="3" t="s">
        <v>717</v>
      </c>
      <c r="D58" s="26" t="s">
        <v>193</v>
      </c>
      <c r="E58" s="97">
        <v>0</v>
      </c>
      <c r="F58" s="97">
        <v>0</v>
      </c>
      <c r="G58" s="97">
        <v>0</v>
      </c>
      <c r="H58" s="97">
        <v>0</v>
      </c>
      <c r="I58" s="97">
        <v>0</v>
      </c>
      <c r="J58" s="97">
        <v>0</v>
      </c>
      <c r="K58" s="97">
        <v>0</v>
      </c>
      <c r="L58" s="97">
        <v>0</v>
      </c>
      <c r="M58" s="97">
        <v>0</v>
      </c>
      <c r="N58" s="97">
        <v>0</v>
      </c>
      <c r="O58" s="97">
        <v>0</v>
      </c>
      <c r="P58" s="97">
        <v>0</v>
      </c>
      <c r="Q58" s="103">
        <f t="shared" si="8"/>
        <v>0</v>
      </c>
      <c r="S58" s="35"/>
      <c r="T58" s="40">
        <f t="shared" si="1"/>
        <v>0</v>
      </c>
    </row>
    <row r="59" spans="1:20" s="3" customFormat="1" ht="24.95" hidden="1" customHeight="1">
      <c r="A59" s="271" t="s">
        <v>536</v>
      </c>
      <c r="B59" s="51" t="s">
        <v>717</v>
      </c>
      <c r="D59" s="26" t="s">
        <v>195</v>
      </c>
      <c r="E59" s="97">
        <v>0</v>
      </c>
      <c r="F59" s="97">
        <v>0</v>
      </c>
      <c r="G59" s="97">
        <v>0</v>
      </c>
      <c r="H59" s="97">
        <v>0</v>
      </c>
      <c r="I59" s="97">
        <v>0</v>
      </c>
      <c r="J59" s="97">
        <v>0</v>
      </c>
      <c r="K59" s="97">
        <v>0</v>
      </c>
      <c r="L59" s="97">
        <v>0</v>
      </c>
      <c r="M59" s="97">
        <v>0</v>
      </c>
      <c r="N59" s="97">
        <v>0</v>
      </c>
      <c r="O59" s="97">
        <v>0</v>
      </c>
      <c r="P59" s="97">
        <v>0</v>
      </c>
      <c r="Q59" s="103">
        <f t="shared" si="8"/>
        <v>0</v>
      </c>
      <c r="S59" s="35"/>
      <c r="T59" s="40">
        <f t="shared" si="1"/>
        <v>0</v>
      </c>
    </row>
    <row r="60" spans="1:20" s="3" customFormat="1" ht="24.95" hidden="1" customHeight="1">
      <c r="A60" s="271" t="s">
        <v>538</v>
      </c>
      <c r="B60" s="51" t="s">
        <v>717</v>
      </c>
      <c r="D60" s="26" t="s">
        <v>197</v>
      </c>
      <c r="E60" s="97">
        <v>0</v>
      </c>
      <c r="F60" s="97">
        <v>0</v>
      </c>
      <c r="G60" s="97">
        <v>0</v>
      </c>
      <c r="H60" s="97">
        <v>0</v>
      </c>
      <c r="I60" s="97">
        <v>0</v>
      </c>
      <c r="J60" s="97">
        <v>0</v>
      </c>
      <c r="K60" s="97">
        <v>0</v>
      </c>
      <c r="L60" s="97">
        <v>0</v>
      </c>
      <c r="M60" s="97">
        <v>0</v>
      </c>
      <c r="N60" s="97">
        <v>0</v>
      </c>
      <c r="O60" s="97">
        <v>0</v>
      </c>
      <c r="P60" s="97">
        <v>0</v>
      </c>
      <c r="Q60" s="103">
        <f t="shared" si="8"/>
        <v>0</v>
      </c>
      <c r="S60" s="35"/>
      <c r="T60" s="40">
        <f t="shared" si="1"/>
        <v>0</v>
      </c>
    </row>
    <row r="61" spans="1:20" s="3" customFormat="1" ht="24.95" hidden="1" customHeight="1">
      <c r="A61" s="271" t="s">
        <v>540</v>
      </c>
      <c r="B61" s="51" t="s">
        <v>717</v>
      </c>
      <c r="D61" s="26" t="s">
        <v>199</v>
      </c>
      <c r="E61" s="97">
        <v>0</v>
      </c>
      <c r="F61" s="97">
        <v>0</v>
      </c>
      <c r="G61" s="97">
        <v>0</v>
      </c>
      <c r="H61" s="97">
        <v>0</v>
      </c>
      <c r="I61" s="97">
        <v>0</v>
      </c>
      <c r="J61" s="97">
        <v>0</v>
      </c>
      <c r="K61" s="97">
        <v>0</v>
      </c>
      <c r="L61" s="97">
        <v>0</v>
      </c>
      <c r="M61" s="97">
        <v>0</v>
      </c>
      <c r="N61" s="97">
        <v>0</v>
      </c>
      <c r="O61" s="97">
        <v>0</v>
      </c>
      <c r="P61" s="97">
        <v>0</v>
      </c>
      <c r="Q61" s="103">
        <f t="shared" si="8"/>
        <v>0</v>
      </c>
      <c r="S61" s="35"/>
      <c r="T61" s="40">
        <f t="shared" si="1"/>
        <v>0</v>
      </c>
    </row>
    <row r="62" spans="1:20" s="3" customFormat="1" ht="24.95" hidden="1" customHeight="1">
      <c r="A62" s="271" t="s">
        <v>542</v>
      </c>
      <c r="B62" s="51" t="s">
        <v>717</v>
      </c>
      <c r="D62" s="26" t="s">
        <v>201</v>
      </c>
      <c r="E62" s="97">
        <v>0</v>
      </c>
      <c r="F62" s="97">
        <v>0</v>
      </c>
      <c r="G62" s="97">
        <v>0</v>
      </c>
      <c r="H62" s="97">
        <v>0</v>
      </c>
      <c r="I62" s="97">
        <v>0</v>
      </c>
      <c r="J62" s="97">
        <v>0</v>
      </c>
      <c r="K62" s="97">
        <v>0</v>
      </c>
      <c r="L62" s="97">
        <v>0</v>
      </c>
      <c r="M62" s="97">
        <v>0</v>
      </c>
      <c r="N62" s="97">
        <v>0</v>
      </c>
      <c r="O62" s="97">
        <v>0</v>
      </c>
      <c r="P62" s="97">
        <v>0</v>
      </c>
      <c r="Q62" s="103">
        <f t="shared" si="8"/>
        <v>0</v>
      </c>
      <c r="S62" s="35"/>
      <c r="T62" s="40">
        <f t="shared" si="1"/>
        <v>0</v>
      </c>
    </row>
    <row r="63" spans="1:20" s="3" customFormat="1" ht="24.95" hidden="1" customHeight="1">
      <c r="A63" s="271" t="s">
        <v>544</v>
      </c>
      <c r="B63" s="51" t="s">
        <v>717</v>
      </c>
      <c r="D63" s="26" t="s">
        <v>203</v>
      </c>
      <c r="E63" s="97">
        <v>0</v>
      </c>
      <c r="F63" s="97">
        <v>0</v>
      </c>
      <c r="G63" s="97">
        <v>0</v>
      </c>
      <c r="H63" s="97">
        <v>0</v>
      </c>
      <c r="I63" s="97">
        <v>0</v>
      </c>
      <c r="J63" s="97">
        <v>0</v>
      </c>
      <c r="K63" s="97">
        <v>0</v>
      </c>
      <c r="L63" s="97">
        <v>0</v>
      </c>
      <c r="M63" s="97">
        <v>0</v>
      </c>
      <c r="N63" s="97">
        <v>0</v>
      </c>
      <c r="O63" s="97">
        <v>0</v>
      </c>
      <c r="P63" s="97">
        <v>0</v>
      </c>
      <c r="Q63" s="103">
        <f t="shared" si="8"/>
        <v>0</v>
      </c>
      <c r="S63" s="35"/>
      <c r="T63" s="40">
        <f t="shared" si="1"/>
        <v>0</v>
      </c>
    </row>
    <row r="64" spans="1:20" s="3" customFormat="1" ht="24.95" hidden="1" customHeight="1">
      <c r="A64" s="271" t="s">
        <v>546</v>
      </c>
      <c r="B64" s="51" t="s">
        <v>717</v>
      </c>
      <c r="D64" s="26" t="s">
        <v>205</v>
      </c>
      <c r="E64" s="97">
        <v>0</v>
      </c>
      <c r="F64" s="97">
        <v>0</v>
      </c>
      <c r="G64" s="97">
        <v>0</v>
      </c>
      <c r="H64" s="97">
        <v>0</v>
      </c>
      <c r="I64" s="97">
        <v>0</v>
      </c>
      <c r="J64" s="97">
        <v>0</v>
      </c>
      <c r="K64" s="97">
        <v>0</v>
      </c>
      <c r="L64" s="97">
        <v>0</v>
      </c>
      <c r="M64" s="97">
        <v>0</v>
      </c>
      <c r="N64" s="97">
        <v>0</v>
      </c>
      <c r="O64" s="97">
        <v>0</v>
      </c>
      <c r="P64" s="97">
        <v>0</v>
      </c>
      <c r="Q64" s="103">
        <f t="shared" si="8"/>
        <v>0</v>
      </c>
      <c r="S64" s="35"/>
      <c r="T64" s="40">
        <f t="shared" si="1"/>
        <v>0</v>
      </c>
    </row>
    <row r="65" spans="1:20" s="3" customFormat="1" ht="24.95" hidden="1" customHeight="1">
      <c r="A65" s="271" t="s">
        <v>548</v>
      </c>
      <c r="B65" s="51" t="s">
        <v>717</v>
      </c>
      <c r="D65" s="26" t="s">
        <v>207</v>
      </c>
      <c r="E65" s="97">
        <v>0</v>
      </c>
      <c r="F65" s="97">
        <v>0</v>
      </c>
      <c r="G65" s="97">
        <v>0</v>
      </c>
      <c r="H65" s="97">
        <v>0</v>
      </c>
      <c r="I65" s="97">
        <v>0</v>
      </c>
      <c r="J65" s="97">
        <v>0</v>
      </c>
      <c r="K65" s="97">
        <v>0</v>
      </c>
      <c r="L65" s="97">
        <v>0</v>
      </c>
      <c r="M65" s="97">
        <v>0</v>
      </c>
      <c r="N65" s="97">
        <v>0</v>
      </c>
      <c r="O65" s="97">
        <v>0</v>
      </c>
      <c r="P65" s="97">
        <v>0</v>
      </c>
      <c r="Q65" s="103">
        <f t="shared" si="8"/>
        <v>0</v>
      </c>
      <c r="S65" s="35"/>
      <c r="T65" s="40">
        <f t="shared" si="1"/>
        <v>0</v>
      </c>
    </row>
    <row r="66" spans="1:20" s="3" customFormat="1" ht="24.95" hidden="1" customHeight="1">
      <c r="A66" s="271" t="s">
        <v>550</v>
      </c>
      <c r="B66" s="51" t="s">
        <v>717</v>
      </c>
      <c r="D66" s="26" t="s">
        <v>209</v>
      </c>
      <c r="E66" s="97">
        <v>0</v>
      </c>
      <c r="F66" s="97">
        <v>0</v>
      </c>
      <c r="G66" s="97">
        <v>0</v>
      </c>
      <c r="H66" s="97">
        <v>0</v>
      </c>
      <c r="I66" s="97">
        <v>0</v>
      </c>
      <c r="J66" s="97">
        <v>0</v>
      </c>
      <c r="K66" s="97">
        <v>0</v>
      </c>
      <c r="L66" s="97">
        <v>0</v>
      </c>
      <c r="M66" s="97">
        <v>0</v>
      </c>
      <c r="N66" s="97">
        <v>0</v>
      </c>
      <c r="O66" s="97">
        <v>0</v>
      </c>
      <c r="P66" s="97">
        <v>0</v>
      </c>
      <c r="Q66" s="103">
        <f t="shared" si="8"/>
        <v>0</v>
      </c>
      <c r="S66" s="35"/>
      <c r="T66" s="40">
        <f t="shared" si="1"/>
        <v>0</v>
      </c>
    </row>
    <row r="67" spans="1:20" s="19" customFormat="1" ht="24.95" hidden="1" customHeight="1">
      <c r="A67" s="271" t="s">
        <v>552</v>
      </c>
      <c r="B67" s="51" t="s">
        <v>717</v>
      </c>
      <c r="D67" s="26" t="s">
        <v>211</v>
      </c>
      <c r="E67" s="97">
        <v>0</v>
      </c>
      <c r="F67" s="97">
        <v>0</v>
      </c>
      <c r="G67" s="97">
        <v>0</v>
      </c>
      <c r="H67" s="97">
        <v>0</v>
      </c>
      <c r="I67" s="97">
        <v>0</v>
      </c>
      <c r="J67" s="97">
        <v>0</v>
      </c>
      <c r="K67" s="97">
        <v>0</v>
      </c>
      <c r="L67" s="97">
        <v>0</v>
      </c>
      <c r="M67" s="97">
        <v>0</v>
      </c>
      <c r="N67" s="97">
        <v>0</v>
      </c>
      <c r="O67" s="97">
        <v>0</v>
      </c>
      <c r="P67" s="97">
        <v>0</v>
      </c>
      <c r="Q67" s="103">
        <f t="shared" si="8"/>
        <v>0</v>
      </c>
      <c r="R67" s="3"/>
      <c r="S67" s="35"/>
      <c r="T67" s="40">
        <f t="shared" si="1"/>
        <v>0</v>
      </c>
    </row>
    <row r="68" spans="1:20" s="19" customFormat="1" ht="24.95" hidden="1" customHeight="1">
      <c r="A68" s="271" t="s">
        <v>554</v>
      </c>
      <c r="B68" s="51" t="s">
        <v>717</v>
      </c>
      <c r="D68" s="26" t="s">
        <v>213</v>
      </c>
      <c r="E68" s="97">
        <v>0</v>
      </c>
      <c r="F68" s="97">
        <v>0</v>
      </c>
      <c r="G68" s="97">
        <v>0</v>
      </c>
      <c r="H68" s="97">
        <v>0</v>
      </c>
      <c r="I68" s="97">
        <v>0</v>
      </c>
      <c r="J68" s="97">
        <v>0</v>
      </c>
      <c r="K68" s="97">
        <v>0</v>
      </c>
      <c r="L68" s="97">
        <v>0</v>
      </c>
      <c r="M68" s="97">
        <v>0</v>
      </c>
      <c r="N68" s="97">
        <v>0</v>
      </c>
      <c r="O68" s="97">
        <v>0</v>
      </c>
      <c r="P68" s="97">
        <v>0</v>
      </c>
      <c r="Q68" s="103">
        <f t="shared" si="8"/>
        <v>0</v>
      </c>
      <c r="R68" s="3"/>
      <c r="S68" s="35"/>
      <c r="T68" s="40">
        <f t="shared" si="1"/>
        <v>0</v>
      </c>
    </row>
    <row r="69" spans="1:20" s="3" customFormat="1" ht="24.95" hidden="1" customHeight="1">
      <c r="A69" s="3" t="s">
        <v>556</v>
      </c>
      <c r="B69" s="51" t="s">
        <v>717</v>
      </c>
      <c r="D69" s="26" t="s">
        <v>215</v>
      </c>
      <c r="E69" s="97">
        <v>0</v>
      </c>
      <c r="F69" s="97">
        <v>0</v>
      </c>
      <c r="G69" s="97">
        <v>0</v>
      </c>
      <c r="H69" s="97">
        <v>0</v>
      </c>
      <c r="I69" s="97">
        <v>0</v>
      </c>
      <c r="J69" s="97">
        <v>0</v>
      </c>
      <c r="K69" s="97">
        <v>0</v>
      </c>
      <c r="L69" s="97">
        <v>0</v>
      </c>
      <c r="M69" s="97">
        <v>0</v>
      </c>
      <c r="N69" s="97">
        <v>0</v>
      </c>
      <c r="O69" s="97">
        <v>0</v>
      </c>
      <c r="P69" s="97">
        <v>0</v>
      </c>
      <c r="Q69" s="103">
        <f t="shared" si="8"/>
        <v>0</v>
      </c>
      <c r="S69" s="35"/>
      <c r="T69" s="40">
        <f t="shared" si="1"/>
        <v>0</v>
      </c>
    </row>
    <row r="70" spans="1:20" s="3" customFormat="1" ht="24.95" hidden="1" customHeight="1">
      <c r="A70" s="3" t="s">
        <v>558</v>
      </c>
      <c r="B70" s="51" t="s">
        <v>717</v>
      </c>
      <c r="D70" s="26" t="s">
        <v>217</v>
      </c>
      <c r="E70" s="97">
        <v>0</v>
      </c>
      <c r="F70" s="97">
        <v>0</v>
      </c>
      <c r="G70" s="97">
        <v>0</v>
      </c>
      <c r="H70" s="97">
        <v>0</v>
      </c>
      <c r="I70" s="97">
        <v>0</v>
      </c>
      <c r="J70" s="97">
        <v>0</v>
      </c>
      <c r="K70" s="97">
        <v>0</v>
      </c>
      <c r="L70" s="97">
        <v>0</v>
      </c>
      <c r="M70" s="97">
        <v>0</v>
      </c>
      <c r="N70" s="97">
        <v>0</v>
      </c>
      <c r="O70" s="97">
        <v>0</v>
      </c>
      <c r="P70" s="97">
        <v>0</v>
      </c>
      <c r="Q70" s="103">
        <f t="shared" si="8"/>
        <v>0</v>
      </c>
      <c r="S70" s="35"/>
      <c r="T70" s="40">
        <f t="shared" si="1"/>
        <v>0</v>
      </c>
    </row>
    <row r="71" spans="1:20" s="3" customFormat="1" ht="24.95" hidden="1" customHeight="1">
      <c r="A71" s="3" t="s">
        <v>560</v>
      </c>
      <c r="B71" s="51" t="s">
        <v>717</v>
      </c>
      <c r="D71" s="26" t="s">
        <v>219</v>
      </c>
      <c r="E71" s="97">
        <v>0</v>
      </c>
      <c r="F71" s="97">
        <v>0</v>
      </c>
      <c r="G71" s="97">
        <v>0</v>
      </c>
      <c r="H71" s="97">
        <v>0</v>
      </c>
      <c r="I71" s="97">
        <v>0</v>
      </c>
      <c r="J71" s="97">
        <v>0</v>
      </c>
      <c r="K71" s="97">
        <v>0</v>
      </c>
      <c r="L71" s="97">
        <v>0</v>
      </c>
      <c r="M71" s="97">
        <v>0</v>
      </c>
      <c r="N71" s="97">
        <v>0</v>
      </c>
      <c r="O71" s="97">
        <v>0</v>
      </c>
      <c r="P71" s="97">
        <v>0</v>
      </c>
      <c r="Q71" s="103">
        <f t="shared" si="8"/>
        <v>0</v>
      </c>
      <c r="S71" s="35"/>
      <c r="T71" s="40">
        <f t="shared" si="1"/>
        <v>0</v>
      </c>
    </row>
    <row r="72" spans="1:20" s="3" customFormat="1" ht="24.95" hidden="1" customHeight="1">
      <c r="A72" s="3" t="s">
        <v>562</v>
      </c>
      <c r="B72" s="51" t="s">
        <v>717</v>
      </c>
      <c r="D72" s="26" t="s">
        <v>221</v>
      </c>
      <c r="E72" s="97">
        <v>0</v>
      </c>
      <c r="F72" s="97">
        <v>0</v>
      </c>
      <c r="G72" s="97">
        <v>0</v>
      </c>
      <c r="H72" s="97">
        <v>0</v>
      </c>
      <c r="I72" s="97">
        <v>0</v>
      </c>
      <c r="J72" s="97">
        <v>0</v>
      </c>
      <c r="K72" s="97">
        <v>0</v>
      </c>
      <c r="L72" s="97">
        <v>0</v>
      </c>
      <c r="M72" s="97">
        <v>0</v>
      </c>
      <c r="N72" s="97">
        <v>0</v>
      </c>
      <c r="O72" s="97">
        <v>0</v>
      </c>
      <c r="P72" s="97">
        <v>0</v>
      </c>
      <c r="Q72" s="103">
        <f t="shared" si="8"/>
        <v>0</v>
      </c>
      <c r="S72" s="35"/>
      <c r="T72" s="40">
        <f t="shared" si="1"/>
        <v>0</v>
      </c>
    </row>
    <row r="73" spans="1:20" s="3" customFormat="1" ht="24.95" hidden="1" customHeight="1">
      <c r="A73" s="3" t="s">
        <v>564</v>
      </c>
      <c r="B73" s="51" t="s">
        <v>717</v>
      </c>
      <c r="D73" s="26" t="s">
        <v>223</v>
      </c>
      <c r="E73" s="97">
        <v>0</v>
      </c>
      <c r="F73" s="97">
        <v>0</v>
      </c>
      <c r="G73" s="97">
        <v>0</v>
      </c>
      <c r="H73" s="97">
        <v>0</v>
      </c>
      <c r="I73" s="97">
        <v>0</v>
      </c>
      <c r="J73" s="97">
        <v>0</v>
      </c>
      <c r="K73" s="97">
        <v>0</v>
      </c>
      <c r="L73" s="97">
        <v>0</v>
      </c>
      <c r="M73" s="97">
        <v>0</v>
      </c>
      <c r="N73" s="97">
        <v>0</v>
      </c>
      <c r="O73" s="97">
        <v>0</v>
      </c>
      <c r="P73" s="97">
        <v>0</v>
      </c>
      <c r="Q73" s="103">
        <f t="shared" si="8"/>
        <v>0</v>
      </c>
      <c r="S73" s="35"/>
      <c r="T73" s="40">
        <f t="shared" si="1"/>
        <v>0</v>
      </c>
    </row>
    <row r="74" spans="1:20" s="3" customFormat="1" ht="24.95" hidden="1" customHeight="1">
      <c r="A74" s="3" t="s">
        <v>566</v>
      </c>
      <c r="B74" s="51" t="s">
        <v>717</v>
      </c>
      <c r="D74" s="26" t="s">
        <v>225</v>
      </c>
      <c r="E74" s="97">
        <v>0</v>
      </c>
      <c r="F74" s="97">
        <v>0</v>
      </c>
      <c r="G74" s="97">
        <v>0</v>
      </c>
      <c r="H74" s="97">
        <v>0</v>
      </c>
      <c r="I74" s="97">
        <v>0</v>
      </c>
      <c r="J74" s="97">
        <v>0</v>
      </c>
      <c r="K74" s="97">
        <v>0</v>
      </c>
      <c r="L74" s="97">
        <v>0</v>
      </c>
      <c r="M74" s="97">
        <v>0</v>
      </c>
      <c r="N74" s="97">
        <v>0</v>
      </c>
      <c r="O74" s="97">
        <v>0</v>
      </c>
      <c r="P74" s="97">
        <v>0</v>
      </c>
      <c r="Q74" s="103">
        <f t="shared" si="8"/>
        <v>0</v>
      </c>
      <c r="S74" s="35"/>
      <c r="T74" s="40">
        <f t="shared" si="1"/>
        <v>0</v>
      </c>
    </row>
    <row r="75" spans="1:20" s="3" customFormat="1" ht="24.95" hidden="1" customHeight="1">
      <c r="A75" s="3" t="s">
        <v>568</v>
      </c>
      <c r="B75" s="51" t="s">
        <v>717</v>
      </c>
      <c r="D75" s="26" t="s">
        <v>227</v>
      </c>
      <c r="E75" s="97">
        <v>0</v>
      </c>
      <c r="F75" s="97">
        <v>0</v>
      </c>
      <c r="G75" s="97">
        <v>0</v>
      </c>
      <c r="H75" s="97">
        <v>0</v>
      </c>
      <c r="I75" s="97">
        <v>0</v>
      </c>
      <c r="J75" s="97">
        <v>0</v>
      </c>
      <c r="K75" s="97">
        <v>0</v>
      </c>
      <c r="L75" s="97">
        <v>0</v>
      </c>
      <c r="M75" s="97">
        <v>0</v>
      </c>
      <c r="N75" s="97">
        <v>0</v>
      </c>
      <c r="O75" s="97">
        <v>0</v>
      </c>
      <c r="P75" s="97">
        <v>0</v>
      </c>
      <c r="Q75" s="103">
        <f t="shared" si="8"/>
        <v>0</v>
      </c>
      <c r="S75" s="35"/>
      <c r="T75" s="40">
        <f t="shared" si="1"/>
        <v>0</v>
      </c>
    </row>
    <row r="76" spans="1:20" s="3" customFormat="1" ht="24.95" hidden="1" customHeight="1">
      <c r="A76" s="3" t="s">
        <v>570</v>
      </c>
      <c r="B76" s="51" t="s">
        <v>717</v>
      </c>
      <c r="D76" s="26" t="s">
        <v>229</v>
      </c>
      <c r="E76" s="97">
        <v>0</v>
      </c>
      <c r="F76" s="97">
        <v>0</v>
      </c>
      <c r="G76" s="97">
        <v>0</v>
      </c>
      <c r="H76" s="97">
        <v>0</v>
      </c>
      <c r="I76" s="97">
        <v>0</v>
      </c>
      <c r="J76" s="97">
        <v>0</v>
      </c>
      <c r="K76" s="97">
        <v>0</v>
      </c>
      <c r="L76" s="97">
        <v>0</v>
      </c>
      <c r="M76" s="97">
        <v>0</v>
      </c>
      <c r="N76" s="97">
        <v>0</v>
      </c>
      <c r="O76" s="97">
        <v>0</v>
      </c>
      <c r="P76" s="97">
        <v>0</v>
      </c>
      <c r="Q76" s="103">
        <f t="shared" si="8"/>
        <v>0</v>
      </c>
      <c r="S76" s="35"/>
      <c r="T76" s="40">
        <f t="shared" si="1"/>
        <v>0</v>
      </c>
    </row>
    <row r="77" spans="1:20" s="3" customFormat="1" ht="24.95" hidden="1" customHeight="1">
      <c r="A77" s="271" t="s">
        <v>572</v>
      </c>
      <c r="B77" s="51" t="s">
        <v>717</v>
      </c>
      <c r="D77" s="26" t="s">
        <v>231</v>
      </c>
      <c r="E77" s="97">
        <v>0</v>
      </c>
      <c r="F77" s="97">
        <v>0</v>
      </c>
      <c r="G77" s="97">
        <v>0</v>
      </c>
      <c r="H77" s="97">
        <v>0</v>
      </c>
      <c r="I77" s="97">
        <v>0</v>
      </c>
      <c r="J77" s="97">
        <v>0</v>
      </c>
      <c r="K77" s="97">
        <v>0</v>
      </c>
      <c r="L77" s="97">
        <v>0</v>
      </c>
      <c r="M77" s="97">
        <v>0</v>
      </c>
      <c r="N77" s="97">
        <v>0</v>
      </c>
      <c r="O77" s="97">
        <v>0</v>
      </c>
      <c r="P77" s="97">
        <v>0</v>
      </c>
      <c r="Q77" s="103">
        <f t="shared" si="8"/>
        <v>0</v>
      </c>
      <c r="S77" s="35"/>
      <c r="T77" s="40">
        <f t="shared" ref="T77:T102" si="9">IF(Q77-S77=0,0,(Q77-S77)/S77)</f>
        <v>0</v>
      </c>
    </row>
    <row r="78" spans="1:20" s="3" customFormat="1" ht="24.95" hidden="1" customHeight="1">
      <c r="A78" s="271" t="s">
        <v>574</v>
      </c>
      <c r="B78" s="51" t="s">
        <v>717</v>
      </c>
      <c r="D78" s="26" t="s">
        <v>233</v>
      </c>
      <c r="E78" s="97">
        <v>0</v>
      </c>
      <c r="F78" s="97">
        <v>0</v>
      </c>
      <c r="G78" s="97">
        <v>0</v>
      </c>
      <c r="H78" s="97">
        <v>0</v>
      </c>
      <c r="I78" s="97">
        <v>0</v>
      </c>
      <c r="J78" s="97">
        <v>0</v>
      </c>
      <c r="K78" s="97">
        <v>0</v>
      </c>
      <c r="L78" s="97">
        <v>0</v>
      </c>
      <c r="M78" s="97">
        <v>0</v>
      </c>
      <c r="N78" s="97">
        <v>0</v>
      </c>
      <c r="O78" s="97">
        <v>0</v>
      </c>
      <c r="P78" s="97">
        <v>0</v>
      </c>
      <c r="Q78" s="103">
        <f t="shared" si="8"/>
        <v>0</v>
      </c>
      <c r="S78" s="35"/>
      <c r="T78" s="40">
        <f t="shared" si="9"/>
        <v>0</v>
      </c>
    </row>
    <row r="79" spans="1:20" s="3" customFormat="1" ht="24.95" hidden="1" customHeight="1">
      <c r="A79" s="271" t="s">
        <v>434</v>
      </c>
      <c r="B79" s="51" t="s">
        <v>717</v>
      </c>
      <c r="D79" s="26" t="s">
        <v>435</v>
      </c>
      <c r="E79" s="97">
        <v>0</v>
      </c>
      <c r="F79" s="97">
        <v>0</v>
      </c>
      <c r="G79" s="97">
        <v>0</v>
      </c>
      <c r="H79" s="97">
        <v>0</v>
      </c>
      <c r="I79" s="97">
        <v>0</v>
      </c>
      <c r="J79" s="97">
        <v>0</v>
      </c>
      <c r="K79" s="97">
        <v>0</v>
      </c>
      <c r="L79" s="97">
        <v>0</v>
      </c>
      <c r="M79" s="97">
        <v>0</v>
      </c>
      <c r="N79" s="97">
        <v>0</v>
      </c>
      <c r="O79" s="97">
        <v>0</v>
      </c>
      <c r="P79" s="97">
        <v>0</v>
      </c>
      <c r="Q79" s="103">
        <f t="shared" si="8"/>
        <v>0</v>
      </c>
      <c r="S79" s="35"/>
      <c r="T79" s="40">
        <f t="shared" si="9"/>
        <v>0</v>
      </c>
    </row>
    <row r="80" spans="1:20" ht="26.25" hidden="1" customHeight="1">
      <c r="A80" s="5" t="s">
        <v>576</v>
      </c>
      <c r="B80" s="5" t="s">
        <v>717</v>
      </c>
      <c r="D80" s="26" t="s">
        <v>235</v>
      </c>
      <c r="E80" s="97">
        <v>0</v>
      </c>
      <c r="F80" s="97">
        <v>0</v>
      </c>
      <c r="G80" s="97">
        <v>0</v>
      </c>
      <c r="H80" s="97">
        <v>0</v>
      </c>
      <c r="I80" s="97">
        <v>0</v>
      </c>
      <c r="J80" s="97">
        <v>0</v>
      </c>
      <c r="K80" s="97">
        <v>0</v>
      </c>
      <c r="L80" s="97">
        <v>0</v>
      </c>
      <c r="M80" s="97">
        <v>0</v>
      </c>
      <c r="N80" s="97">
        <v>0</v>
      </c>
      <c r="O80" s="97">
        <v>0</v>
      </c>
      <c r="P80" s="97">
        <v>0</v>
      </c>
      <c r="Q80" s="103">
        <f t="shared" si="8"/>
        <v>0</v>
      </c>
      <c r="S80" s="35"/>
      <c r="T80" s="40">
        <f t="shared" si="9"/>
        <v>0</v>
      </c>
    </row>
    <row r="81" spans="1:20" ht="26.25" hidden="1" customHeight="1">
      <c r="A81" s="5" t="s">
        <v>578</v>
      </c>
      <c r="B81" s="5" t="s">
        <v>717</v>
      </c>
      <c r="D81" s="26" t="s">
        <v>237</v>
      </c>
      <c r="E81" s="97">
        <v>0</v>
      </c>
      <c r="F81" s="97">
        <v>0</v>
      </c>
      <c r="G81" s="97">
        <v>0</v>
      </c>
      <c r="H81" s="97">
        <v>0</v>
      </c>
      <c r="I81" s="97">
        <v>0</v>
      </c>
      <c r="J81" s="97">
        <v>0</v>
      </c>
      <c r="K81" s="97">
        <v>0</v>
      </c>
      <c r="L81" s="97">
        <v>0</v>
      </c>
      <c r="M81" s="97">
        <v>0</v>
      </c>
      <c r="N81" s="97">
        <v>0</v>
      </c>
      <c r="O81" s="97">
        <v>0</v>
      </c>
      <c r="P81" s="97">
        <v>0</v>
      </c>
      <c r="Q81" s="103">
        <f t="shared" si="8"/>
        <v>0</v>
      </c>
      <c r="S81" s="35"/>
      <c r="T81" s="40">
        <f t="shared" si="9"/>
        <v>0</v>
      </c>
    </row>
    <row r="82" spans="1:20" ht="26.25" hidden="1" customHeight="1">
      <c r="A82" s="5" t="s">
        <v>580</v>
      </c>
      <c r="B82" s="5" t="s">
        <v>717</v>
      </c>
      <c r="D82" s="26" t="s">
        <v>239</v>
      </c>
      <c r="E82" s="97">
        <v>0</v>
      </c>
      <c r="F82" s="97">
        <v>0</v>
      </c>
      <c r="G82" s="97">
        <v>0</v>
      </c>
      <c r="H82" s="97">
        <v>0</v>
      </c>
      <c r="I82" s="97">
        <v>0</v>
      </c>
      <c r="J82" s="97">
        <v>0</v>
      </c>
      <c r="K82" s="97">
        <v>0</v>
      </c>
      <c r="L82" s="97">
        <v>0</v>
      </c>
      <c r="M82" s="97">
        <v>0</v>
      </c>
      <c r="N82" s="97">
        <v>0</v>
      </c>
      <c r="O82" s="97">
        <v>0</v>
      </c>
      <c r="P82" s="97">
        <v>0</v>
      </c>
      <c r="Q82" s="103">
        <f t="shared" si="8"/>
        <v>0</v>
      </c>
      <c r="S82" s="35"/>
      <c r="T82" s="40">
        <f t="shared" si="9"/>
        <v>0</v>
      </c>
    </row>
    <row r="83" spans="1:20" ht="26.25" hidden="1" customHeight="1">
      <c r="A83" s="5" t="s">
        <v>582</v>
      </c>
      <c r="B83" s="5" t="s">
        <v>717</v>
      </c>
      <c r="D83" s="26" t="s">
        <v>241</v>
      </c>
      <c r="E83" s="97">
        <v>0</v>
      </c>
      <c r="F83" s="97">
        <v>0</v>
      </c>
      <c r="G83" s="97">
        <v>0</v>
      </c>
      <c r="H83" s="97">
        <v>0</v>
      </c>
      <c r="I83" s="97">
        <v>0</v>
      </c>
      <c r="J83" s="97">
        <v>0</v>
      </c>
      <c r="K83" s="97">
        <v>0</v>
      </c>
      <c r="L83" s="97">
        <v>0</v>
      </c>
      <c r="M83" s="97">
        <v>0</v>
      </c>
      <c r="N83" s="97">
        <v>0</v>
      </c>
      <c r="O83" s="97">
        <v>0</v>
      </c>
      <c r="P83" s="97">
        <v>0</v>
      </c>
      <c r="Q83" s="103">
        <f t="shared" si="8"/>
        <v>0</v>
      </c>
      <c r="S83" s="35"/>
      <c r="T83" s="40">
        <f t="shared" si="9"/>
        <v>0</v>
      </c>
    </row>
    <row r="84" spans="1:20" ht="26.25" hidden="1" customHeight="1">
      <c r="A84" s="5" t="s">
        <v>584</v>
      </c>
      <c r="B84" s="5" t="s">
        <v>717</v>
      </c>
      <c r="D84" s="26" t="s">
        <v>243</v>
      </c>
      <c r="E84" s="97">
        <v>0</v>
      </c>
      <c r="F84" s="97">
        <v>0</v>
      </c>
      <c r="G84" s="97">
        <v>0</v>
      </c>
      <c r="H84" s="97">
        <v>0</v>
      </c>
      <c r="I84" s="97">
        <v>0</v>
      </c>
      <c r="J84" s="97">
        <v>0</v>
      </c>
      <c r="K84" s="97">
        <v>0</v>
      </c>
      <c r="L84" s="97">
        <v>0</v>
      </c>
      <c r="M84" s="97">
        <v>0</v>
      </c>
      <c r="N84" s="97">
        <v>0</v>
      </c>
      <c r="O84" s="97">
        <v>0</v>
      </c>
      <c r="P84" s="97">
        <v>0</v>
      </c>
      <c r="Q84" s="103">
        <f t="shared" si="8"/>
        <v>0</v>
      </c>
      <c r="S84" s="35"/>
      <c r="T84" s="40">
        <f t="shared" si="9"/>
        <v>0</v>
      </c>
    </row>
    <row r="85" spans="1:20" ht="26.25" hidden="1" customHeight="1">
      <c r="A85" s="5" t="s">
        <v>586</v>
      </c>
      <c r="B85" s="5" t="s">
        <v>717</v>
      </c>
      <c r="D85" s="26" t="s">
        <v>245</v>
      </c>
      <c r="E85" s="97">
        <v>0</v>
      </c>
      <c r="F85" s="97">
        <v>0</v>
      </c>
      <c r="G85" s="97">
        <v>0</v>
      </c>
      <c r="H85" s="97">
        <v>0</v>
      </c>
      <c r="I85" s="97">
        <v>0</v>
      </c>
      <c r="J85" s="97">
        <v>0</v>
      </c>
      <c r="K85" s="97">
        <v>0</v>
      </c>
      <c r="L85" s="97">
        <v>0</v>
      </c>
      <c r="M85" s="97">
        <v>0</v>
      </c>
      <c r="N85" s="97">
        <v>0</v>
      </c>
      <c r="O85" s="97">
        <v>0</v>
      </c>
      <c r="P85" s="97">
        <v>0</v>
      </c>
      <c r="Q85" s="103">
        <f t="shared" si="8"/>
        <v>0</v>
      </c>
      <c r="S85" s="35"/>
      <c r="T85" s="40">
        <f t="shared" si="9"/>
        <v>0</v>
      </c>
    </row>
    <row r="86" spans="1:20" ht="26.25" hidden="1" customHeight="1">
      <c r="A86" s="5" t="s">
        <v>588</v>
      </c>
      <c r="B86" s="5" t="s">
        <v>717</v>
      </c>
      <c r="D86" s="26" t="s">
        <v>247</v>
      </c>
      <c r="E86" s="97">
        <v>0</v>
      </c>
      <c r="F86" s="97">
        <v>0</v>
      </c>
      <c r="G86" s="97">
        <v>0</v>
      </c>
      <c r="H86" s="97">
        <v>0</v>
      </c>
      <c r="I86" s="97">
        <v>0</v>
      </c>
      <c r="J86" s="97">
        <v>0</v>
      </c>
      <c r="K86" s="97">
        <v>0</v>
      </c>
      <c r="L86" s="97">
        <v>0</v>
      </c>
      <c r="M86" s="97">
        <v>0</v>
      </c>
      <c r="N86" s="97">
        <v>0</v>
      </c>
      <c r="O86" s="97">
        <v>0</v>
      </c>
      <c r="P86" s="97">
        <v>0</v>
      </c>
      <c r="Q86" s="103">
        <f t="shared" si="8"/>
        <v>0</v>
      </c>
      <c r="S86" s="35"/>
      <c r="T86" s="40">
        <f t="shared" si="9"/>
        <v>0</v>
      </c>
    </row>
    <row r="87" spans="1:20" ht="26.25" hidden="1" customHeight="1">
      <c r="A87" s="5" t="s">
        <v>590</v>
      </c>
      <c r="B87" s="5" t="s">
        <v>717</v>
      </c>
      <c r="D87" s="26" t="s">
        <v>249</v>
      </c>
      <c r="E87" s="97">
        <v>0</v>
      </c>
      <c r="F87" s="97">
        <v>0</v>
      </c>
      <c r="G87" s="97">
        <v>0</v>
      </c>
      <c r="H87" s="97">
        <v>0</v>
      </c>
      <c r="I87" s="97">
        <v>0</v>
      </c>
      <c r="J87" s="97">
        <v>0</v>
      </c>
      <c r="K87" s="97">
        <v>0</v>
      </c>
      <c r="L87" s="97">
        <v>0</v>
      </c>
      <c r="M87" s="97">
        <v>0</v>
      </c>
      <c r="N87" s="97">
        <v>0</v>
      </c>
      <c r="O87" s="97">
        <v>0</v>
      </c>
      <c r="P87" s="97">
        <v>0</v>
      </c>
      <c r="Q87" s="103">
        <f t="shared" si="8"/>
        <v>0</v>
      </c>
      <c r="S87" s="35"/>
      <c r="T87" s="40">
        <f t="shared" si="9"/>
        <v>0</v>
      </c>
    </row>
    <row r="88" spans="1:20" ht="26.25" hidden="1" customHeight="1">
      <c r="A88" s="5" t="s">
        <v>592</v>
      </c>
      <c r="B88" s="5" t="s">
        <v>717</v>
      </c>
      <c r="D88" s="26" t="s">
        <v>251</v>
      </c>
      <c r="E88" s="97">
        <v>0</v>
      </c>
      <c r="F88" s="97">
        <v>0</v>
      </c>
      <c r="G88" s="97">
        <v>0</v>
      </c>
      <c r="H88" s="97">
        <v>0</v>
      </c>
      <c r="I88" s="97">
        <v>0</v>
      </c>
      <c r="J88" s="97">
        <v>0</v>
      </c>
      <c r="K88" s="97">
        <v>0</v>
      </c>
      <c r="L88" s="97">
        <v>0</v>
      </c>
      <c r="M88" s="97">
        <v>0</v>
      </c>
      <c r="N88" s="97">
        <v>0</v>
      </c>
      <c r="O88" s="97">
        <v>0</v>
      </c>
      <c r="P88" s="97">
        <v>0</v>
      </c>
      <c r="Q88" s="103">
        <f t="shared" si="8"/>
        <v>0</v>
      </c>
      <c r="S88" s="35"/>
      <c r="T88" s="40">
        <f t="shared" si="9"/>
        <v>0</v>
      </c>
    </row>
    <row r="89" spans="1:20" ht="26.25" hidden="1" customHeight="1">
      <c r="A89" s="5" t="s">
        <v>594</v>
      </c>
      <c r="B89" s="5" t="s">
        <v>717</v>
      </c>
      <c r="D89" s="26" t="s">
        <v>253</v>
      </c>
      <c r="E89" s="97">
        <v>0</v>
      </c>
      <c r="F89" s="97">
        <v>0</v>
      </c>
      <c r="G89" s="97">
        <v>0</v>
      </c>
      <c r="H89" s="97">
        <v>0</v>
      </c>
      <c r="I89" s="97">
        <v>0</v>
      </c>
      <c r="J89" s="97">
        <v>0</v>
      </c>
      <c r="K89" s="97">
        <v>0</v>
      </c>
      <c r="L89" s="97">
        <v>0</v>
      </c>
      <c r="M89" s="97">
        <v>0</v>
      </c>
      <c r="N89" s="97">
        <v>0</v>
      </c>
      <c r="O89" s="97">
        <v>0</v>
      </c>
      <c r="P89" s="97">
        <v>0</v>
      </c>
      <c r="Q89" s="103">
        <f t="shared" si="8"/>
        <v>0</v>
      </c>
      <c r="S89" s="35"/>
      <c r="T89" s="40">
        <f t="shared" si="9"/>
        <v>0</v>
      </c>
    </row>
    <row r="90" spans="1:20" ht="26.25" hidden="1" customHeight="1">
      <c r="A90" s="5" t="s">
        <v>596</v>
      </c>
      <c r="B90" s="5" t="s">
        <v>717</v>
      </c>
      <c r="D90" s="26" t="s">
        <v>255</v>
      </c>
      <c r="E90" s="97">
        <v>0</v>
      </c>
      <c r="F90" s="97">
        <v>0</v>
      </c>
      <c r="G90" s="97">
        <v>0</v>
      </c>
      <c r="H90" s="97">
        <v>0</v>
      </c>
      <c r="I90" s="97">
        <v>0</v>
      </c>
      <c r="J90" s="97">
        <v>0</v>
      </c>
      <c r="K90" s="97">
        <v>0</v>
      </c>
      <c r="L90" s="97">
        <v>0</v>
      </c>
      <c r="M90" s="97">
        <v>0</v>
      </c>
      <c r="N90" s="97">
        <v>0</v>
      </c>
      <c r="O90" s="97">
        <v>0</v>
      </c>
      <c r="P90" s="97">
        <v>0</v>
      </c>
      <c r="Q90" s="103">
        <f t="shared" si="8"/>
        <v>0</v>
      </c>
      <c r="S90" s="35"/>
      <c r="T90" s="40">
        <f t="shared" si="9"/>
        <v>0</v>
      </c>
    </row>
    <row r="91" spans="1:20" ht="26.25" hidden="1" customHeight="1">
      <c r="A91" s="5" t="s">
        <v>598</v>
      </c>
      <c r="B91" s="5" t="s">
        <v>717</v>
      </c>
      <c r="D91" s="26" t="s">
        <v>257</v>
      </c>
      <c r="E91" s="97">
        <v>0</v>
      </c>
      <c r="F91" s="97">
        <v>0</v>
      </c>
      <c r="G91" s="97">
        <v>0</v>
      </c>
      <c r="H91" s="97">
        <v>0</v>
      </c>
      <c r="I91" s="97">
        <v>0</v>
      </c>
      <c r="J91" s="97">
        <v>0</v>
      </c>
      <c r="K91" s="97">
        <v>0</v>
      </c>
      <c r="L91" s="97">
        <v>0</v>
      </c>
      <c r="M91" s="97">
        <v>0</v>
      </c>
      <c r="N91" s="97">
        <v>0</v>
      </c>
      <c r="O91" s="97">
        <v>0</v>
      </c>
      <c r="P91" s="97">
        <v>0</v>
      </c>
      <c r="Q91" s="103">
        <f t="shared" si="8"/>
        <v>0</v>
      </c>
      <c r="S91" s="35"/>
      <c r="T91" s="40">
        <f t="shared" si="9"/>
        <v>0</v>
      </c>
    </row>
    <row r="92" spans="1:20" ht="26.25" hidden="1" customHeight="1">
      <c r="A92" s="5" t="s">
        <v>600</v>
      </c>
      <c r="B92" s="5" t="s">
        <v>717</v>
      </c>
      <c r="D92" s="26" t="s">
        <v>259</v>
      </c>
      <c r="E92" s="97">
        <v>0</v>
      </c>
      <c r="F92" s="97">
        <v>0</v>
      </c>
      <c r="G92" s="97">
        <v>0</v>
      </c>
      <c r="H92" s="97">
        <v>0</v>
      </c>
      <c r="I92" s="97">
        <v>0</v>
      </c>
      <c r="J92" s="97">
        <v>0</v>
      </c>
      <c r="K92" s="97">
        <v>0</v>
      </c>
      <c r="L92" s="97">
        <v>0</v>
      </c>
      <c r="M92" s="97">
        <v>0</v>
      </c>
      <c r="N92" s="97">
        <v>0</v>
      </c>
      <c r="O92" s="97">
        <v>0</v>
      </c>
      <c r="P92" s="97">
        <v>0</v>
      </c>
      <c r="Q92" s="103">
        <f t="shared" si="8"/>
        <v>0</v>
      </c>
      <c r="S92" s="35"/>
      <c r="T92" s="40">
        <f t="shared" si="9"/>
        <v>0</v>
      </c>
    </row>
    <row r="93" spans="1:20" ht="26.25" hidden="1" customHeight="1">
      <c r="A93" s="5" t="s">
        <v>602</v>
      </c>
      <c r="B93" s="5" t="s">
        <v>717</v>
      </c>
      <c r="D93" s="26" t="s">
        <v>261</v>
      </c>
      <c r="E93" s="97">
        <v>0</v>
      </c>
      <c r="F93" s="97">
        <v>0</v>
      </c>
      <c r="G93" s="97">
        <v>0</v>
      </c>
      <c r="H93" s="97">
        <v>0</v>
      </c>
      <c r="I93" s="97">
        <v>0</v>
      </c>
      <c r="J93" s="97">
        <v>0</v>
      </c>
      <c r="K93" s="97">
        <v>0</v>
      </c>
      <c r="L93" s="97">
        <v>0</v>
      </c>
      <c r="M93" s="97">
        <v>0</v>
      </c>
      <c r="N93" s="97">
        <v>0</v>
      </c>
      <c r="O93" s="97">
        <v>0</v>
      </c>
      <c r="P93" s="97">
        <v>0</v>
      </c>
      <c r="Q93" s="103">
        <f t="shared" si="8"/>
        <v>0</v>
      </c>
      <c r="S93" s="35"/>
      <c r="T93" s="40">
        <f t="shared" si="9"/>
        <v>0</v>
      </c>
    </row>
    <row r="94" spans="1:20" ht="26.25" hidden="1" customHeight="1">
      <c r="A94" s="5" t="s">
        <v>604</v>
      </c>
      <c r="B94" s="5" t="s">
        <v>717</v>
      </c>
      <c r="D94" s="26" t="s">
        <v>263</v>
      </c>
      <c r="E94" s="97">
        <v>0</v>
      </c>
      <c r="F94" s="97">
        <v>0</v>
      </c>
      <c r="G94" s="97">
        <v>0</v>
      </c>
      <c r="H94" s="97">
        <v>0</v>
      </c>
      <c r="I94" s="97">
        <v>0</v>
      </c>
      <c r="J94" s="97">
        <v>0</v>
      </c>
      <c r="K94" s="97">
        <v>0</v>
      </c>
      <c r="L94" s="97">
        <v>0</v>
      </c>
      <c r="M94" s="97">
        <v>0</v>
      </c>
      <c r="N94" s="97">
        <v>0</v>
      </c>
      <c r="O94" s="97">
        <v>0</v>
      </c>
      <c r="P94" s="97">
        <v>0</v>
      </c>
      <c r="Q94" s="103">
        <f t="shared" si="8"/>
        <v>0</v>
      </c>
      <c r="S94" s="35"/>
      <c r="T94" s="40">
        <f t="shared" si="9"/>
        <v>0</v>
      </c>
    </row>
    <row r="95" spans="1:20" ht="26.25" hidden="1" customHeight="1">
      <c r="A95" s="5" t="s">
        <v>606</v>
      </c>
      <c r="B95" s="5" t="s">
        <v>717</v>
      </c>
      <c r="D95" s="26" t="s">
        <v>265</v>
      </c>
      <c r="E95" s="97">
        <v>0</v>
      </c>
      <c r="F95" s="97">
        <v>0</v>
      </c>
      <c r="G95" s="97">
        <v>0</v>
      </c>
      <c r="H95" s="97">
        <v>0</v>
      </c>
      <c r="I95" s="97">
        <v>0</v>
      </c>
      <c r="J95" s="97">
        <v>0</v>
      </c>
      <c r="K95" s="97">
        <v>0</v>
      </c>
      <c r="L95" s="97">
        <v>0</v>
      </c>
      <c r="M95" s="97">
        <v>0</v>
      </c>
      <c r="N95" s="97">
        <v>0</v>
      </c>
      <c r="O95" s="97">
        <v>0</v>
      </c>
      <c r="P95" s="97">
        <v>0</v>
      </c>
      <c r="Q95" s="103">
        <f t="shared" si="8"/>
        <v>0</v>
      </c>
      <c r="S95" s="35"/>
      <c r="T95" s="40">
        <f t="shared" si="9"/>
        <v>0</v>
      </c>
    </row>
    <row r="96" spans="1:20" ht="26.25" hidden="1" customHeight="1">
      <c r="A96" s="5" t="s">
        <v>608</v>
      </c>
      <c r="B96" s="5" t="s">
        <v>717</v>
      </c>
      <c r="D96" s="26" t="s">
        <v>267</v>
      </c>
      <c r="E96" s="97">
        <v>0</v>
      </c>
      <c r="F96" s="97">
        <v>0</v>
      </c>
      <c r="G96" s="97">
        <v>0</v>
      </c>
      <c r="H96" s="97">
        <v>0</v>
      </c>
      <c r="I96" s="97">
        <v>0</v>
      </c>
      <c r="J96" s="97">
        <v>0</v>
      </c>
      <c r="K96" s="97">
        <v>0</v>
      </c>
      <c r="L96" s="97">
        <v>0</v>
      </c>
      <c r="M96" s="97">
        <v>0</v>
      </c>
      <c r="N96" s="97">
        <v>0</v>
      </c>
      <c r="O96" s="97">
        <v>0</v>
      </c>
      <c r="P96" s="97">
        <v>0</v>
      </c>
      <c r="Q96" s="103">
        <f t="shared" si="8"/>
        <v>0</v>
      </c>
      <c r="S96" s="35"/>
      <c r="T96" s="40">
        <f t="shared" si="9"/>
        <v>0</v>
      </c>
    </row>
    <row r="97" spans="1:20" ht="26.25" hidden="1" customHeight="1">
      <c r="A97" s="5" t="s">
        <v>268</v>
      </c>
      <c r="B97" s="5" t="s">
        <v>717</v>
      </c>
      <c r="D97" s="26" t="s">
        <v>269</v>
      </c>
      <c r="E97" s="97">
        <v>0</v>
      </c>
      <c r="F97" s="97">
        <v>0</v>
      </c>
      <c r="G97" s="97">
        <v>0</v>
      </c>
      <c r="H97" s="97">
        <v>0</v>
      </c>
      <c r="I97" s="97">
        <v>0</v>
      </c>
      <c r="J97" s="97">
        <v>0</v>
      </c>
      <c r="K97" s="97">
        <v>0</v>
      </c>
      <c r="L97" s="97">
        <v>0</v>
      </c>
      <c r="M97" s="97">
        <v>0</v>
      </c>
      <c r="N97" s="97">
        <v>0</v>
      </c>
      <c r="O97" s="97">
        <v>0</v>
      </c>
      <c r="P97" s="97">
        <v>0</v>
      </c>
      <c r="Q97" s="103">
        <f t="shared" ref="Q97:Q99" si="10">SUM(E97:P97)</f>
        <v>0</v>
      </c>
      <c r="S97" s="35"/>
      <c r="T97" s="40">
        <f t="shared" si="9"/>
        <v>0</v>
      </c>
    </row>
    <row r="98" spans="1:20" ht="26.25" hidden="1" customHeight="1">
      <c r="A98" s="5" t="s">
        <v>270</v>
      </c>
      <c r="B98" s="5" t="s">
        <v>717</v>
      </c>
      <c r="D98" s="26" t="s">
        <v>271</v>
      </c>
      <c r="E98" s="97">
        <v>0</v>
      </c>
      <c r="F98" s="97">
        <v>0</v>
      </c>
      <c r="G98" s="97">
        <v>0</v>
      </c>
      <c r="H98" s="97">
        <v>0</v>
      </c>
      <c r="I98" s="97">
        <v>0</v>
      </c>
      <c r="J98" s="97">
        <v>0</v>
      </c>
      <c r="K98" s="97">
        <v>0</v>
      </c>
      <c r="L98" s="97">
        <v>0</v>
      </c>
      <c r="M98" s="97">
        <v>0</v>
      </c>
      <c r="N98" s="97">
        <v>0</v>
      </c>
      <c r="O98" s="97">
        <v>0</v>
      </c>
      <c r="P98" s="97">
        <v>0</v>
      </c>
      <c r="Q98" s="103">
        <f t="shared" si="10"/>
        <v>0</v>
      </c>
      <c r="S98" s="35"/>
      <c r="T98" s="40">
        <f>-IF(Q98-S98=0,0,(Q98-S98)/S98)</f>
        <v>0</v>
      </c>
    </row>
    <row r="99" spans="1:20" ht="26.25" hidden="1" customHeight="1">
      <c r="A99" s="5" t="s">
        <v>611</v>
      </c>
      <c r="B99" s="5" t="s">
        <v>717</v>
      </c>
      <c r="D99" s="26" t="s">
        <v>273</v>
      </c>
      <c r="E99" s="97">
        <v>0</v>
      </c>
      <c r="F99" s="97">
        <v>0</v>
      </c>
      <c r="G99" s="97">
        <v>0</v>
      </c>
      <c r="H99" s="97">
        <v>0</v>
      </c>
      <c r="I99" s="97">
        <v>0</v>
      </c>
      <c r="J99" s="97">
        <v>0</v>
      </c>
      <c r="K99" s="97">
        <v>0</v>
      </c>
      <c r="L99" s="97">
        <v>0</v>
      </c>
      <c r="M99" s="97">
        <v>0</v>
      </c>
      <c r="N99" s="97">
        <v>0</v>
      </c>
      <c r="O99" s="97">
        <v>0</v>
      </c>
      <c r="P99" s="97">
        <v>0</v>
      </c>
      <c r="Q99" s="103">
        <f t="shared" si="10"/>
        <v>0</v>
      </c>
      <c r="S99" s="35"/>
      <c r="T99" s="40">
        <f>-IF(Q99-S99=0,0,(Q99-S99)/S99)</f>
        <v>0</v>
      </c>
    </row>
    <row r="100" spans="1:20" ht="26.25" hidden="1" customHeight="1">
      <c r="D100" s="21" t="s">
        <v>774</v>
      </c>
      <c r="E100" s="98">
        <f>SUM(E32:E99)</f>
        <v>0</v>
      </c>
      <c r="F100" s="98">
        <f t="shared" ref="F100:Q100" si="11">SUM(F32:F99)</f>
        <v>0</v>
      </c>
      <c r="G100" s="98">
        <f t="shared" si="11"/>
        <v>0</v>
      </c>
      <c r="H100" s="98">
        <f t="shared" si="11"/>
        <v>0</v>
      </c>
      <c r="I100" s="98">
        <f t="shared" si="11"/>
        <v>0</v>
      </c>
      <c r="J100" s="98">
        <f t="shared" si="11"/>
        <v>0</v>
      </c>
      <c r="K100" s="98">
        <f t="shared" si="11"/>
        <v>0</v>
      </c>
      <c r="L100" s="98">
        <f t="shared" si="11"/>
        <v>0</v>
      </c>
      <c r="M100" s="98">
        <f t="shared" si="11"/>
        <v>0</v>
      </c>
      <c r="N100" s="98">
        <f t="shared" si="11"/>
        <v>0</v>
      </c>
      <c r="O100" s="98">
        <f t="shared" si="11"/>
        <v>0</v>
      </c>
      <c r="P100" s="98">
        <f t="shared" si="11"/>
        <v>0</v>
      </c>
      <c r="Q100" s="98">
        <f t="shared" si="11"/>
        <v>0</v>
      </c>
      <c r="R100" s="39">
        <f>Q100/$Q$18</f>
        <v>0</v>
      </c>
      <c r="S100" s="35"/>
      <c r="T100" s="40">
        <f t="shared" si="9"/>
        <v>0</v>
      </c>
    </row>
    <row r="101" spans="1:20" ht="26.25" customHeight="1">
      <c r="D101" s="21" t="s">
        <v>775</v>
      </c>
      <c r="E101" s="98">
        <f>E18-E27-E29-E100</f>
        <v>2400</v>
      </c>
      <c r="F101" s="98">
        <f t="shared" ref="F101:Q101" si="12">F18-F27-F29-F100</f>
        <v>2400</v>
      </c>
      <c r="G101" s="98">
        <f t="shared" si="12"/>
        <v>2400</v>
      </c>
      <c r="H101" s="98">
        <f t="shared" si="12"/>
        <v>2400</v>
      </c>
      <c r="I101" s="98">
        <f t="shared" si="12"/>
        <v>2400</v>
      </c>
      <c r="J101" s="98">
        <f t="shared" si="12"/>
        <v>2400</v>
      </c>
      <c r="K101" s="98">
        <f t="shared" si="12"/>
        <v>2400</v>
      </c>
      <c r="L101" s="98">
        <f t="shared" si="12"/>
        <v>2400</v>
      </c>
      <c r="M101" s="98">
        <f t="shared" si="12"/>
        <v>2400</v>
      </c>
      <c r="N101" s="98">
        <f t="shared" si="12"/>
        <v>2400</v>
      </c>
      <c r="O101" s="98">
        <f t="shared" si="12"/>
        <v>2400</v>
      </c>
      <c r="P101" s="98">
        <f t="shared" si="12"/>
        <v>2400</v>
      </c>
      <c r="Q101" s="98">
        <f t="shared" si="12"/>
        <v>28800</v>
      </c>
      <c r="R101" s="39">
        <f>Q101/$Q$18</f>
        <v>0.8</v>
      </c>
      <c r="S101" s="35"/>
      <c r="T101" s="40"/>
    </row>
    <row r="102" spans="1:20" ht="26.25" customHeight="1">
      <c r="A102" s="5" t="s">
        <v>776</v>
      </c>
      <c r="B102" s="5" t="s">
        <v>717</v>
      </c>
      <c r="D102" s="21" t="s">
        <v>351</v>
      </c>
      <c r="E102" s="97"/>
      <c r="F102" s="97"/>
      <c r="G102" s="97"/>
      <c r="H102" s="97"/>
      <c r="I102" s="97"/>
      <c r="J102" s="97"/>
      <c r="K102" s="97"/>
      <c r="L102" s="97"/>
      <c r="M102" s="97"/>
      <c r="N102" s="97"/>
      <c r="O102" s="97"/>
      <c r="P102" s="97"/>
      <c r="Q102" s="97"/>
      <c r="S102" s="35"/>
      <c r="T102" s="40">
        <f t="shared" si="9"/>
        <v>0</v>
      </c>
    </row>
    <row r="103" spans="1:20" ht="26.25" customHeight="1">
      <c r="E103" s="105">
        <f>E101/E18</f>
        <v>0.8</v>
      </c>
      <c r="F103" s="105">
        <f t="shared" ref="F103:Q103" si="13">F101/F18</f>
        <v>0.8</v>
      </c>
      <c r="G103" s="105">
        <f t="shared" si="13"/>
        <v>0.8</v>
      </c>
      <c r="H103" s="105">
        <f t="shared" si="13"/>
        <v>0.8</v>
      </c>
      <c r="I103" s="105">
        <f t="shared" si="13"/>
        <v>0.8</v>
      </c>
      <c r="J103" s="105">
        <f t="shared" si="13"/>
        <v>0.8</v>
      </c>
      <c r="K103" s="105">
        <f t="shared" si="13"/>
        <v>0.8</v>
      </c>
      <c r="L103" s="105">
        <f t="shared" si="13"/>
        <v>0.8</v>
      </c>
      <c r="M103" s="105">
        <f t="shared" si="13"/>
        <v>0.8</v>
      </c>
      <c r="N103" s="105">
        <f t="shared" si="13"/>
        <v>0.8</v>
      </c>
      <c r="O103" s="105">
        <f t="shared" si="13"/>
        <v>0.8</v>
      </c>
      <c r="P103" s="105">
        <f t="shared" si="13"/>
        <v>0.8</v>
      </c>
      <c r="Q103" s="105">
        <f t="shared" si="13"/>
        <v>0.8</v>
      </c>
      <c r="S103" s="115"/>
      <c r="T103" s="40" t="e">
        <f t="shared" ref="T103:T137" si="14">IF(Q103-S103=0,0,(Q103-S103)/S103)</f>
        <v>#DIV/0!</v>
      </c>
    </row>
    <row r="104" spans="1:20" ht="26.25" hidden="1" customHeight="1">
      <c r="D104" s="21" t="s">
        <v>777</v>
      </c>
      <c r="E104" s="72"/>
      <c r="F104" s="106"/>
      <c r="G104" s="72"/>
      <c r="H104" s="107"/>
      <c r="I104" s="72"/>
      <c r="J104" s="106"/>
      <c r="K104" s="72"/>
      <c r="L104" s="109"/>
      <c r="M104" s="72"/>
      <c r="N104" s="106"/>
      <c r="O104" s="110"/>
      <c r="P104" s="110"/>
      <c r="Q104" s="110"/>
      <c r="S104" s="35">
        <f>'[5]Guest Laundry-molly'!$Q104</f>
        <v>0</v>
      </c>
      <c r="T104" s="40">
        <f t="shared" si="14"/>
        <v>0</v>
      </c>
    </row>
    <row r="105" spans="1:20" ht="26.25" hidden="1" customHeight="1">
      <c r="D105" s="21" t="s">
        <v>778</v>
      </c>
      <c r="E105" s="72"/>
      <c r="F105" s="106"/>
      <c r="G105" s="72"/>
      <c r="H105" s="107"/>
      <c r="I105" s="72"/>
      <c r="J105" s="106"/>
      <c r="K105" s="72"/>
      <c r="L105" s="109"/>
      <c r="M105" s="72"/>
      <c r="N105" s="106"/>
      <c r="O105" s="110"/>
      <c r="P105" s="110"/>
      <c r="Q105" s="110"/>
      <c r="S105" s="35">
        <f>'[5]Guest Laundry-molly'!$Q105</f>
        <v>0</v>
      </c>
      <c r="T105" s="40">
        <f t="shared" si="14"/>
        <v>0</v>
      </c>
    </row>
    <row r="106" spans="1:20" ht="26.25" hidden="1" customHeight="1">
      <c r="A106" s="5" t="s">
        <v>295</v>
      </c>
      <c r="B106" s="5" t="s">
        <v>717</v>
      </c>
      <c r="D106" s="26" t="s">
        <v>779</v>
      </c>
      <c r="E106" s="97">
        <v>0</v>
      </c>
      <c r="F106" s="97">
        <v>0</v>
      </c>
      <c r="G106" s="97">
        <v>0</v>
      </c>
      <c r="H106" s="97">
        <v>0</v>
      </c>
      <c r="I106" s="97">
        <v>0</v>
      </c>
      <c r="J106" s="97">
        <v>0</v>
      </c>
      <c r="K106" s="97">
        <v>0</v>
      </c>
      <c r="L106" s="97">
        <v>0</v>
      </c>
      <c r="M106" s="97">
        <v>0</v>
      </c>
      <c r="N106" s="97">
        <v>0</v>
      </c>
      <c r="O106" s="97">
        <v>0</v>
      </c>
      <c r="P106" s="97">
        <v>0</v>
      </c>
      <c r="Q106" s="103">
        <f>SUM(E106:P106)</f>
        <v>0</v>
      </c>
      <c r="S106" s="35">
        <f>'[5]Guest Laundry-molly'!$Q106</f>
        <v>0</v>
      </c>
      <c r="T106" s="40">
        <f t="shared" si="14"/>
        <v>0</v>
      </c>
    </row>
    <row r="107" spans="1:20" ht="26.25" hidden="1" customHeight="1">
      <c r="A107" s="5" t="s">
        <v>298</v>
      </c>
      <c r="B107" s="5" t="s">
        <v>717</v>
      </c>
      <c r="D107" s="26" t="s">
        <v>780</v>
      </c>
      <c r="E107" s="108">
        <v>0</v>
      </c>
      <c r="F107" s="108">
        <v>0</v>
      </c>
      <c r="G107" s="108">
        <v>0</v>
      </c>
      <c r="H107" s="108">
        <v>0</v>
      </c>
      <c r="I107" s="108">
        <v>0</v>
      </c>
      <c r="J107" s="108">
        <v>0</v>
      </c>
      <c r="K107" s="108">
        <v>0</v>
      </c>
      <c r="L107" s="108">
        <v>0</v>
      </c>
      <c r="M107" s="108">
        <v>0</v>
      </c>
      <c r="N107" s="108">
        <v>0</v>
      </c>
      <c r="O107" s="108">
        <v>0</v>
      </c>
      <c r="P107" s="108">
        <v>0</v>
      </c>
      <c r="Q107" s="111">
        <f>SUM(E107:P107)</f>
        <v>0</v>
      </c>
      <c r="S107" s="35">
        <f>'[5]Guest Laundry-molly'!$Q107</f>
        <v>0</v>
      </c>
      <c r="T107" s="40">
        <f t="shared" si="14"/>
        <v>0</v>
      </c>
    </row>
    <row r="108" spans="1:20" ht="26.25" hidden="1" customHeight="1">
      <c r="D108" s="21" t="s">
        <v>781</v>
      </c>
      <c r="E108" s="72">
        <f>SUM(E106:E107)</f>
        <v>0</v>
      </c>
      <c r="F108" s="72">
        <f t="shared" ref="F108:Q108" si="15">SUM(F106:F107)</f>
        <v>0</v>
      </c>
      <c r="G108" s="72">
        <f t="shared" si="15"/>
        <v>0</v>
      </c>
      <c r="H108" s="72">
        <f t="shared" si="15"/>
        <v>0</v>
      </c>
      <c r="I108" s="72">
        <f t="shared" si="15"/>
        <v>0</v>
      </c>
      <c r="J108" s="72">
        <f t="shared" si="15"/>
        <v>0</v>
      </c>
      <c r="K108" s="72">
        <f t="shared" si="15"/>
        <v>0</v>
      </c>
      <c r="L108" s="72">
        <f t="shared" si="15"/>
        <v>0</v>
      </c>
      <c r="M108" s="72">
        <f t="shared" si="15"/>
        <v>0</v>
      </c>
      <c r="N108" s="72">
        <f t="shared" si="15"/>
        <v>0</v>
      </c>
      <c r="O108" s="72">
        <f t="shared" si="15"/>
        <v>0</v>
      </c>
      <c r="P108" s="72">
        <f t="shared" si="15"/>
        <v>0</v>
      </c>
      <c r="Q108" s="72">
        <f t="shared" si="15"/>
        <v>0</v>
      </c>
      <c r="S108" s="35">
        <f>'[5]Guest Laundry-molly'!$Q108</f>
        <v>0</v>
      </c>
      <c r="T108" s="40">
        <f t="shared" si="14"/>
        <v>0</v>
      </c>
    </row>
    <row r="109" spans="1:20" ht="26.25" hidden="1" customHeight="1">
      <c r="E109" s="72"/>
      <c r="F109" s="106"/>
      <c r="G109" s="72"/>
      <c r="H109" s="107"/>
      <c r="I109" s="72"/>
      <c r="J109" s="106"/>
      <c r="K109" s="72"/>
      <c r="L109" s="109"/>
      <c r="M109" s="72"/>
      <c r="N109" s="106"/>
      <c r="O109" s="110"/>
      <c r="P109" s="110"/>
      <c r="Q109" s="110"/>
      <c r="S109" s="35">
        <f>'[5]Guest Laundry-molly'!$Q109</f>
        <v>0</v>
      </c>
      <c r="T109" s="40">
        <f t="shared" si="14"/>
        <v>0</v>
      </c>
    </row>
    <row r="110" spans="1:20" ht="26.25" hidden="1" customHeight="1">
      <c r="A110" s="5" t="s">
        <v>619</v>
      </c>
      <c r="B110" s="5" t="s">
        <v>717</v>
      </c>
      <c r="D110" s="26" t="s">
        <v>782</v>
      </c>
      <c r="E110" s="97">
        <v>0</v>
      </c>
      <c r="F110" s="97">
        <v>0</v>
      </c>
      <c r="G110" s="97">
        <v>0</v>
      </c>
      <c r="H110" s="97">
        <v>0</v>
      </c>
      <c r="I110" s="97">
        <v>0</v>
      </c>
      <c r="J110" s="97">
        <v>0</v>
      </c>
      <c r="K110" s="97">
        <v>0</v>
      </c>
      <c r="L110" s="97">
        <v>0</v>
      </c>
      <c r="M110" s="97">
        <v>0</v>
      </c>
      <c r="N110" s="97">
        <v>0</v>
      </c>
      <c r="O110" s="97">
        <v>0</v>
      </c>
      <c r="P110" s="97">
        <v>0</v>
      </c>
      <c r="Q110" s="103">
        <f>SUM(E110:P110)</f>
        <v>0</v>
      </c>
      <c r="S110" s="35">
        <f>'[5]Guest Laundry-molly'!$Q110</f>
        <v>0</v>
      </c>
      <c r="T110" s="40">
        <f t="shared" si="14"/>
        <v>0</v>
      </c>
    </row>
    <row r="111" spans="1:20" ht="26.25" hidden="1" customHeight="1">
      <c r="A111" s="5" t="s">
        <v>308</v>
      </c>
      <c r="B111" s="5" t="s">
        <v>717</v>
      </c>
      <c r="D111" s="26" t="s">
        <v>783</v>
      </c>
      <c r="E111" s="97">
        <v>0</v>
      </c>
      <c r="F111" s="97">
        <v>0</v>
      </c>
      <c r="G111" s="97">
        <v>0</v>
      </c>
      <c r="H111" s="97">
        <v>0</v>
      </c>
      <c r="I111" s="97">
        <v>0</v>
      </c>
      <c r="J111" s="97">
        <v>0</v>
      </c>
      <c r="K111" s="97">
        <v>0</v>
      </c>
      <c r="L111" s="97">
        <v>0</v>
      </c>
      <c r="M111" s="97">
        <v>0</v>
      </c>
      <c r="N111" s="97">
        <v>0</v>
      </c>
      <c r="O111" s="97">
        <v>0</v>
      </c>
      <c r="P111" s="97">
        <v>0</v>
      </c>
      <c r="Q111" s="103">
        <f t="shared" ref="Q111:Q114" si="16">SUM(E111:P111)</f>
        <v>0</v>
      </c>
      <c r="S111" s="35">
        <f>'[5]Guest Laundry-molly'!$Q111</f>
        <v>0</v>
      </c>
      <c r="T111" s="40">
        <f t="shared" si="14"/>
        <v>0</v>
      </c>
    </row>
    <row r="112" spans="1:20" ht="26.25" hidden="1" customHeight="1">
      <c r="A112" s="5" t="s">
        <v>620</v>
      </c>
      <c r="B112" s="5" t="s">
        <v>717</v>
      </c>
      <c r="D112" s="26" t="s">
        <v>784</v>
      </c>
      <c r="E112" s="97">
        <v>0</v>
      </c>
      <c r="F112" s="97">
        <v>0</v>
      </c>
      <c r="G112" s="97">
        <v>0</v>
      </c>
      <c r="H112" s="97">
        <v>0</v>
      </c>
      <c r="I112" s="97">
        <v>0</v>
      </c>
      <c r="J112" s="97">
        <v>0</v>
      </c>
      <c r="K112" s="97">
        <v>0</v>
      </c>
      <c r="L112" s="97">
        <v>0</v>
      </c>
      <c r="M112" s="97">
        <v>0</v>
      </c>
      <c r="N112" s="97">
        <v>0</v>
      </c>
      <c r="O112" s="97">
        <v>0</v>
      </c>
      <c r="P112" s="97">
        <v>0</v>
      </c>
      <c r="Q112" s="103">
        <f t="shared" si="16"/>
        <v>0</v>
      </c>
      <c r="S112" s="35">
        <f>'[5]Guest Laundry-molly'!$Q112</f>
        <v>0</v>
      </c>
      <c r="T112" s="40">
        <f t="shared" si="14"/>
        <v>0</v>
      </c>
    </row>
    <row r="113" spans="1:20" ht="26.25" hidden="1" customHeight="1">
      <c r="A113" s="5" t="s">
        <v>621</v>
      </c>
      <c r="B113" s="5" t="s">
        <v>717</v>
      </c>
      <c r="D113" s="26" t="s">
        <v>785</v>
      </c>
      <c r="E113" s="97">
        <v>0</v>
      </c>
      <c r="F113" s="97">
        <v>0</v>
      </c>
      <c r="G113" s="97">
        <v>0</v>
      </c>
      <c r="H113" s="97">
        <v>0</v>
      </c>
      <c r="I113" s="97">
        <v>0</v>
      </c>
      <c r="J113" s="97">
        <v>0</v>
      </c>
      <c r="K113" s="97">
        <v>0</v>
      </c>
      <c r="L113" s="97">
        <v>0</v>
      </c>
      <c r="M113" s="97">
        <v>0</v>
      </c>
      <c r="N113" s="97">
        <v>0</v>
      </c>
      <c r="O113" s="97">
        <v>0</v>
      </c>
      <c r="P113" s="97">
        <v>0</v>
      </c>
      <c r="Q113" s="103">
        <f t="shared" si="16"/>
        <v>0</v>
      </c>
      <c r="S113" s="35">
        <f>'[5]Guest Laundry-molly'!$Q113</f>
        <v>0</v>
      </c>
      <c r="T113" s="40">
        <f t="shared" si="14"/>
        <v>0</v>
      </c>
    </row>
    <row r="114" spans="1:20" ht="26.25" hidden="1" customHeight="1">
      <c r="A114" s="5" t="s">
        <v>622</v>
      </c>
      <c r="B114" s="5" t="s">
        <v>717</v>
      </c>
      <c r="D114" s="26" t="s">
        <v>786</v>
      </c>
      <c r="E114" s="108">
        <v>0</v>
      </c>
      <c r="F114" s="108">
        <v>0</v>
      </c>
      <c r="G114" s="108">
        <v>0</v>
      </c>
      <c r="H114" s="108">
        <v>0</v>
      </c>
      <c r="I114" s="108">
        <v>0</v>
      </c>
      <c r="J114" s="108">
        <v>0</v>
      </c>
      <c r="K114" s="108">
        <v>0</v>
      </c>
      <c r="L114" s="108">
        <v>0</v>
      </c>
      <c r="M114" s="108">
        <v>0</v>
      </c>
      <c r="N114" s="108">
        <v>0</v>
      </c>
      <c r="O114" s="108">
        <v>0</v>
      </c>
      <c r="P114" s="108">
        <v>0</v>
      </c>
      <c r="Q114" s="111">
        <f t="shared" si="16"/>
        <v>0</v>
      </c>
      <c r="S114" s="35">
        <f>'[5]Guest Laundry-molly'!$Q114</f>
        <v>0</v>
      </c>
      <c r="T114" s="40">
        <f t="shared" si="14"/>
        <v>0</v>
      </c>
    </row>
    <row r="115" spans="1:20" ht="26.25" hidden="1" customHeight="1">
      <c r="D115" s="21" t="s">
        <v>787</v>
      </c>
      <c r="E115" s="72">
        <f>SUM(E110:E114)</f>
        <v>0</v>
      </c>
      <c r="F115" s="72">
        <f t="shared" ref="F115:Q115" si="17">SUM(F110:F114)</f>
        <v>0</v>
      </c>
      <c r="G115" s="72">
        <f t="shared" si="17"/>
        <v>0</v>
      </c>
      <c r="H115" s="72">
        <f t="shared" si="17"/>
        <v>0</v>
      </c>
      <c r="I115" s="72">
        <f t="shared" si="17"/>
        <v>0</v>
      </c>
      <c r="J115" s="72">
        <f t="shared" si="17"/>
        <v>0</v>
      </c>
      <c r="K115" s="72">
        <f t="shared" si="17"/>
        <v>0</v>
      </c>
      <c r="L115" s="72">
        <f t="shared" si="17"/>
        <v>0</v>
      </c>
      <c r="M115" s="72">
        <f t="shared" si="17"/>
        <v>0</v>
      </c>
      <c r="N115" s="72">
        <f t="shared" si="17"/>
        <v>0</v>
      </c>
      <c r="O115" s="72">
        <f t="shared" si="17"/>
        <v>0</v>
      </c>
      <c r="P115" s="72">
        <f t="shared" si="17"/>
        <v>0</v>
      </c>
      <c r="Q115" s="72">
        <f t="shared" si="17"/>
        <v>0</v>
      </c>
      <c r="S115" s="35">
        <f>'[5]Guest Laundry-molly'!$Q115</f>
        <v>0</v>
      </c>
      <c r="T115" s="40">
        <f t="shared" si="14"/>
        <v>0</v>
      </c>
    </row>
    <row r="116" spans="1:20" ht="26.25" hidden="1" customHeight="1">
      <c r="E116" s="72"/>
      <c r="F116" s="106"/>
      <c r="G116" s="72"/>
      <c r="H116" s="107"/>
      <c r="I116" s="72"/>
      <c r="J116" s="106"/>
      <c r="K116" s="72"/>
      <c r="L116" s="109"/>
      <c r="M116" s="72"/>
      <c r="N116" s="106"/>
      <c r="O116" s="110"/>
      <c r="P116" s="110"/>
      <c r="Q116" s="110"/>
      <c r="S116" s="35">
        <f>'[5]Guest Laundry-molly'!$Q116</f>
        <v>0</v>
      </c>
      <c r="T116" s="40">
        <f t="shared" si="14"/>
        <v>0</v>
      </c>
    </row>
    <row r="117" spans="1:20" ht="26.25" hidden="1" customHeight="1">
      <c r="A117" s="5" t="s">
        <v>625</v>
      </c>
      <c r="B117" s="5" t="s">
        <v>717</v>
      </c>
      <c r="D117" s="26" t="s">
        <v>788</v>
      </c>
      <c r="E117" s="97">
        <v>0</v>
      </c>
      <c r="F117" s="97">
        <v>0</v>
      </c>
      <c r="G117" s="97">
        <v>0</v>
      </c>
      <c r="H117" s="97">
        <v>0</v>
      </c>
      <c r="I117" s="97">
        <v>0</v>
      </c>
      <c r="J117" s="97">
        <v>0</v>
      </c>
      <c r="K117" s="97">
        <v>0</v>
      </c>
      <c r="L117" s="97">
        <v>0</v>
      </c>
      <c r="M117" s="97">
        <v>0</v>
      </c>
      <c r="N117" s="97">
        <v>0</v>
      </c>
      <c r="O117" s="97">
        <v>0</v>
      </c>
      <c r="P117" s="97">
        <v>0</v>
      </c>
      <c r="Q117" s="103">
        <f>SUM(E117:P117)</f>
        <v>0</v>
      </c>
      <c r="S117" s="35">
        <f>'[5]Guest Laundry-molly'!$Q117</f>
        <v>0</v>
      </c>
      <c r="T117" s="40">
        <f t="shared" si="14"/>
        <v>0</v>
      </c>
    </row>
    <row r="118" spans="1:20" ht="26.25" hidden="1" customHeight="1">
      <c r="A118" s="5" t="s">
        <v>626</v>
      </c>
      <c r="B118" s="5" t="s">
        <v>717</v>
      </c>
      <c r="D118" s="26" t="s">
        <v>789</v>
      </c>
      <c r="E118" s="97">
        <v>0</v>
      </c>
      <c r="F118" s="97">
        <v>0</v>
      </c>
      <c r="G118" s="97">
        <v>0</v>
      </c>
      <c r="H118" s="97">
        <v>0</v>
      </c>
      <c r="I118" s="97">
        <v>0</v>
      </c>
      <c r="J118" s="97">
        <v>0</v>
      </c>
      <c r="K118" s="97">
        <v>0</v>
      </c>
      <c r="L118" s="97">
        <v>0</v>
      </c>
      <c r="M118" s="97">
        <v>0</v>
      </c>
      <c r="N118" s="97">
        <v>0</v>
      </c>
      <c r="O118" s="97">
        <v>0</v>
      </c>
      <c r="P118" s="97">
        <v>0</v>
      </c>
      <c r="Q118" s="103">
        <f t="shared" ref="Q118:Q124" si="18">SUM(E118:P118)</f>
        <v>0</v>
      </c>
      <c r="S118" s="35">
        <f>'[5]Guest Laundry-molly'!$Q118</f>
        <v>0</v>
      </c>
      <c r="T118" s="40">
        <f t="shared" si="14"/>
        <v>0</v>
      </c>
    </row>
    <row r="119" spans="1:20" ht="26.25" hidden="1" customHeight="1">
      <c r="A119" s="5" t="s">
        <v>627</v>
      </c>
      <c r="B119" s="5" t="s">
        <v>717</v>
      </c>
      <c r="D119" s="26" t="s">
        <v>790</v>
      </c>
      <c r="E119" s="97">
        <v>0</v>
      </c>
      <c r="F119" s="97">
        <v>0</v>
      </c>
      <c r="G119" s="97">
        <v>0</v>
      </c>
      <c r="H119" s="97">
        <v>0</v>
      </c>
      <c r="I119" s="97">
        <v>0</v>
      </c>
      <c r="J119" s="97">
        <v>0</v>
      </c>
      <c r="K119" s="97">
        <v>0</v>
      </c>
      <c r="L119" s="97">
        <v>0</v>
      </c>
      <c r="M119" s="97">
        <v>0</v>
      </c>
      <c r="N119" s="97">
        <v>0</v>
      </c>
      <c r="O119" s="97">
        <v>0</v>
      </c>
      <c r="P119" s="97">
        <v>0</v>
      </c>
      <c r="Q119" s="103">
        <f t="shared" si="18"/>
        <v>0</v>
      </c>
      <c r="S119" s="35">
        <f>'[5]Guest Laundry-molly'!$Q119</f>
        <v>0</v>
      </c>
      <c r="T119" s="40">
        <f t="shared" si="14"/>
        <v>0</v>
      </c>
    </row>
    <row r="120" spans="1:20" ht="26.25" hidden="1" customHeight="1">
      <c r="A120" s="5" t="s">
        <v>628</v>
      </c>
      <c r="B120" s="5" t="s">
        <v>717</v>
      </c>
      <c r="D120" s="26" t="s">
        <v>791</v>
      </c>
      <c r="E120" s="97">
        <v>0</v>
      </c>
      <c r="F120" s="97">
        <v>0</v>
      </c>
      <c r="G120" s="97">
        <v>0</v>
      </c>
      <c r="H120" s="97">
        <v>0</v>
      </c>
      <c r="I120" s="97">
        <v>0</v>
      </c>
      <c r="J120" s="97">
        <v>0</v>
      </c>
      <c r="K120" s="97">
        <v>0</v>
      </c>
      <c r="L120" s="97">
        <v>0</v>
      </c>
      <c r="M120" s="97">
        <v>0</v>
      </c>
      <c r="N120" s="97">
        <v>0</v>
      </c>
      <c r="O120" s="97">
        <v>0</v>
      </c>
      <c r="P120" s="97">
        <v>0</v>
      </c>
      <c r="Q120" s="103">
        <f t="shared" si="18"/>
        <v>0</v>
      </c>
      <c r="S120" s="35">
        <f>'[5]Guest Laundry-molly'!$Q120</f>
        <v>0</v>
      </c>
      <c r="T120" s="40">
        <f t="shared" si="14"/>
        <v>0</v>
      </c>
    </row>
    <row r="121" spans="1:20" ht="26.25" hidden="1" customHeight="1">
      <c r="A121" s="5" t="s">
        <v>629</v>
      </c>
      <c r="B121" s="5" t="s">
        <v>717</v>
      </c>
      <c r="D121" s="26" t="s">
        <v>792</v>
      </c>
      <c r="E121" s="97">
        <v>0</v>
      </c>
      <c r="F121" s="97">
        <v>0</v>
      </c>
      <c r="G121" s="97">
        <v>0</v>
      </c>
      <c r="H121" s="97">
        <v>0</v>
      </c>
      <c r="I121" s="97">
        <v>0</v>
      </c>
      <c r="J121" s="97">
        <v>0</v>
      </c>
      <c r="K121" s="97">
        <v>0</v>
      </c>
      <c r="L121" s="97">
        <v>0</v>
      </c>
      <c r="M121" s="97">
        <v>0</v>
      </c>
      <c r="N121" s="97">
        <v>0</v>
      </c>
      <c r="O121" s="97">
        <v>0</v>
      </c>
      <c r="P121" s="97">
        <v>0</v>
      </c>
      <c r="Q121" s="103">
        <f t="shared" si="18"/>
        <v>0</v>
      </c>
      <c r="S121" s="35">
        <f>'[5]Guest Laundry-molly'!$Q121</f>
        <v>0</v>
      </c>
      <c r="T121" s="40">
        <f t="shared" si="14"/>
        <v>0</v>
      </c>
    </row>
    <row r="122" spans="1:20" ht="26.25" hidden="1" customHeight="1">
      <c r="A122" s="5" t="s">
        <v>630</v>
      </c>
      <c r="B122" s="5" t="s">
        <v>717</v>
      </c>
      <c r="D122" s="26" t="s">
        <v>793</v>
      </c>
      <c r="E122" s="97">
        <v>0</v>
      </c>
      <c r="F122" s="97">
        <v>0</v>
      </c>
      <c r="G122" s="97">
        <v>0</v>
      </c>
      <c r="H122" s="97">
        <v>0</v>
      </c>
      <c r="I122" s="97">
        <v>0</v>
      </c>
      <c r="J122" s="97">
        <v>0</v>
      </c>
      <c r="K122" s="97">
        <v>0</v>
      </c>
      <c r="L122" s="97">
        <v>0</v>
      </c>
      <c r="M122" s="97">
        <v>0</v>
      </c>
      <c r="N122" s="97">
        <v>0</v>
      </c>
      <c r="O122" s="97">
        <v>0</v>
      </c>
      <c r="P122" s="97">
        <v>0</v>
      </c>
      <c r="Q122" s="103">
        <f t="shared" si="18"/>
        <v>0</v>
      </c>
      <c r="S122" s="35">
        <f>'[5]Guest Laundry-molly'!$Q122</f>
        <v>0</v>
      </c>
      <c r="T122" s="40">
        <f t="shared" si="14"/>
        <v>0</v>
      </c>
    </row>
    <row r="123" spans="1:20" ht="26.25" hidden="1" customHeight="1">
      <c r="A123" s="5" t="s">
        <v>631</v>
      </c>
      <c r="B123" s="5" t="s">
        <v>717</v>
      </c>
      <c r="D123" s="26" t="s">
        <v>794</v>
      </c>
      <c r="E123" s="97">
        <v>0</v>
      </c>
      <c r="F123" s="97">
        <v>0</v>
      </c>
      <c r="G123" s="97">
        <v>0</v>
      </c>
      <c r="H123" s="97">
        <v>0</v>
      </c>
      <c r="I123" s="97">
        <v>0</v>
      </c>
      <c r="J123" s="97">
        <v>0</v>
      </c>
      <c r="K123" s="97">
        <v>0</v>
      </c>
      <c r="L123" s="97">
        <v>0</v>
      </c>
      <c r="M123" s="97">
        <v>0</v>
      </c>
      <c r="N123" s="97">
        <v>0</v>
      </c>
      <c r="O123" s="97">
        <v>0</v>
      </c>
      <c r="P123" s="97">
        <v>0</v>
      </c>
      <c r="Q123" s="103">
        <f t="shared" si="18"/>
        <v>0</v>
      </c>
      <c r="S123" s="35">
        <f>'[5]Guest Laundry-molly'!$Q123</f>
        <v>0</v>
      </c>
      <c r="T123" s="40">
        <f t="shared" si="14"/>
        <v>0</v>
      </c>
    </row>
    <row r="124" spans="1:20" ht="26.25" hidden="1" customHeight="1">
      <c r="A124" s="5" t="s">
        <v>632</v>
      </c>
      <c r="B124" s="5" t="s">
        <v>717</v>
      </c>
      <c r="D124" s="26" t="s">
        <v>795</v>
      </c>
      <c r="E124" s="108">
        <v>0</v>
      </c>
      <c r="F124" s="108">
        <v>0</v>
      </c>
      <c r="G124" s="108">
        <v>0</v>
      </c>
      <c r="H124" s="108">
        <v>0</v>
      </c>
      <c r="I124" s="108">
        <v>0</v>
      </c>
      <c r="J124" s="108">
        <v>0</v>
      </c>
      <c r="K124" s="108">
        <v>0</v>
      </c>
      <c r="L124" s="108">
        <v>0</v>
      </c>
      <c r="M124" s="108">
        <v>0</v>
      </c>
      <c r="N124" s="108">
        <v>0</v>
      </c>
      <c r="O124" s="108">
        <v>0</v>
      </c>
      <c r="P124" s="108">
        <v>0</v>
      </c>
      <c r="Q124" s="111">
        <f t="shared" si="18"/>
        <v>0</v>
      </c>
      <c r="S124" s="35">
        <f>'[5]Guest Laundry-molly'!$Q124</f>
        <v>0</v>
      </c>
      <c r="T124" s="40">
        <f t="shared" si="14"/>
        <v>0</v>
      </c>
    </row>
    <row r="125" spans="1:20" ht="26.25" hidden="1" customHeight="1">
      <c r="D125" s="21" t="s">
        <v>796</v>
      </c>
      <c r="E125" s="97">
        <f>SUM(E117:E124)</f>
        <v>0</v>
      </c>
      <c r="F125" s="97">
        <f t="shared" ref="F125:Q125" si="19">SUM(F117:F124)</f>
        <v>0</v>
      </c>
      <c r="G125" s="97">
        <f t="shared" si="19"/>
        <v>0</v>
      </c>
      <c r="H125" s="97">
        <f t="shared" si="19"/>
        <v>0</v>
      </c>
      <c r="I125" s="97">
        <f t="shared" si="19"/>
        <v>0</v>
      </c>
      <c r="J125" s="97">
        <f t="shared" si="19"/>
        <v>0</v>
      </c>
      <c r="K125" s="97">
        <f t="shared" si="19"/>
        <v>0</v>
      </c>
      <c r="L125" s="97">
        <f t="shared" si="19"/>
        <v>0</v>
      </c>
      <c r="M125" s="97">
        <f t="shared" si="19"/>
        <v>0</v>
      </c>
      <c r="N125" s="97">
        <f t="shared" si="19"/>
        <v>0</v>
      </c>
      <c r="O125" s="97">
        <f t="shared" si="19"/>
        <v>0</v>
      </c>
      <c r="P125" s="97">
        <f t="shared" si="19"/>
        <v>0</v>
      </c>
      <c r="Q125" s="97">
        <f t="shared" si="19"/>
        <v>0</v>
      </c>
      <c r="S125" s="35">
        <f>'[5]Guest Laundry-molly'!$Q125</f>
        <v>0</v>
      </c>
      <c r="T125" s="40">
        <f t="shared" si="14"/>
        <v>0</v>
      </c>
    </row>
    <row r="126" spans="1:20" ht="26.25" hidden="1" customHeight="1">
      <c r="E126" s="72"/>
      <c r="F126" s="106"/>
      <c r="G126" s="72"/>
      <c r="H126" s="107"/>
      <c r="I126" s="72"/>
      <c r="J126" s="106"/>
      <c r="K126" s="72"/>
      <c r="L126" s="109"/>
      <c r="M126" s="72"/>
      <c r="N126" s="106"/>
      <c r="O126" s="110"/>
      <c r="P126" s="110"/>
      <c r="Q126" s="110"/>
      <c r="S126" s="35">
        <f>'[5]Guest Laundry-molly'!$Q126</f>
        <v>0</v>
      </c>
      <c r="T126" s="40">
        <f t="shared" si="14"/>
        <v>0</v>
      </c>
    </row>
    <row r="127" spans="1:20" ht="26.25" hidden="1" customHeight="1">
      <c r="A127" s="5" t="s">
        <v>633</v>
      </c>
      <c r="B127" s="5" t="s">
        <v>717</v>
      </c>
      <c r="D127" s="26" t="s">
        <v>797</v>
      </c>
      <c r="E127" s="97">
        <v>0</v>
      </c>
      <c r="F127" s="97">
        <v>0</v>
      </c>
      <c r="G127" s="97">
        <v>0</v>
      </c>
      <c r="H127" s="97">
        <v>0</v>
      </c>
      <c r="I127" s="97">
        <v>0</v>
      </c>
      <c r="J127" s="97">
        <v>0</v>
      </c>
      <c r="K127" s="97">
        <v>0</v>
      </c>
      <c r="L127" s="97">
        <v>0</v>
      </c>
      <c r="M127" s="97">
        <v>0</v>
      </c>
      <c r="N127" s="97">
        <v>0</v>
      </c>
      <c r="O127" s="97">
        <v>0</v>
      </c>
      <c r="P127" s="97">
        <v>0</v>
      </c>
      <c r="Q127" s="103">
        <f t="shared" ref="Q127:Q133" si="20">SUM(E127:P127)</f>
        <v>0</v>
      </c>
      <c r="S127" s="35">
        <f>'[5]Guest Laundry-molly'!$Q127</f>
        <v>0</v>
      </c>
      <c r="T127" s="40">
        <f t="shared" si="14"/>
        <v>0</v>
      </c>
    </row>
    <row r="128" spans="1:20" ht="26.25" hidden="1" customHeight="1">
      <c r="A128" s="5" t="s">
        <v>634</v>
      </c>
      <c r="B128" s="5" t="s">
        <v>717</v>
      </c>
      <c r="D128" s="26" t="s">
        <v>798</v>
      </c>
      <c r="E128" s="97">
        <v>0</v>
      </c>
      <c r="F128" s="97">
        <v>0</v>
      </c>
      <c r="G128" s="97">
        <v>0</v>
      </c>
      <c r="H128" s="97">
        <v>0</v>
      </c>
      <c r="I128" s="97">
        <v>0</v>
      </c>
      <c r="J128" s="97">
        <v>0</v>
      </c>
      <c r="K128" s="97">
        <v>0</v>
      </c>
      <c r="L128" s="97">
        <v>0</v>
      </c>
      <c r="M128" s="97">
        <v>0</v>
      </c>
      <c r="N128" s="97">
        <v>0</v>
      </c>
      <c r="O128" s="97">
        <v>0</v>
      </c>
      <c r="P128" s="97">
        <v>0</v>
      </c>
      <c r="Q128" s="103">
        <f t="shared" si="20"/>
        <v>0</v>
      </c>
      <c r="S128" s="35">
        <f>'[5]Guest Laundry-molly'!$Q128</f>
        <v>0</v>
      </c>
      <c r="T128" s="40">
        <f t="shared" si="14"/>
        <v>0</v>
      </c>
    </row>
    <row r="129" spans="1:20" ht="26.25" hidden="1" customHeight="1">
      <c r="A129" s="5" t="s">
        <v>635</v>
      </c>
      <c r="B129" s="5" t="s">
        <v>717</v>
      </c>
      <c r="D129" s="26" t="s">
        <v>799</v>
      </c>
      <c r="E129" s="97">
        <v>0</v>
      </c>
      <c r="F129" s="97">
        <v>0</v>
      </c>
      <c r="G129" s="97">
        <v>0</v>
      </c>
      <c r="H129" s="97">
        <v>0</v>
      </c>
      <c r="I129" s="97">
        <v>0</v>
      </c>
      <c r="J129" s="97">
        <v>0</v>
      </c>
      <c r="K129" s="97">
        <v>0</v>
      </c>
      <c r="L129" s="97">
        <v>0</v>
      </c>
      <c r="M129" s="97">
        <v>0</v>
      </c>
      <c r="N129" s="97">
        <v>0</v>
      </c>
      <c r="O129" s="97">
        <v>0</v>
      </c>
      <c r="P129" s="97">
        <v>0</v>
      </c>
      <c r="Q129" s="103">
        <f t="shared" si="20"/>
        <v>0</v>
      </c>
      <c r="S129" s="35">
        <f>'[5]Guest Laundry-molly'!$Q129</f>
        <v>0</v>
      </c>
      <c r="T129" s="40">
        <f t="shared" si="14"/>
        <v>0</v>
      </c>
    </row>
    <row r="130" spans="1:20" ht="26.25" hidden="1" customHeight="1">
      <c r="A130" s="5" t="s">
        <v>636</v>
      </c>
      <c r="B130" s="5" t="s">
        <v>717</v>
      </c>
      <c r="D130" s="26" t="s">
        <v>800</v>
      </c>
      <c r="E130" s="97">
        <v>0</v>
      </c>
      <c r="F130" s="97">
        <v>0</v>
      </c>
      <c r="G130" s="97">
        <v>0</v>
      </c>
      <c r="H130" s="97">
        <v>0</v>
      </c>
      <c r="I130" s="97">
        <v>0</v>
      </c>
      <c r="J130" s="97">
        <v>0</v>
      </c>
      <c r="K130" s="97">
        <v>0</v>
      </c>
      <c r="L130" s="97">
        <v>0</v>
      </c>
      <c r="M130" s="97">
        <v>0</v>
      </c>
      <c r="N130" s="97">
        <v>0</v>
      </c>
      <c r="O130" s="97">
        <v>0</v>
      </c>
      <c r="P130" s="97">
        <v>0</v>
      </c>
      <c r="Q130" s="103">
        <f t="shared" si="20"/>
        <v>0</v>
      </c>
      <c r="S130" s="35">
        <f>'[5]Guest Laundry-molly'!$Q130</f>
        <v>0</v>
      </c>
      <c r="T130" s="40">
        <f t="shared" si="14"/>
        <v>0</v>
      </c>
    </row>
    <row r="131" spans="1:20" ht="26.25" hidden="1" customHeight="1">
      <c r="A131" s="5" t="s">
        <v>637</v>
      </c>
      <c r="B131" s="5" t="s">
        <v>717</v>
      </c>
      <c r="D131" s="26" t="s">
        <v>801</v>
      </c>
      <c r="E131" s="97">
        <v>0</v>
      </c>
      <c r="F131" s="97">
        <v>0</v>
      </c>
      <c r="G131" s="97">
        <v>0</v>
      </c>
      <c r="H131" s="97">
        <v>0</v>
      </c>
      <c r="I131" s="97">
        <v>0</v>
      </c>
      <c r="J131" s="97">
        <v>0</v>
      </c>
      <c r="K131" s="97">
        <v>0</v>
      </c>
      <c r="L131" s="97">
        <v>0</v>
      </c>
      <c r="M131" s="97">
        <v>0</v>
      </c>
      <c r="N131" s="97">
        <v>0</v>
      </c>
      <c r="O131" s="97">
        <v>0</v>
      </c>
      <c r="P131" s="97">
        <v>0</v>
      </c>
      <c r="Q131" s="103">
        <f t="shared" si="20"/>
        <v>0</v>
      </c>
      <c r="S131" s="35">
        <f>'[5]Guest Laundry-molly'!$Q131</f>
        <v>0</v>
      </c>
      <c r="T131" s="40">
        <f t="shared" si="14"/>
        <v>0</v>
      </c>
    </row>
    <row r="132" spans="1:20" ht="26.25" hidden="1" customHeight="1">
      <c r="A132" s="5" t="s">
        <v>344</v>
      </c>
      <c r="B132" s="5" t="s">
        <v>717</v>
      </c>
      <c r="D132" s="26" t="s">
        <v>802</v>
      </c>
      <c r="E132" s="97">
        <v>0</v>
      </c>
      <c r="F132" s="97">
        <v>0</v>
      </c>
      <c r="G132" s="97">
        <v>0</v>
      </c>
      <c r="H132" s="97">
        <v>0</v>
      </c>
      <c r="I132" s="97">
        <v>0</v>
      </c>
      <c r="J132" s="97">
        <v>0</v>
      </c>
      <c r="K132" s="97">
        <v>0</v>
      </c>
      <c r="L132" s="97">
        <v>0</v>
      </c>
      <c r="M132" s="97">
        <v>0</v>
      </c>
      <c r="N132" s="97">
        <v>0</v>
      </c>
      <c r="O132" s="97">
        <v>0</v>
      </c>
      <c r="P132" s="97">
        <v>0</v>
      </c>
      <c r="Q132" s="103">
        <f t="shared" si="20"/>
        <v>0</v>
      </c>
      <c r="S132" s="35">
        <f>'[5]Guest Laundry-molly'!$Q132</f>
        <v>0</v>
      </c>
      <c r="T132" s="40">
        <f t="shared" si="14"/>
        <v>0</v>
      </c>
    </row>
    <row r="133" spans="1:20" ht="26.25" hidden="1" customHeight="1">
      <c r="A133" s="5" t="s">
        <v>640</v>
      </c>
      <c r="B133" s="5" t="s">
        <v>717</v>
      </c>
      <c r="D133" s="26" t="s">
        <v>803</v>
      </c>
      <c r="E133" s="97">
        <v>0</v>
      </c>
      <c r="F133" s="97">
        <v>0</v>
      </c>
      <c r="G133" s="97">
        <v>0</v>
      </c>
      <c r="H133" s="97">
        <v>0</v>
      </c>
      <c r="I133" s="97">
        <v>0</v>
      </c>
      <c r="J133" s="97">
        <v>0</v>
      </c>
      <c r="K133" s="97">
        <v>0</v>
      </c>
      <c r="L133" s="97">
        <v>0</v>
      </c>
      <c r="M133" s="97">
        <v>0</v>
      </c>
      <c r="N133" s="97">
        <v>0</v>
      </c>
      <c r="O133" s="97">
        <v>0</v>
      </c>
      <c r="P133" s="97">
        <v>0</v>
      </c>
      <c r="Q133" s="103">
        <f t="shared" si="20"/>
        <v>0</v>
      </c>
      <c r="S133" s="35">
        <f>'[5]Guest Laundry-molly'!$Q133</f>
        <v>0</v>
      </c>
      <c r="T133" s="40">
        <f t="shared" si="14"/>
        <v>0</v>
      </c>
    </row>
    <row r="134" spans="1:20" ht="26.25" hidden="1" customHeight="1">
      <c r="D134" s="26" t="s">
        <v>804</v>
      </c>
      <c r="E134" s="119">
        <v>0</v>
      </c>
      <c r="F134" s="119">
        <v>0</v>
      </c>
      <c r="G134" s="119">
        <v>0</v>
      </c>
      <c r="H134" s="119">
        <v>0</v>
      </c>
      <c r="I134" s="119">
        <v>0</v>
      </c>
      <c r="J134" s="119">
        <v>0</v>
      </c>
      <c r="K134" s="119">
        <v>0</v>
      </c>
      <c r="L134" s="119">
        <v>0</v>
      </c>
      <c r="M134" s="119">
        <v>0</v>
      </c>
      <c r="N134" s="119">
        <v>0</v>
      </c>
      <c r="O134" s="119">
        <v>0</v>
      </c>
      <c r="P134" s="119">
        <v>0</v>
      </c>
      <c r="Q134" s="123">
        <f t="shared" ref="Q134" si="21">SUM(Q127:Q133)</f>
        <v>0</v>
      </c>
      <c r="S134" s="35">
        <f>'[5]Guest Laundry-molly'!$Q134</f>
        <v>0</v>
      </c>
      <c r="T134" s="40">
        <f t="shared" si="14"/>
        <v>0</v>
      </c>
    </row>
    <row r="135" spans="1:20" ht="26.25" hidden="1" customHeight="1">
      <c r="D135" s="21" t="s">
        <v>805</v>
      </c>
      <c r="E135" s="122">
        <f>E108+E115+E125+E134</f>
        <v>0</v>
      </c>
      <c r="F135" s="122">
        <f t="shared" ref="F135:Q135" si="22">F108+F115+F125+F134</f>
        <v>0</v>
      </c>
      <c r="G135" s="122">
        <f t="shared" si="22"/>
        <v>0</v>
      </c>
      <c r="H135" s="122">
        <f t="shared" si="22"/>
        <v>0</v>
      </c>
      <c r="I135" s="122">
        <f t="shared" si="22"/>
        <v>0</v>
      </c>
      <c r="J135" s="122">
        <f t="shared" si="22"/>
        <v>0</v>
      </c>
      <c r="K135" s="122">
        <f t="shared" si="22"/>
        <v>0</v>
      </c>
      <c r="L135" s="122">
        <f t="shared" si="22"/>
        <v>0</v>
      </c>
      <c r="M135" s="122">
        <f t="shared" si="22"/>
        <v>0</v>
      </c>
      <c r="N135" s="122">
        <f t="shared" si="22"/>
        <v>0</v>
      </c>
      <c r="O135" s="122">
        <f t="shared" si="22"/>
        <v>0</v>
      </c>
      <c r="P135" s="122">
        <f t="shared" si="22"/>
        <v>0</v>
      </c>
      <c r="Q135" s="122">
        <f t="shared" si="22"/>
        <v>0</v>
      </c>
      <c r="S135" s="35">
        <f>'[5]Guest Laundry-molly'!$Q135</f>
        <v>0</v>
      </c>
      <c r="T135" s="40">
        <f t="shared" si="14"/>
        <v>0</v>
      </c>
    </row>
    <row r="136" spans="1:20" ht="26.25" hidden="1" customHeight="1">
      <c r="D136" s="21"/>
      <c r="E136" s="72"/>
      <c r="F136" s="106"/>
      <c r="G136" s="72"/>
      <c r="H136" s="107"/>
      <c r="I136" s="72"/>
      <c r="J136" s="106"/>
      <c r="K136" s="72"/>
      <c r="L136" s="109"/>
      <c r="M136" s="72"/>
      <c r="N136" s="106"/>
      <c r="O136" s="110"/>
      <c r="P136" s="110"/>
      <c r="Q136" s="110"/>
      <c r="S136" s="35">
        <f>'[5]Guest Laundry-molly'!$Q136</f>
        <v>0</v>
      </c>
      <c r="T136" s="40">
        <f t="shared" si="14"/>
        <v>0</v>
      </c>
    </row>
    <row r="137" spans="1:20" ht="26.25" hidden="1" customHeight="1">
      <c r="A137" s="5" t="s">
        <v>105</v>
      </c>
      <c r="B137" s="5" t="s">
        <v>717</v>
      </c>
      <c r="D137" s="21" t="s">
        <v>806</v>
      </c>
      <c r="E137" s="99">
        <v>0</v>
      </c>
      <c r="F137" s="99">
        <v>0</v>
      </c>
      <c r="G137" s="99">
        <v>0</v>
      </c>
      <c r="H137" s="99">
        <v>0</v>
      </c>
      <c r="I137" s="99">
        <v>0</v>
      </c>
      <c r="J137" s="99">
        <v>0</v>
      </c>
      <c r="K137" s="99">
        <v>0</v>
      </c>
      <c r="L137" s="99">
        <v>0</v>
      </c>
      <c r="M137" s="99">
        <v>0</v>
      </c>
      <c r="N137" s="99">
        <v>0</v>
      </c>
      <c r="O137" s="99">
        <v>0</v>
      </c>
      <c r="P137" s="99">
        <v>0</v>
      </c>
      <c r="Q137" s="99">
        <v>0</v>
      </c>
      <c r="S137" s="35">
        <f>'[5]Guest Laundry-molly'!$Q137</f>
        <v>0</v>
      </c>
      <c r="T137" s="40">
        <f t="shared" si="14"/>
        <v>0</v>
      </c>
    </row>
  </sheetData>
  <phoneticPr fontId="57" type="noConversion"/>
  <dataValidations count="21">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9321.38_x000d__x000a_" sqref="F102">
      <formula1>0</formula1>
      <formula2>300</formula2>
    </dataValidation>
    <dataValidation type="textLength" errorStyle="information" allowBlank="1" showInputMessage="1" showErrorMessage="1" error="XLBVal:2=0_x000d__x000a_" sqref="E12:P12 E29:Q29 E137:P137 Q12:Q17 Q21:Q28 Q30:Q100 Q127:Q133 E23:P26 E106:Q107 E110:Q114 E127:P134 E20:P21 E117:Q125 E32:P100 E14:P17">
      <formula1>0</formula1>
      <formula2>300</formula2>
    </dataValidation>
    <dataValidation type="textLength" errorStyle="information" allowBlank="1" showInputMessage="1" showErrorMessage="1" error="XLBVal:6=11094.72_x000d__x000a_" sqref="E13:P13">
      <formula1>0</formula1>
      <formula2>300</formula2>
    </dataValidation>
    <dataValidation type="textLength" errorStyle="information" allowBlank="1" showInputMessage="1" showErrorMessage="1" error="XLBVal:6=28280_x000d__x000a_" sqref="Q20">
      <formula1>0</formula1>
      <formula2>300</formula2>
    </dataValidation>
    <dataValidation type="textLength" errorStyle="information" allowBlank="1" showInputMessage="1" showErrorMessage="1" error="XLBVal:6=218.17_x000d__x000a_" sqref="E22:P22">
      <formula1>0</formula1>
      <formula2>300</formula2>
    </dataValidation>
    <dataValidation type="textLength" errorStyle="information" allowBlank="1" showInputMessage="1" showErrorMessage="1" error="XLBVal:6=-16002.39_x000d__x000a_" sqref="G102">
      <formula1>0</formula1>
      <formula2>300</formula2>
    </dataValidation>
    <dataValidation type="textLength" errorStyle="information" allowBlank="1" showInputMessage="1" showErrorMessage="1" error="XLBVal:6=-12013.73_x000d__x000a_" sqref="E102">
      <formula1>0</formula1>
      <formula2>300</formula2>
    </dataValidation>
    <dataValidation type="textLength" errorStyle="information" allowBlank="1" showInputMessage="1" showErrorMessage="1" error="XLBVal:6=-17310.98_x000d__x000a_" sqref="H102">
      <formula1>0</formula1>
      <formula2>300</formula2>
    </dataValidation>
    <dataValidation type="textLength" errorStyle="information" allowBlank="1" showInputMessage="1" showErrorMessage="1" error="XLBVal:6=-16095.48_x000d__x000a_" sqref="I102">
      <formula1>0</formula1>
      <formula2>300</formula2>
    </dataValidation>
    <dataValidation type="textLength" errorStyle="information" allowBlank="1" showInputMessage="1" showErrorMessage="1" error="XLBVal:6=-17442.31_x000d__x000a_" sqref="J102">
      <formula1>0</formula1>
      <formula2>300</formula2>
    </dataValidation>
    <dataValidation type="textLength" errorStyle="information" allowBlank="1" showInputMessage="1" showErrorMessage="1" error="XLBVal:6=-17132.66_x000d__x000a_" sqref="K102">
      <formula1>0</formula1>
      <formula2>300</formula2>
    </dataValidation>
    <dataValidation type="textLength" errorStyle="information" allowBlank="1" showInputMessage="1" showErrorMessage="1" error="XLBVal:6=-19507.39_x000d__x000a_" sqref="L102">
      <formula1>0</formula1>
      <formula2>300</formula2>
    </dataValidation>
    <dataValidation type="textLength" errorStyle="information" allowBlank="1" showInputMessage="1" showErrorMessage="1" error="XLBVal:6=-16740.54_x000d__x000a_" sqref="M102">
      <formula1>0</formula1>
      <formula2>300</formula2>
    </dataValidation>
    <dataValidation type="textLength" errorStyle="information" allowBlank="1" showInputMessage="1" showErrorMessage="1" error="XLBVal:6=-18292.14_x000d__x000a_" sqref="N102">
      <formula1>0</formula1>
      <formula2>300</formula2>
    </dataValidation>
    <dataValidation type="textLength" errorStyle="information" allowBlank="1" showInputMessage="1" showErrorMessage="1" error="XLBVal:6=-16021.9_x000d__x000a_" sqref="O102">
      <formula1>0</formula1>
      <formula2>300</formula2>
    </dataValidation>
    <dataValidation type="textLength" errorStyle="information" allowBlank="1" showInputMessage="1" showErrorMessage="1" error="XLBVal:6=-11564.82_x000d__x000a_" sqref="P102">
      <formula1>0</formula1>
      <formula2>300</formula2>
    </dataValidation>
    <dataValidation type="textLength" errorStyle="information" allowBlank="1" showInputMessage="1" showErrorMessage="1" error="XLBVal:6=-157160.04_x000d__x000a_" sqref="Q102">
      <formula1>0</formula1>
      <formula2>300</formula2>
    </dataValidation>
    <dataValidation type="textLength" errorStyle="information" allowBlank="1" showInputMessage="1" showErrorMessage="1" error="XLBVal:6=0_x000d__x000a_" sqref="Q137">
      <formula1>0</formula1>
      <formula2>300</formula2>
    </dataValidation>
    <dataValidation type="textLength" errorStyle="information" allowBlank="1" showInputMessage="1" showErrorMessage="1" error="XLBVal:6=6688509.16_x000d__x000a_" sqref="E18:Q19">
      <formula1>0</formula1>
      <formula2>300</formula2>
    </dataValidation>
    <dataValidation type="textLength" errorStyle="information" allowBlank="1" showInputMessage="1" showErrorMessage="1" error="XLBVal:6=3239.86_x000d__x000a_" sqref="E30:P31 E27:P28">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5"/>
  <dimension ref="A1:T150"/>
  <sheetViews>
    <sheetView topLeftCell="D1" zoomScale="50" zoomScaleNormal="50" zoomScaleSheetLayoutView="40" workbookViewId="0">
      <pane xSplit="1" ySplit="10" topLeftCell="E11" activePane="bottomRight" state="frozen"/>
      <selection pane="topRight"/>
      <selection pane="bottomLeft"/>
      <selection pane="bottomRight" activeCell="K39" sqref="K39"/>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89.125" style="6" customWidth="1" collapsed="1"/>
    <col min="5" max="5" width="15.5" style="7" customWidth="1"/>
    <col min="6" max="6" width="15.5" style="89" customWidth="1"/>
    <col min="7" max="7" width="15.5" style="7" customWidth="1"/>
    <col min="8" max="8" width="15.5" style="6" customWidth="1"/>
    <col min="9" max="9" width="15.5" style="7" customWidth="1"/>
    <col min="10" max="10" width="15.5" style="89" customWidth="1"/>
    <col min="11" max="11" width="15.5" style="7" customWidth="1"/>
    <col min="12" max="12" width="15.5" style="90" customWidth="1"/>
    <col min="13" max="13" width="15.5" style="7" customWidth="1"/>
    <col min="14" max="14" width="15.5" style="89" customWidth="1"/>
    <col min="15" max="16" width="15.5" style="5" customWidth="1"/>
    <col min="17" max="17" width="18.875" style="5" customWidth="1"/>
    <col min="18" max="18" width="8.875" style="5"/>
    <col min="19" max="19" width="22.5" style="8" customWidth="1"/>
    <col min="20" max="20" width="22.5" style="5"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842</v>
      </c>
      <c r="E6" s="13"/>
      <c r="F6" s="93"/>
      <c r="G6" s="13"/>
      <c r="H6" s="94"/>
      <c r="I6" s="13"/>
      <c r="J6" s="93"/>
      <c r="K6" s="13"/>
      <c r="L6" s="101"/>
      <c r="M6" s="13"/>
      <c r="N6" s="93"/>
      <c r="S6" s="33"/>
    </row>
    <row r="7" spans="1:20" s="2" customFormat="1" ht="24.95" customHeight="1">
      <c r="D7" s="15" t="str">
        <f>Summary!D7</f>
        <v>2025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51">
        <v>36800100</v>
      </c>
      <c r="B12" s="3" t="s">
        <v>700</v>
      </c>
      <c r="C12" s="49">
        <v>2606</v>
      </c>
      <c r="D12" s="3" t="s">
        <v>843</v>
      </c>
      <c r="E12" s="27"/>
      <c r="F12" s="27"/>
      <c r="G12" s="27"/>
      <c r="H12" s="27"/>
      <c r="I12" s="27"/>
      <c r="J12" s="27"/>
      <c r="K12" s="27"/>
      <c r="L12" s="27"/>
      <c r="M12" s="27"/>
      <c r="N12" s="27"/>
      <c r="O12" s="27"/>
      <c r="P12" s="27"/>
      <c r="Q12" s="27">
        <f>SUM(E12:P12)</f>
        <v>0</v>
      </c>
      <c r="S12" s="35"/>
      <c r="T12" s="40">
        <f>IF(Q12-S12=0,0,(Q12-S12)/S12)</f>
        <v>0</v>
      </c>
    </row>
    <row r="13" spans="1:20" s="3" customFormat="1" ht="24.95" customHeight="1">
      <c r="A13" s="51">
        <v>36800100</v>
      </c>
      <c r="B13" s="3" t="s">
        <v>700</v>
      </c>
      <c r="C13" s="49">
        <v>2699</v>
      </c>
      <c r="D13" s="26" t="s">
        <v>844</v>
      </c>
      <c r="E13" s="27"/>
      <c r="F13" s="27"/>
      <c r="G13" s="27"/>
      <c r="H13" s="27"/>
      <c r="I13" s="27"/>
      <c r="J13" s="27"/>
      <c r="K13" s="27"/>
      <c r="L13" s="27"/>
      <c r="M13" s="27"/>
      <c r="N13" s="27"/>
      <c r="O13" s="27"/>
      <c r="P13" s="27"/>
      <c r="Q13" s="27">
        <f t="shared" ref="Q13:Q20" si="0">SUM(E13:P13)</f>
        <v>0</v>
      </c>
      <c r="S13" s="35"/>
      <c r="T13" s="40">
        <f t="shared" ref="T13:T76" si="1">IF(Q13-S13=0,0,(Q13-S13)/S13)</f>
        <v>0</v>
      </c>
    </row>
    <row r="14" spans="1:20" s="3" customFormat="1" ht="24.95" hidden="1" customHeight="1">
      <c r="A14" s="51">
        <v>36800100</v>
      </c>
      <c r="B14" s="3" t="s">
        <v>700</v>
      </c>
      <c r="C14" s="49">
        <v>2603</v>
      </c>
      <c r="D14" s="26" t="s">
        <v>845</v>
      </c>
      <c r="E14" s="27"/>
      <c r="F14" s="27"/>
      <c r="G14" s="27"/>
      <c r="H14" s="27"/>
      <c r="I14" s="27"/>
      <c r="J14" s="27"/>
      <c r="K14" s="27"/>
      <c r="L14" s="27"/>
      <c r="M14" s="27"/>
      <c r="N14" s="27"/>
      <c r="O14" s="27"/>
      <c r="P14" s="27"/>
      <c r="Q14" s="27">
        <f t="shared" si="0"/>
        <v>0</v>
      </c>
      <c r="S14" s="35"/>
      <c r="T14" s="40">
        <f>IF(S14&lt;&gt;0,(Q14-S14)/S14,1)</f>
        <v>1</v>
      </c>
    </row>
    <row r="15" spans="1:20" s="3" customFormat="1" ht="24.95" customHeight="1">
      <c r="A15" s="51">
        <v>36800100</v>
      </c>
      <c r="B15" s="3" t="s">
        <v>700</v>
      </c>
      <c r="C15" s="49">
        <v>2601</v>
      </c>
      <c r="D15" s="78" t="s">
        <v>846</v>
      </c>
      <c r="E15" s="27"/>
      <c r="F15" s="27"/>
      <c r="G15" s="27"/>
      <c r="H15" s="27"/>
      <c r="I15" s="27"/>
      <c r="J15" s="27"/>
      <c r="K15" s="27"/>
      <c r="L15" s="27"/>
      <c r="M15" s="27"/>
      <c r="N15" s="27"/>
      <c r="O15" s="27"/>
      <c r="P15" s="27"/>
      <c r="Q15" s="27">
        <f t="shared" si="0"/>
        <v>0</v>
      </c>
      <c r="S15" s="35"/>
      <c r="T15" s="40">
        <f t="shared" si="1"/>
        <v>0</v>
      </c>
    </row>
    <row r="16" spans="1:20" s="3" customFormat="1" ht="24.95" hidden="1" customHeight="1">
      <c r="A16" s="51">
        <v>36800100</v>
      </c>
      <c r="B16" s="3" t="s">
        <v>700</v>
      </c>
      <c r="C16" s="49">
        <v>2699</v>
      </c>
      <c r="D16" s="26" t="s">
        <v>847</v>
      </c>
      <c r="E16" s="27"/>
      <c r="F16" s="27"/>
      <c r="G16" s="27"/>
      <c r="H16" s="27"/>
      <c r="I16" s="27"/>
      <c r="J16" s="27"/>
      <c r="K16" s="27"/>
      <c r="L16" s="27"/>
      <c r="M16" s="27"/>
      <c r="N16" s="27"/>
      <c r="O16" s="27"/>
      <c r="P16" s="27"/>
      <c r="Q16" s="27">
        <f t="shared" si="0"/>
        <v>0</v>
      </c>
      <c r="S16" s="35"/>
      <c r="T16" s="40">
        <f>IF(S16&lt;&gt;0,(Q16-S16)/S16,1)</f>
        <v>1</v>
      </c>
    </row>
    <row r="17" spans="1:20" s="3" customFormat="1" ht="24.95" hidden="1" customHeight="1">
      <c r="A17" s="51">
        <v>36800100</v>
      </c>
      <c r="B17" s="3" t="s">
        <v>700</v>
      </c>
      <c r="C17" s="49">
        <v>2602</v>
      </c>
      <c r="D17" s="26" t="s">
        <v>848</v>
      </c>
      <c r="E17" s="27"/>
      <c r="F17" s="27"/>
      <c r="G17" s="27"/>
      <c r="H17" s="27"/>
      <c r="I17" s="27"/>
      <c r="J17" s="27"/>
      <c r="K17" s="27"/>
      <c r="L17" s="27"/>
      <c r="M17" s="27"/>
      <c r="N17" s="27"/>
      <c r="O17" s="27"/>
      <c r="P17" s="27"/>
      <c r="Q17" s="27">
        <f t="shared" si="0"/>
        <v>0</v>
      </c>
      <c r="S17" s="35"/>
      <c r="T17" s="40">
        <f t="shared" si="1"/>
        <v>0</v>
      </c>
    </row>
    <row r="18" spans="1:20" s="3" customFormat="1" ht="24.95" hidden="1" customHeight="1">
      <c r="A18" s="51">
        <v>36800100</v>
      </c>
      <c r="B18" s="3" t="s">
        <v>700</v>
      </c>
      <c r="C18" s="49">
        <v>2605</v>
      </c>
      <c r="D18" s="26" t="s">
        <v>849</v>
      </c>
      <c r="E18" s="27"/>
      <c r="F18" s="27"/>
      <c r="G18" s="27"/>
      <c r="H18" s="27"/>
      <c r="I18" s="27"/>
      <c r="J18" s="27"/>
      <c r="K18" s="27"/>
      <c r="L18" s="27"/>
      <c r="M18" s="27"/>
      <c r="N18" s="27"/>
      <c r="O18" s="27"/>
      <c r="P18" s="27"/>
      <c r="Q18" s="27">
        <f t="shared" si="0"/>
        <v>0</v>
      </c>
      <c r="S18" s="35"/>
      <c r="T18" s="40">
        <f>IF(S18&lt;&gt;0,(Q18-S18)/S18,1)</f>
        <v>1</v>
      </c>
    </row>
    <row r="19" spans="1:20" s="3" customFormat="1" ht="24.95" customHeight="1">
      <c r="A19" s="51">
        <v>36800100</v>
      </c>
      <c r="B19" s="3" t="s">
        <v>700</v>
      </c>
      <c r="C19" s="49">
        <v>2607</v>
      </c>
      <c r="D19" s="26" t="s">
        <v>850</v>
      </c>
      <c r="E19" s="27"/>
      <c r="F19" s="27"/>
      <c r="G19" s="27"/>
      <c r="H19" s="27"/>
      <c r="I19" s="27"/>
      <c r="J19" s="27"/>
      <c r="K19" s="27"/>
      <c r="L19" s="27"/>
      <c r="M19" s="27"/>
      <c r="N19" s="27"/>
      <c r="O19" s="27"/>
      <c r="P19" s="27"/>
      <c r="Q19" s="27">
        <f t="shared" si="0"/>
        <v>0</v>
      </c>
      <c r="S19" s="35"/>
      <c r="T19" s="40">
        <f t="shared" si="1"/>
        <v>0</v>
      </c>
    </row>
    <row r="20" spans="1:20" s="3" customFormat="1" ht="24.95" customHeight="1">
      <c r="A20" s="51" t="s">
        <v>763</v>
      </c>
      <c r="B20" s="3" t="s">
        <v>700</v>
      </c>
      <c r="D20" s="26" t="s">
        <v>764</v>
      </c>
      <c r="E20" s="27"/>
      <c r="F20" s="27"/>
      <c r="G20" s="27"/>
      <c r="H20" s="27"/>
      <c r="I20" s="27"/>
      <c r="J20" s="27"/>
      <c r="K20" s="27"/>
      <c r="L20" s="27"/>
      <c r="M20" s="27"/>
      <c r="N20" s="27"/>
      <c r="O20" s="27"/>
      <c r="P20" s="27"/>
      <c r="Q20" s="27">
        <f t="shared" si="0"/>
        <v>0</v>
      </c>
      <c r="S20" s="35"/>
      <c r="T20" s="40">
        <f>IF(S20&lt;&gt;0,(Q20-S20)/S20,1)</f>
        <v>1</v>
      </c>
    </row>
    <row r="21" spans="1:20" s="3" customFormat="1" ht="24.95" customHeight="1">
      <c r="D21" s="21" t="s">
        <v>671</v>
      </c>
      <c r="E21" s="30">
        <f>SUM(E12:E20)</f>
        <v>0</v>
      </c>
      <c r="F21" s="30">
        <f t="shared" ref="F21:P21" si="2">SUM(F12:F20)</f>
        <v>0</v>
      </c>
      <c r="G21" s="30">
        <f t="shared" si="2"/>
        <v>0</v>
      </c>
      <c r="H21" s="30">
        <f t="shared" si="2"/>
        <v>0</v>
      </c>
      <c r="I21" s="30">
        <f t="shared" si="2"/>
        <v>0</v>
      </c>
      <c r="J21" s="30">
        <f t="shared" si="2"/>
        <v>0</v>
      </c>
      <c r="K21" s="30">
        <f t="shared" si="2"/>
        <v>0</v>
      </c>
      <c r="L21" s="30">
        <f t="shared" si="2"/>
        <v>0</v>
      </c>
      <c r="M21" s="30">
        <f t="shared" si="2"/>
        <v>0</v>
      </c>
      <c r="N21" s="30">
        <f t="shared" si="2"/>
        <v>0</v>
      </c>
      <c r="O21" s="30">
        <f t="shared" si="2"/>
        <v>0</v>
      </c>
      <c r="P21" s="30">
        <f t="shared" si="2"/>
        <v>0</v>
      </c>
      <c r="Q21" s="30">
        <f t="shared" ref="Q21" si="3">SUM(Q12:Q20)</f>
        <v>0</v>
      </c>
      <c r="S21" s="35"/>
      <c r="T21" s="40">
        <f t="shared" si="1"/>
        <v>0</v>
      </c>
    </row>
    <row r="22" spans="1:20" s="3" customFormat="1" ht="24.95" customHeight="1">
      <c r="D22" s="21"/>
      <c r="E22" s="82"/>
      <c r="F22" s="82"/>
      <c r="G22" s="82"/>
      <c r="H22" s="82"/>
      <c r="I22" s="82"/>
      <c r="J22" s="82"/>
      <c r="K22" s="82"/>
      <c r="L22" s="82"/>
      <c r="M22" s="82"/>
      <c r="N22" s="82"/>
      <c r="O22" s="82"/>
      <c r="P22" s="82"/>
      <c r="Q22" s="82"/>
      <c r="S22" s="35"/>
      <c r="T22" s="40"/>
    </row>
    <row r="23" spans="1:20" s="3" customFormat="1" ht="24.95" customHeight="1">
      <c r="D23" s="21" t="s">
        <v>423</v>
      </c>
      <c r="E23" s="27"/>
      <c r="F23" s="96"/>
      <c r="G23" s="27"/>
      <c r="H23" s="96"/>
      <c r="I23" s="27"/>
      <c r="J23" s="96"/>
      <c r="K23" s="27"/>
      <c r="L23" s="96"/>
      <c r="M23" s="27"/>
      <c r="N23" s="96"/>
      <c r="O23" s="103"/>
      <c r="P23" s="103"/>
      <c r="Q23" s="103"/>
      <c r="S23" s="35"/>
      <c r="T23" s="40"/>
    </row>
    <row r="24" spans="1:20" s="3" customFormat="1" ht="24.95" hidden="1" customHeight="1">
      <c r="A24" s="3" t="s">
        <v>765</v>
      </c>
      <c r="B24" s="3" t="s">
        <v>700</v>
      </c>
      <c r="C24" s="49">
        <v>2606</v>
      </c>
      <c r="D24" s="26" t="s">
        <v>851</v>
      </c>
      <c r="E24" s="97">
        <v>0</v>
      </c>
      <c r="F24" s="97">
        <v>0</v>
      </c>
      <c r="G24" s="97">
        <v>0</v>
      </c>
      <c r="H24" s="97">
        <v>0</v>
      </c>
      <c r="I24" s="97">
        <v>0</v>
      </c>
      <c r="J24" s="97">
        <v>0</v>
      </c>
      <c r="K24" s="97">
        <v>0</v>
      </c>
      <c r="L24" s="97">
        <v>0</v>
      </c>
      <c r="M24" s="97">
        <v>0</v>
      </c>
      <c r="N24" s="97">
        <v>0</v>
      </c>
      <c r="O24" s="97">
        <v>0</v>
      </c>
      <c r="P24" s="97">
        <v>0</v>
      </c>
      <c r="Q24" s="103">
        <f>SUM(E24:P24)</f>
        <v>0</v>
      </c>
      <c r="R24" s="121" t="e">
        <f t="shared" ref="R24:R40" si="4">Q24/$Q$21</f>
        <v>#DIV/0!</v>
      </c>
      <c r="S24" s="35"/>
      <c r="T24" s="40">
        <f t="shared" si="1"/>
        <v>0</v>
      </c>
    </row>
    <row r="25" spans="1:20" s="3" customFormat="1" ht="24.95" hidden="1" customHeight="1">
      <c r="A25" s="3" t="s">
        <v>765</v>
      </c>
      <c r="B25" s="3" t="s">
        <v>700</v>
      </c>
      <c r="C25" s="49">
        <v>2606</v>
      </c>
      <c r="D25" s="26" t="s">
        <v>736</v>
      </c>
      <c r="E25" s="97">
        <v>0</v>
      </c>
      <c r="F25" s="97">
        <v>0</v>
      </c>
      <c r="G25" s="97">
        <v>0</v>
      </c>
      <c r="H25" s="97">
        <v>0</v>
      </c>
      <c r="I25" s="97">
        <v>0</v>
      </c>
      <c r="J25" s="97">
        <v>0</v>
      </c>
      <c r="K25" s="97">
        <v>0</v>
      </c>
      <c r="L25" s="97">
        <v>0</v>
      </c>
      <c r="M25" s="97">
        <v>0</v>
      </c>
      <c r="N25" s="97">
        <v>0</v>
      </c>
      <c r="O25" s="97">
        <v>0</v>
      </c>
      <c r="P25" s="97">
        <v>0</v>
      </c>
      <c r="Q25" s="103">
        <f t="shared" ref="Q25:Q40" si="5">SUM(E25:P25)</f>
        <v>0</v>
      </c>
      <c r="R25" s="121" t="e">
        <f t="shared" si="4"/>
        <v>#DIV/0!</v>
      </c>
      <c r="S25" s="35"/>
      <c r="T25" s="40">
        <f t="shared" si="1"/>
        <v>0</v>
      </c>
    </row>
    <row r="26" spans="1:20" s="3" customFormat="1" ht="24.95" hidden="1" customHeight="1">
      <c r="A26" s="3" t="s">
        <v>765</v>
      </c>
      <c r="B26" s="3" t="s">
        <v>700</v>
      </c>
      <c r="C26" s="49">
        <v>2699</v>
      </c>
      <c r="D26" s="26" t="s">
        <v>738</v>
      </c>
      <c r="E26" s="97">
        <v>0</v>
      </c>
      <c r="F26" s="97">
        <v>0</v>
      </c>
      <c r="G26" s="97">
        <v>0</v>
      </c>
      <c r="H26" s="97">
        <v>0</v>
      </c>
      <c r="I26" s="97">
        <v>0</v>
      </c>
      <c r="J26" s="97">
        <v>0</v>
      </c>
      <c r="K26" s="97">
        <v>0</v>
      </c>
      <c r="L26" s="97">
        <v>0</v>
      </c>
      <c r="M26" s="97">
        <v>0</v>
      </c>
      <c r="N26" s="97">
        <v>0</v>
      </c>
      <c r="O26" s="97">
        <v>0</v>
      </c>
      <c r="P26" s="97">
        <v>0</v>
      </c>
      <c r="Q26" s="103">
        <f t="shared" si="5"/>
        <v>0</v>
      </c>
      <c r="R26" s="121" t="e">
        <f t="shared" si="4"/>
        <v>#DIV/0!</v>
      </c>
      <c r="S26" s="35"/>
      <c r="T26" s="40">
        <f t="shared" si="1"/>
        <v>0</v>
      </c>
    </row>
    <row r="27" spans="1:20" s="3" customFormat="1" ht="24.95" hidden="1" customHeight="1">
      <c r="A27" s="3" t="s">
        <v>765</v>
      </c>
      <c r="B27" s="3" t="s">
        <v>700</v>
      </c>
      <c r="C27" s="49">
        <v>2603</v>
      </c>
      <c r="D27" s="78" t="s">
        <v>740</v>
      </c>
      <c r="E27" s="97">
        <v>0</v>
      </c>
      <c r="F27" s="97">
        <v>0</v>
      </c>
      <c r="G27" s="97">
        <v>0</v>
      </c>
      <c r="H27" s="97">
        <v>0</v>
      </c>
      <c r="I27" s="97">
        <v>0</v>
      </c>
      <c r="J27" s="97">
        <v>0</v>
      </c>
      <c r="K27" s="97">
        <v>0</v>
      </c>
      <c r="L27" s="97">
        <v>0</v>
      </c>
      <c r="M27" s="97">
        <v>0</v>
      </c>
      <c r="N27" s="97">
        <v>0</v>
      </c>
      <c r="O27" s="97">
        <v>0</v>
      </c>
      <c r="P27" s="97">
        <v>0</v>
      </c>
      <c r="Q27" s="103">
        <f t="shared" si="5"/>
        <v>0</v>
      </c>
      <c r="R27" s="121" t="e">
        <f t="shared" si="4"/>
        <v>#DIV/0!</v>
      </c>
      <c r="S27" s="35"/>
      <c r="T27" s="40">
        <f t="shared" si="1"/>
        <v>0</v>
      </c>
    </row>
    <row r="28" spans="1:20" s="3" customFormat="1" ht="24.95" hidden="1" customHeight="1">
      <c r="A28" s="3" t="s">
        <v>765</v>
      </c>
      <c r="B28" s="3" t="s">
        <v>700</v>
      </c>
      <c r="C28" s="49">
        <v>2601</v>
      </c>
      <c r="D28" s="26" t="s">
        <v>768</v>
      </c>
      <c r="E28" s="97">
        <v>0</v>
      </c>
      <c r="F28" s="97">
        <v>0</v>
      </c>
      <c r="G28" s="97">
        <v>0</v>
      </c>
      <c r="H28" s="97">
        <v>0</v>
      </c>
      <c r="I28" s="97">
        <v>0</v>
      </c>
      <c r="J28" s="97">
        <v>0</v>
      </c>
      <c r="K28" s="97">
        <v>0</v>
      </c>
      <c r="L28" s="97">
        <v>0</v>
      </c>
      <c r="M28" s="97">
        <v>0</v>
      </c>
      <c r="N28" s="97">
        <v>0</v>
      </c>
      <c r="O28" s="97">
        <v>0</v>
      </c>
      <c r="P28" s="97">
        <v>0</v>
      </c>
      <c r="Q28" s="103">
        <f t="shared" si="5"/>
        <v>0</v>
      </c>
      <c r="R28" s="121" t="e">
        <f t="shared" si="4"/>
        <v>#DIV/0!</v>
      </c>
      <c r="S28" s="35"/>
      <c r="T28" s="40">
        <f t="shared" si="1"/>
        <v>0</v>
      </c>
    </row>
    <row r="29" spans="1:20" s="3" customFormat="1" ht="24.95" hidden="1" customHeight="1">
      <c r="A29" s="3" t="s">
        <v>765</v>
      </c>
      <c r="B29" s="3" t="s">
        <v>700</v>
      </c>
      <c r="C29" s="49">
        <v>2699</v>
      </c>
      <c r="D29" s="26" t="s">
        <v>744</v>
      </c>
      <c r="E29" s="97">
        <v>0</v>
      </c>
      <c r="F29" s="97">
        <v>0</v>
      </c>
      <c r="G29" s="97">
        <v>0</v>
      </c>
      <c r="H29" s="97">
        <v>0</v>
      </c>
      <c r="I29" s="97">
        <v>0</v>
      </c>
      <c r="J29" s="97">
        <v>0</v>
      </c>
      <c r="K29" s="97">
        <v>0</v>
      </c>
      <c r="L29" s="97">
        <v>0</v>
      </c>
      <c r="M29" s="97">
        <v>0</v>
      </c>
      <c r="N29" s="97">
        <v>0</v>
      </c>
      <c r="O29" s="97">
        <v>0</v>
      </c>
      <c r="P29" s="97">
        <v>0</v>
      </c>
      <c r="Q29" s="103">
        <f t="shared" si="5"/>
        <v>0</v>
      </c>
      <c r="R29" s="121" t="e">
        <f t="shared" si="4"/>
        <v>#DIV/0!</v>
      </c>
      <c r="S29" s="35"/>
      <c r="T29" s="40">
        <f t="shared" si="1"/>
        <v>0</v>
      </c>
    </row>
    <row r="30" spans="1:20" s="3" customFormat="1" ht="24.95" hidden="1" customHeight="1">
      <c r="A30" s="3" t="s">
        <v>765</v>
      </c>
      <c r="B30" s="3" t="s">
        <v>700</v>
      </c>
      <c r="C30" s="49">
        <v>2699</v>
      </c>
      <c r="D30" s="26" t="s">
        <v>746</v>
      </c>
      <c r="E30" s="97">
        <v>0</v>
      </c>
      <c r="F30" s="97">
        <v>0</v>
      </c>
      <c r="G30" s="97">
        <v>0</v>
      </c>
      <c r="H30" s="97">
        <v>0</v>
      </c>
      <c r="I30" s="97">
        <v>0</v>
      </c>
      <c r="J30" s="97">
        <v>0</v>
      </c>
      <c r="K30" s="97">
        <v>0</v>
      </c>
      <c r="L30" s="97">
        <v>0</v>
      </c>
      <c r="M30" s="97">
        <v>0</v>
      </c>
      <c r="N30" s="97">
        <v>0</v>
      </c>
      <c r="O30" s="97">
        <v>0</v>
      </c>
      <c r="P30" s="97">
        <v>0</v>
      </c>
      <c r="Q30" s="103">
        <f t="shared" si="5"/>
        <v>0</v>
      </c>
      <c r="R30" s="121" t="e">
        <f t="shared" si="4"/>
        <v>#DIV/0!</v>
      </c>
      <c r="S30" s="35"/>
      <c r="T30" s="40">
        <f t="shared" si="1"/>
        <v>0</v>
      </c>
    </row>
    <row r="31" spans="1:20" s="3" customFormat="1" ht="24.95" hidden="1" customHeight="1">
      <c r="A31" s="3" t="s">
        <v>765</v>
      </c>
      <c r="B31" s="3" t="s">
        <v>700</v>
      </c>
      <c r="C31" s="49">
        <v>2699</v>
      </c>
      <c r="D31" s="26" t="s">
        <v>748</v>
      </c>
      <c r="E31" s="97">
        <v>0</v>
      </c>
      <c r="F31" s="97">
        <v>0</v>
      </c>
      <c r="G31" s="97">
        <v>0</v>
      </c>
      <c r="H31" s="97">
        <v>0</v>
      </c>
      <c r="I31" s="97">
        <v>0</v>
      </c>
      <c r="J31" s="97">
        <v>0</v>
      </c>
      <c r="K31" s="97">
        <v>0</v>
      </c>
      <c r="L31" s="97">
        <v>0</v>
      </c>
      <c r="M31" s="97">
        <v>0</v>
      </c>
      <c r="N31" s="97">
        <v>0</v>
      </c>
      <c r="O31" s="97">
        <v>0</v>
      </c>
      <c r="P31" s="97">
        <v>0</v>
      </c>
      <c r="Q31" s="103">
        <f t="shared" si="5"/>
        <v>0</v>
      </c>
      <c r="R31" s="121" t="e">
        <f t="shared" si="4"/>
        <v>#DIV/0!</v>
      </c>
      <c r="S31" s="35"/>
      <c r="T31" s="40">
        <f t="shared" si="1"/>
        <v>0</v>
      </c>
    </row>
    <row r="32" spans="1:20" s="3" customFormat="1" ht="24.95" hidden="1" customHeight="1">
      <c r="A32" s="3" t="s">
        <v>765</v>
      </c>
      <c r="B32" s="3" t="s">
        <v>700</v>
      </c>
      <c r="C32" s="49">
        <v>2602</v>
      </c>
      <c r="D32" s="26" t="s">
        <v>750</v>
      </c>
      <c r="E32" s="97">
        <v>0</v>
      </c>
      <c r="F32" s="97">
        <v>0</v>
      </c>
      <c r="G32" s="97">
        <v>0</v>
      </c>
      <c r="H32" s="97">
        <v>0</v>
      </c>
      <c r="I32" s="97">
        <v>0</v>
      </c>
      <c r="J32" s="97">
        <v>0</v>
      </c>
      <c r="K32" s="97">
        <v>0</v>
      </c>
      <c r="L32" s="97">
        <v>0</v>
      </c>
      <c r="M32" s="97">
        <v>0</v>
      </c>
      <c r="N32" s="97">
        <v>0</v>
      </c>
      <c r="O32" s="97">
        <v>0</v>
      </c>
      <c r="P32" s="97">
        <v>0</v>
      </c>
      <c r="Q32" s="103">
        <f t="shared" si="5"/>
        <v>0</v>
      </c>
      <c r="R32" s="121" t="e">
        <f t="shared" si="4"/>
        <v>#DIV/0!</v>
      </c>
      <c r="S32" s="35"/>
      <c r="T32" s="40">
        <f t="shared" si="1"/>
        <v>0</v>
      </c>
    </row>
    <row r="33" spans="1:20" s="3" customFormat="1" ht="24.95" hidden="1" customHeight="1">
      <c r="A33" s="3" t="s">
        <v>765</v>
      </c>
      <c r="B33" s="3" t="s">
        <v>700</v>
      </c>
      <c r="C33" s="49">
        <v>2605</v>
      </c>
      <c r="D33" s="26" t="s">
        <v>752</v>
      </c>
      <c r="E33" s="97">
        <v>0</v>
      </c>
      <c r="F33" s="97">
        <v>0</v>
      </c>
      <c r="G33" s="97">
        <v>0</v>
      </c>
      <c r="H33" s="97">
        <v>0</v>
      </c>
      <c r="I33" s="97">
        <v>0</v>
      </c>
      <c r="J33" s="97">
        <v>0</v>
      </c>
      <c r="K33" s="97">
        <v>0</v>
      </c>
      <c r="L33" s="97">
        <v>0</v>
      </c>
      <c r="M33" s="97">
        <v>0</v>
      </c>
      <c r="N33" s="97">
        <v>0</v>
      </c>
      <c r="O33" s="97">
        <v>0</v>
      </c>
      <c r="P33" s="97">
        <v>0</v>
      </c>
      <c r="Q33" s="103">
        <f t="shared" si="5"/>
        <v>0</v>
      </c>
      <c r="R33" s="121" t="e">
        <f t="shared" si="4"/>
        <v>#DIV/0!</v>
      </c>
      <c r="S33" s="35"/>
      <c r="T33" s="40">
        <f t="shared" si="1"/>
        <v>0</v>
      </c>
    </row>
    <row r="34" spans="1:20" s="3" customFormat="1" ht="24.95" hidden="1" customHeight="1">
      <c r="A34" s="3" t="s">
        <v>765</v>
      </c>
      <c r="B34" s="3" t="s">
        <v>700</v>
      </c>
      <c r="C34" s="49">
        <v>2699</v>
      </c>
      <c r="D34" s="26" t="s">
        <v>769</v>
      </c>
      <c r="E34" s="97">
        <v>0</v>
      </c>
      <c r="F34" s="97">
        <v>0</v>
      </c>
      <c r="G34" s="97">
        <v>0</v>
      </c>
      <c r="H34" s="97">
        <v>0</v>
      </c>
      <c r="I34" s="97">
        <v>0</v>
      </c>
      <c r="J34" s="97">
        <v>0</v>
      </c>
      <c r="K34" s="97">
        <v>0</v>
      </c>
      <c r="L34" s="97">
        <v>0</v>
      </c>
      <c r="M34" s="97">
        <v>0</v>
      </c>
      <c r="N34" s="97">
        <v>0</v>
      </c>
      <c r="O34" s="97">
        <v>0</v>
      </c>
      <c r="P34" s="97">
        <v>0</v>
      </c>
      <c r="Q34" s="103">
        <f t="shared" si="5"/>
        <v>0</v>
      </c>
      <c r="R34" s="121" t="e">
        <f t="shared" si="4"/>
        <v>#DIV/0!</v>
      </c>
      <c r="S34" s="35"/>
      <c r="T34" s="40">
        <f t="shared" si="1"/>
        <v>0</v>
      </c>
    </row>
    <row r="35" spans="1:20" s="3" customFormat="1" ht="24.95" hidden="1" customHeight="1">
      <c r="A35" s="3" t="s">
        <v>765</v>
      </c>
      <c r="B35" s="3" t="s">
        <v>700</v>
      </c>
      <c r="C35" s="49">
        <v>2607</v>
      </c>
      <c r="D35" s="26" t="s">
        <v>754</v>
      </c>
      <c r="E35" s="97">
        <v>0</v>
      </c>
      <c r="F35" s="97">
        <v>0</v>
      </c>
      <c r="G35" s="97">
        <v>0</v>
      </c>
      <c r="H35" s="97">
        <v>0</v>
      </c>
      <c r="I35" s="97">
        <v>0</v>
      </c>
      <c r="J35" s="97">
        <v>0</v>
      </c>
      <c r="K35" s="97">
        <v>0</v>
      </c>
      <c r="L35" s="97">
        <v>0</v>
      </c>
      <c r="M35" s="97">
        <v>0</v>
      </c>
      <c r="N35" s="97">
        <v>0</v>
      </c>
      <c r="O35" s="97">
        <v>0</v>
      </c>
      <c r="P35" s="97">
        <v>0</v>
      </c>
      <c r="Q35" s="103">
        <f t="shared" si="5"/>
        <v>0</v>
      </c>
      <c r="R35" s="121" t="e">
        <f t="shared" si="4"/>
        <v>#DIV/0!</v>
      </c>
      <c r="S35" s="35"/>
      <c r="T35" s="40">
        <f t="shared" si="1"/>
        <v>0</v>
      </c>
    </row>
    <row r="36" spans="1:20" s="3" customFormat="1" ht="24.95" hidden="1" customHeight="1">
      <c r="A36" s="3" t="s">
        <v>765</v>
      </c>
      <c r="B36" s="3" t="s">
        <v>700</v>
      </c>
      <c r="C36" s="49">
        <v>2607</v>
      </c>
      <c r="D36" s="26" t="s">
        <v>756</v>
      </c>
      <c r="E36" s="97">
        <v>0</v>
      </c>
      <c r="F36" s="97">
        <v>0</v>
      </c>
      <c r="G36" s="97">
        <v>0</v>
      </c>
      <c r="H36" s="97">
        <v>0</v>
      </c>
      <c r="I36" s="97">
        <v>0</v>
      </c>
      <c r="J36" s="97">
        <v>0</v>
      </c>
      <c r="K36" s="97">
        <v>0</v>
      </c>
      <c r="L36" s="97">
        <v>0</v>
      </c>
      <c r="M36" s="97">
        <v>0</v>
      </c>
      <c r="N36" s="97">
        <v>0</v>
      </c>
      <c r="O36" s="97">
        <v>0</v>
      </c>
      <c r="P36" s="97">
        <v>0</v>
      </c>
      <c r="Q36" s="103">
        <f t="shared" si="5"/>
        <v>0</v>
      </c>
      <c r="R36" s="121" t="e">
        <f t="shared" si="4"/>
        <v>#DIV/0!</v>
      </c>
      <c r="S36" s="35"/>
      <c r="T36" s="40">
        <f t="shared" si="1"/>
        <v>0</v>
      </c>
    </row>
    <row r="37" spans="1:20" s="3" customFormat="1" ht="24.95" hidden="1" customHeight="1">
      <c r="A37" s="3" t="s">
        <v>765</v>
      </c>
      <c r="B37" s="3" t="s">
        <v>700</v>
      </c>
      <c r="C37" s="49">
        <v>2607</v>
      </c>
      <c r="D37" s="26" t="s">
        <v>758</v>
      </c>
      <c r="E37" s="97">
        <v>0</v>
      </c>
      <c r="F37" s="97">
        <v>0</v>
      </c>
      <c r="G37" s="97">
        <v>0</v>
      </c>
      <c r="H37" s="97">
        <v>0</v>
      </c>
      <c r="I37" s="97">
        <v>0</v>
      </c>
      <c r="J37" s="97">
        <v>0</v>
      </c>
      <c r="K37" s="97">
        <v>0</v>
      </c>
      <c r="L37" s="97">
        <v>0</v>
      </c>
      <c r="M37" s="97">
        <v>0</v>
      </c>
      <c r="N37" s="97">
        <v>0</v>
      </c>
      <c r="O37" s="97">
        <v>0</v>
      </c>
      <c r="P37" s="97">
        <v>0</v>
      </c>
      <c r="Q37" s="103">
        <f t="shared" si="5"/>
        <v>0</v>
      </c>
      <c r="R37" s="121" t="e">
        <f t="shared" si="4"/>
        <v>#DIV/0!</v>
      </c>
      <c r="S37" s="35"/>
      <c r="T37" s="40">
        <f t="shared" si="1"/>
        <v>0</v>
      </c>
    </row>
    <row r="38" spans="1:20" s="3" customFormat="1" ht="24.95" hidden="1" customHeight="1">
      <c r="A38" s="3" t="s">
        <v>765</v>
      </c>
      <c r="B38" s="3" t="s">
        <v>700</v>
      </c>
      <c r="C38" s="49">
        <v>2607</v>
      </c>
      <c r="D38" s="26" t="s">
        <v>760</v>
      </c>
      <c r="E38" s="97">
        <v>0</v>
      </c>
      <c r="F38" s="97">
        <v>0</v>
      </c>
      <c r="G38" s="97">
        <v>0</v>
      </c>
      <c r="H38" s="97">
        <v>0</v>
      </c>
      <c r="I38" s="97">
        <v>0</v>
      </c>
      <c r="J38" s="97">
        <v>0</v>
      </c>
      <c r="K38" s="97">
        <v>0</v>
      </c>
      <c r="L38" s="97">
        <v>0</v>
      </c>
      <c r="M38" s="97">
        <v>0</v>
      </c>
      <c r="N38" s="97">
        <v>0</v>
      </c>
      <c r="O38" s="97">
        <v>0</v>
      </c>
      <c r="P38" s="97">
        <v>0</v>
      </c>
      <c r="Q38" s="103">
        <f t="shared" si="5"/>
        <v>0</v>
      </c>
      <c r="R38" s="121" t="e">
        <f t="shared" si="4"/>
        <v>#DIV/0!</v>
      </c>
      <c r="S38" s="35"/>
      <c r="T38" s="40">
        <f t="shared" si="1"/>
        <v>0</v>
      </c>
    </row>
    <row r="39" spans="1:20" s="3" customFormat="1" ht="24.95" customHeight="1">
      <c r="A39" s="3" t="s">
        <v>765</v>
      </c>
      <c r="B39" s="3" t="s">
        <v>700</v>
      </c>
      <c r="D39" s="26" t="s">
        <v>762</v>
      </c>
      <c r="E39" s="97">
        <v>0</v>
      </c>
      <c r="F39" s="97">
        <v>0</v>
      </c>
      <c r="G39" s="97">
        <v>0</v>
      </c>
      <c r="H39" s="97">
        <v>0</v>
      </c>
      <c r="I39" s="97">
        <v>0</v>
      </c>
      <c r="J39" s="97">
        <v>0</v>
      </c>
      <c r="K39" s="97">
        <v>0</v>
      </c>
      <c r="L39" s="97">
        <v>0</v>
      </c>
      <c r="M39" s="97">
        <v>0</v>
      </c>
      <c r="N39" s="97">
        <v>0</v>
      </c>
      <c r="O39" s="97">
        <v>0</v>
      </c>
      <c r="P39" s="97">
        <v>0</v>
      </c>
      <c r="Q39" s="103">
        <f t="shared" si="5"/>
        <v>0</v>
      </c>
      <c r="R39" s="121" t="e">
        <f t="shared" si="4"/>
        <v>#DIV/0!</v>
      </c>
      <c r="S39" s="35"/>
      <c r="T39" s="40">
        <f>-IF(Q39-S39=0,0,(Q39-S39)/S39)</f>
        <v>0</v>
      </c>
    </row>
    <row r="40" spans="1:20" s="19" customFormat="1" ht="24.95" customHeight="1">
      <c r="A40" s="3" t="s">
        <v>770</v>
      </c>
      <c r="B40" s="3" t="s">
        <v>700</v>
      </c>
      <c r="C40" s="3"/>
      <c r="D40" s="21" t="s">
        <v>771</v>
      </c>
      <c r="E40" s="98">
        <f>SUM(E24:E39)</f>
        <v>0</v>
      </c>
      <c r="F40" s="98">
        <f t="shared" ref="F40:P40" si="6">SUM(F24:F39)</f>
        <v>0</v>
      </c>
      <c r="G40" s="98">
        <f t="shared" si="6"/>
        <v>0</v>
      </c>
      <c r="H40" s="98">
        <f t="shared" si="6"/>
        <v>0</v>
      </c>
      <c r="I40" s="98">
        <f t="shared" si="6"/>
        <v>0</v>
      </c>
      <c r="J40" s="98">
        <f t="shared" si="6"/>
        <v>0</v>
      </c>
      <c r="K40" s="98">
        <f t="shared" si="6"/>
        <v>0</v>
      </c>
      <c r="L40" s="98">
        <f t="shared" si="6"/>
        <v>0</v>
      </c>
      <c r="M40" s="98">
        <f t="shared" si="6"/>
        <v>0</v>
      </c>
      <c r="N40" s="98">
        <f t="shared" si="6"/>
        <v>0</v>
      </c>
      <c r="O40" s="98">
        <f t="shared" si="6"/>
        <v>0</v>
      </c>
      <c r="P40" s="98">
        <f t="shared" si="6"/>
        <v>0</v>
      </c>
      <c r="Q40" s="118">
        <f t="shared" si="5"/>
        <v>0</v>
      </c>
      <c r="R40" s="121" t="e">
        <f t="shared" si="4"/>
        <v>#DIV/0!</v>
      </c>
      <c r="S40" s="35"/>
      <c r="T40" s="40">
        <f>-IF(Q40-S40=0,0,(Q40-S40)/S40)</f>
        <v>0</v>
      </c>
    </row>
    <row r="41" spans="1:20" s="19" customFormat="1" ht="24.95" customHeight="1">
      <c r="A41" s="3"/>
      <c r="B41" s="3"/>
      <c r="C41" s="3"/>
      <c r="D41" s="21"/>
      <c r="E41" s="99"/>
      <c r="F41" s="99"/>
      <c r="G41" s="99"/>
      <c r="H41" s="99"/>
      <c r="I41" s="99"/>
      <c r="J41" s="99"/>
      <c r="K41" s="99"/>
      <c r="L41" s="99"/>
      <c r="M41" s="99"/>
      <c r="N41" s="99"/>
      <c r="O41" s="99"/>
      <c r="P41" s="99"/>
      <c r="Q41" s="103"/>
      <c r="S41" s="35"/>
      <c r="T41" s="40"/>
    </row>
    <row r="42" spans="1:20" s="19" customFormat="1" ht="24.95" customHeight="1">
      <c r="A42" s="19" t="s">
        <v>482</v>
      </c>
      <c r="B42" s="3" t="s">
        <v>700</v>
      </c>
      <c r="D42" s="19" t="s">
        <v>772</v>
      </c>
      <c r="E42" s="99">
        <f>E148</f>
        <v>0</v>
      </c>
      <c r="F42" s="99">
        <f t="shared" ref="F42:P42" si="7">F148</f>
        <v>0</v>
      </c>
      <c r="G42" s="99">
        <f t="shared" si="7"/>
        <v>0</v>
      </c>
      <c r="H42" s="99">
        <f t="shared" si="7"/>
        <v>0</v>
      </c>
      <c r="I42" s="99">
        <f t="shared" si="7"/>
        <v>0</v>
      </c>
      <c r="J42" s="99">
        <f t="shared" si="7"/>
        <v>0</v>
      </c>
      <c r="K42" s="99">
        <f t="shared" si="7"/>
        <v>0</v>
      </c>
      <c r="L42" s="99">
        <f t="shared" si="7"/>
        <v>0</v>
      </c>
      <c r="M42" s="99">
        <f t="shared" si="7"/>
        <v>0</v>
      </c>
      <c r="N42" s="99">
        <f t="shared" si="7"/>
        <v>0</v>
      </c>
      <c r="O42" s="99">
        <f t="shared" si="7"/>
        <v>0</v>
      </c>
      <c r="P42" s="99">
        <f t="shared" si="7"/>
        <v>0</v>
      </c>
      <c r="Q42" s="104">
        <f>SUM(E42:P42)</f>
        <v>0</v>
      </c>
      <c r="R42" s="121" t="e">
        <f>Q42/$Q$21</f>
        <v>#DIV/0!</v>
      </c>
      <c r="S42" s="35"/>
      <c r="T42" s="40">
        <f>-IF(Q42-S42=0,0,(Q42-S42)/S42)</f>
        <v>0</v>
      </c>
    </row>
    <row r="43" spans="1:20" s="19" customFormat="1" ht="24.95" customHeight="1">
      <c r="D43" s="26"/>
      <c r="E43" s="99"/>
      <c r="F43" s="99"/>
      <c r="G43" s="99"/>
      <c r="H43" s="99"/>
      <c r="I43" s="99"/>
      <c r="J43" s="99"/>
      <c r="K43" s="99"/>
      <c r="L43" s="99"/>
      <c r="M43" s="99"/>
      <c r="N43" s="99"/>
      <c r="O43" s="99"/>
      <c r="P43" s="99"/>
      <c r="Q43" s="103"/>
      <c r="S43" s="35"/>
      <c r="T43" s="40"/>
    </row>
    <row r="44" spans="1:20" s="19" customFormat="1" ht="24.95" customHeight="1">
      <c r="D44" s="21" t="s">
        <v>773</v>
      </c>
      <c r="E44" s="99"/>
      <c r="F44" s="99"/>
      <c r="G44" s="99"/>
      <c r="H44" s="99"/>
      <c r="I44" s="99"/>
      <c r="J44" s="99"/>
      <c r="K44" s="99"/>
      <c r="L44" s="99"/>
      <c r="M44" s="99"/>
      <c r="N44" s="99"/>
      <c r="O44" s="99"/>
      <c r="P44" s="99"/>
      <c r="Q44" s="103"/>
      <c r="S44" s="35"/>
      <c r="T44" s="40"/>
    </row>
    <row r="45" spans="1:20" s="19" customFormat="1" ht="24.95" hidden="1" customHeight="1">
      <c r="A45" s="19" t="s">
        <v>484</v>
      </c>
      <c r="B45" s="3" t="s">
        <v>700</v>
      </c>
      <c r="D45" s="26" t="s">
        <v>141</v>
      </c>
      <c r="E45" s="97">
        <v>0</v>
      </c>
      <c r="F45" s="97">
        <v>0</v>
      </c>
      <c r="G45" s="97">
        <v>0</v>
      </c>
      <c r="H45" s="97">
        <v>0</v>
      </c>
      <c r="I45" s="97">
        <v>0</v>
      </c>
      <c r="J45" s="97">
        <v>0</v>
      </c>
      <c r="K45" s="97">
        <v>0</v>
      </c>
      <c r="L45" s="97">
        <v>0</v>
      </c>
      <c r="M45" s="97">
        <v>0</v>
      </c>
      <c r="N45" s="97">
        <v>0</v>
      </c>
      <c r="O45" s="97">
        <v>0</v>
      </c>
      <c r="P45" s="97">
        <v>0</v>
      </c>
      <c r="Q45" s="103">
        <f>SUM(E45:P45)</f>
        <v>0</v>
      </c>
      <c r="S45" s="35"/>
      <c r="T45" s="40">
        <f t="shared" si="1"/>
        <v>0</v>
      </c>
    </row>
    <row r="46" spans="1:20" s="19" customFormat="1" ht="24.95" hidden="1" customHeight="1">
      <c r="A46" s="19" t="s">
        <v>486</v>
      </c>
      <c r="B46" s="3" t="s">
        <v>700</v>
      </c>
      <c r="D46" s="26" t="s">
        <v>143</v>
      </c>
      <c r="E46" s="97">
        <v>0</v>
      </c>
      <c r="F46" s="97">
        <v>0</v>
      </c>
      <c r="G46" s="97">
        <v>0</v>
      </c>
      <c r="H46" s="97">
        <v>0</v>
      </c>
      <c r="I46" s="97">
        <v>0</v>
      </c>
      <c r="J46" s="97">
        <v>0</v>
      </c>
      <c r="K46" s="97">
        <v>0</v>
      </c>
      <c r="L46" s="97">
        <v>0</v>
      </c>
      <c r="M46" s="97">
        <v>0</v>
      </c>
      <c r="N46" s="97">
        <v>0</v>
      </c>
      <c r="O46" s="97">
        <v>0</v>
      </c>
      <c r="P46" s="97">
        <v>0</v>
      </c>
      <c r="Q46" s="103">
        <f t="shared" ref="Q46:Q109" si="8">SUM(E46:P46)</f>
        <v>0</v>
      </c>
      <c r="S46" s="35"/>
      <c r="T46" s="40">
        <f t="shared" si="1"/>
        <v>0</v>
      </c>
    </row>
    <row r="47" spans="1:20" s="19" customFormat="1" ht="24.95" hidden="1" customHeight="1">
      <c r="A47" s="19" t="s">
        <v>488</v>
      </c>
      <c r="B47" s="3" t="s">
        <v>700</v>
      </c>
      <c r="D47" s="26" t="s">
        <v>145</v>
      </c>
      <c r="E47" s="97">
        <v>0</v>
      </c>
      <c r="F47" s="97">
        <v>0</v>
      </c>
      <c r="G47" s="97">
        <v>0</v>
      </c>
      <c r="H47" s="97">
        <v>0</v>
      </c>
      <c r="I47" s="97">
        <v>0</v>
      </c>
      <c r="J47" s="97">
        <v>0</v>
      </c>
      <c r="K47" s="97">
        <v>0</v>
      </c>
      <c r="L47" s="97">
        <v>0</v>
      </c>
      <c r="M47" s="97">
        <v>0</v>
      </c>
      <c r="N47" s="97">
        <v>0</v>
      </c>
      <c r="O47" s="97">
        <v>0</v>
      </c>
      <c r="P47" s="97">
        <v>0</v>
      </c>
      <c r="Q47" s="103">
        <f t="shared" si="8"/>
        <v>0</v>
      </c>
      <c r="S47" s="35"/>
      <c r="T47" s="40">
        <f t="shared" si="1"/>
        <v>0</v>
      </c>
    </row>
    <row r="48" spans="1:20" s="19" customFormat="1" ht="24.95" hidden="1" customHeight="1">
      <c r="A48" s="19" t="s">
        <v>490</v>
      </c>
      <c r="B48" s="3" t="s">
        <v>700</v>
      </c>
      <c r="D48" s="26" t="s">
        <v>147</v>
      </c>
      <c r="E48" s="97">
        <v>0</v>
      </c>
      <c r="F48" s="97">
        <v>0</v>
      </c>
      <c r="G48" s="97">
        <v>0</v>
      </c>
      <c r="H48" s="97">
        <v>0</v>
      </c>
      <c r="I48" s="97">
        <v>0</v>
      </c>
      <c r="J48" s="97">
        <v>0</v>
      </c>
      <c r="K48" s="97">
        <v>0</v>
      </c>
      <c r="L48" s="97">
        <v>0</v>
      </c>
      <c r="M48" s="97">
        <v>0</v>
      </c>
      <c r="N48" s="97">
        <v>0</v>
      </c>
      <c r="O48" s="97">
        <v>0</v>
      </c>
      <c r="P48" s="97">
        <v>0</v>
      </c>
      <c r="Q48" s="103">
        <f t="shared" si="8"/>
        <v>0</v>
      </c>
      <c r="S48" s="35"/>
      <c r="T48" s="40">
        <f t="shared" si="1"/>
        <v>0</v>
      </c>
    </row>
    <row r="49" spans="1:20" s="19" customFormat="1" ht="24.95" hidden="1" customHeight="1">
      <c r="A49" s="19" t="s">
        <v>492</v>
      </c>
      <c r="B49" s="3" t="s">
        <v>700</v>
      </c>
      <c r="D49" s="26" t="s">
        <v>149</v>
      </c>
      <c r="E49" s="97">
        <v>0</v>
      </c>
      <c r="F49" s="97">
        <v>0</v>
      </c>
      <c r="G49" s="97">
        <v>0</v>
      </c>
      <c r="H49" s="97">
        <v>0</v>
      </c>
      <c r="I49" s="97">
        <v>0</v>
      </c>
      <c r="J49" s="97">
        <v>0</v>
      </c>
      <c r="K49" s="97">
        <v>0</v>
      </c>
      <c r="L49" s="97">
        <v>0</v>
      </c>
      <c r="M49" s="97">
        <v>0</v>
      </c>
      <c r="N49" s="97">
        <v>0</v>
      </c>
      <c r="O49" s="97">
        <v>0</v>
      </c>
      <c r="P49" s="97">
        <v>0</v>
      </c>
      <c r="Q49" s="103">
        <f t="shared" si="8"/>
        <v>0</v>
      </c>
      <c r="S49" s="35"/>
      <c r="T49" s="40">
        <f t="shared" si="1"/>
        <v>0</v>
      </c>
    </row>
    <row r="50" spans="1:20" s="19" customFormat="1" ht="24.95" hidden="1" customHeight="1">
      <c r="A50" s="19" t="s">
        <v>494</v>
      </c>
      <c r="B50" s="3" t="s">
        <v>700</v>
      </c>
      <c r="D50" s="26" t="s">
        <v>151</v>
      </c>
      <c r="E50" s="97">
        <v>0</v>
      </c>
      <c r="F50" s="97">
        <v>0</v>
      </c>
      <c r="G50" s="97">
        <v>0</v>
      </c>
      <c r="H50" s="97">
        <v>0</v>
      </c>
      <c r="I50" s="97">
        <v>0</v>
      </c>
      <c r="J50" s="97">
        <v>0</v>
      </c>
      <c r="K50" s="97">
        <v>0</v>
      </c>
      <c r="L50" s="97">
        <v>0</v>
      </c>
      <c r="M50" s="97">
        <v>0</v>
      </c>
      <c r="N50" s="97">
        <v>0</v>
      </c>
      <c r="O50" s="97">
        <v>0</v>
      </c>
      <c r="P50" s="97">
        <v>0</v>
      </c>
      <c r="Q50" s="103">
        <f t="shared" si="8"/>
        <v>0</v>
      </c>
      <c r="S50" s="35"/>
      <c r="T50" s="40">
        <f t="shared" si="1"/>
        <v>0</v>
      </c>
    </row>
    <row r="51" spans="1:20" s="19" customFormat="1" ht="24.95" hidden="1" customHeight="1">
      <c r="A51" s="19" t="s">
        <v>496</v>
      </c>
      <c r="B51" s="3" t="s">
        <v>700</v>
      </c>
      <c r="D51" s="26" t="s">
        <v>153</v>
      </c>
      <c r="E51" s="97">
        <v>0</v>
      </c>
      <c r="F51" s="97">
        <v>0</v>
      </c>
      <c r="G51" s="97">
        <v>0</v>
      </c>
      <c r="H51" s="97">
        <v>0</v>
      </c>
      <c r="I51" s="97">
        <v>0</v>
      </c>
      <c r="J51" s="97">
        <v>0</v>
      </c>
      <c r="K51" s="97">
        <v>0</v>
      </c>
      <c r="L51" s="97">
        <v>0</v>
      </c>
      <c r="M51" s="97">
        <v>0</v>
      </c>
      <c r="N51" s="97">
        <v>0</v>
      </c>
      <c r="O51" s="97">
        <v>0</v>
      </c>
      <c r="P51" s="97">
        <v>0</v>
      </c>
      <c r="Q51" s="103">
        <f t="shared" si="8"/>
        <v>0</v>
      </c>
      <c r="S51" s="35"/>
      <c r="T51" s="40">
        <f t="shared" si="1"/>
        <v>0</v>
      </c>
    </row>
    <row r="52" spans="1:20" s="19" customFormat="1" ht="24.95" hidden="1" customHeight="1">
      <c r="A52" s="19" t="s">
        <v>498</v>
      </c>
      <c r="B52" s="3" t="s">
        <v>700</v>
      </c>
      <c r="D52" s="26" t="s">
        <v>155</v>
      </c>
      <c r="E52" s="97">
        <v>0</v>
      </c>
      <c r="F52" s="97">
        <v>0</v>
      </c>
      <c r="G52" s="97">
        <v>0</v>
      </c>
      <c r="H52" s="97">
        <v>0</v>
      </c>
      <c r="I52" s="97">
        <v>0</v>
      </c>
      <c r="J52" s="97">
        <v>0</v>
      </c>
      <c r="K52" s="97">
        <v>0</v>
      </c>
      <c r="L52" s="97">
        <v>0</v>
      </c>
      <c r="M52" s="97">
        <v>0</v>
      </c>
      <c r="N52" s="97">
        <v>0</v>
      </c>
      <c r="O52" s="97">
        <v>0</v>
      </c>
      <c r="P52" s="97">
        <v>0</v>
      </c>
      <c r="Q52" s="103">
        <f t="shared" si="8"/>
        <v>0</v>
      </c>
      <c r="S52" s="35"/>
      <c r="T52" s="40">
        <f t="shared" si="1"/>
        <v>0</v>
      </c>
    </row>
    <row r="53" spans="1:20" s="19" customFormat="1" ht="24.95" hidden="1" customHeight="1">
      <c r="A53" s="19" t="s">
        <v>500</v>
      </c>
      <c r="B53" s="3" t="s">
        <v>700</v>
      </c>
      <c r="D53" s="26" t="s">
        <v>157</v>
      </c>
      <c r="E53" s="97">
        <v>0</v>
      </c>
      <c r="F53" s="97">
        <v>0</v>
      </c>
      <c r="G53" s="97">
        <v>0</v>
      </c>
      <c r="H53" s="97">
        <v>0</v>
      </c>
      <c r="I53" s="97">
        <v>0</v>
      </c>
      <c r="J53" s="97">
        <v>0</v>
      </c>
      <c r="K53" s="97">
        <v>0</v>
      </c>
      <c r="L53" s="97">
        <v>0</v>
      </c>
      <c r="M53" s="97">
        <v>0</v>
      </c>
      <c r="N53" s="97">
        <v>0</v>
      </c>
      <c r="O53" s="97">
        <v>0</v>
      </c>
      <c r="P53" s="97">
        <v>0</v>
      </c>
      <c r="Q53" s="103">
        <f t="shared" si="8"/>
        <v>0</v>
      </c>
      <c r="S53" s="35"/>
      <c r="T53" s="40">
        <f t="shared" si="1"/>
        <v>0</v>
      </c>
    </row>
    <row r="54" spans="1:20" s="19" customFormat="1" ht="24.95" hidden="1" customHeight="1">
      <c r="A54" s="19" t="s">
        <v>502</v>
      </c>
      <c r="B54" s="3" t="s">
        <v>700</v>
      </c>
      <c r="D54" s="26" t="s">
        <v>159</v>
      </c>
      <c r="E54" s="97">
        <v>0</v>
      </c>
      <c r="F54" s="97">
        <v>0</v>
      </c>
      <c r="G54" s="97">
        <v>0</v>
      </c>
      <c r="H54" s="97">
        <v>0</v>
      </c>
      <c r="I54" s="97">
        <v>0</v>
      </c>
      <c r="J54" s="97">
        <v>0</v>
      </c>
      <c r="K54" s="97">
        <v>0</v>
      </c>
      <c r="L54" s="97">
        <v>0</v>
      </c>
      <c r="M54" s="97">
        <v>0</v>
      </c>
      <c r="N54" s="97">
        <v>0</v>
      </c>
      <c r="O54" s="97">
        <v>0</v>
      </c>
      <c r="P54" s="97">
        <v>0</v>
      </c>
      <c r="Q54" s="103">
        <f t="shared" si="8"/>
        <v>0</v>
      </c>
      <c r="S54" s="35"/>
      <c r="T54" s="40">
        <f t="shared" si="1"/>
        <v>0</v>
      </c>
    </row>
    <row r="55" spans="1:20" s="19" customFormat="1" ht="24.95" hidden="1" customHeight="1">
      <c r="A55" s="19" t="s">
        <v>504</v>
      </c>
      <c r="B55" s="3" t="s">
        <v>700</v>
      </c>
      <c r="D55" s="26" t="s">
        <v>161</v>
      </c>
      <c r="E55" s="97">
        <v>0</v>
      </c>
      <c r="F55" s="97">
        <v>0</v>
      </c>
      <c r="G55" s="97">
        <v>0</v>
      </c>
      <c r="H55" s="97">
        <v>0</v>
      </c>
      <c r="I55" s="97">
        <v>0</v>
      </c>
      <c r="J55" s="97">
        <v>0</v>
      </c>
      <c r="K55" s="97">
        <v>0</v>
      </c>
      <c r="L55" s="97">
        <v>0</v>
      </c>
      <c r="M55" s="97">
        <v>0</v>
      </c>
      <c r="N55" s="97">
        <v>0</v>
      </c>
      <c r="O55" s="97">
        <v>0</v>
      </c>
      <c r="P55" s="97">
        <v>0</v>
      </c>
      <c r="Q55" s="103">
        <f t="shared" si="8"/>
        <v>0</v>
      </c>
      <c r="S55" s="35"/>
      <c r="T55" s="40">
        <f t="shared" si="1"/>
        <v>0</v>
      </c>
    </row>
    <row r="56" spans="1:20" s="19" customFormat="1" ht="24.95" hidden="1" customHeight="1">
      <c r="A56" s="19" t="s">
        <v>506</v>
      </c>
      <c r="B56" s="3" t="s">
        <v>700</v>
      </c>
      <c r="D56" s="26" t="s">
        <v>163</v>
      </c>
      <c r="E56" s="97">
        <v>0</v>
      </c>
      <c r="F56" s="97">
        <v>0</v>
      </c>
      <c r="G56" s="97">
        <v>0</v>
      </c>
      <c r="H56" s="97">
        <v>0</v>
      </c>
      <c r="I56" s="97">
        <v>0</v>
      </c>
      <c r="J56" s="97">
        <v>0</v>
      </c>
      <c r="K56" s="97">
        <v>0</v>
      </c>
      <c r="L56" s="97">
        <v>0</v>
      </c>
      <c r="M56" s="97">
        <v>0</v>
      </c>
      <c r="N56" s="97">
        <v>0</v>
      </c>
      <c r="O56" s="97">
        <v>0</v>
      </c>
      <c r="P56" s="97">
        <v>0</v>
      </c>
      <c r="Q56" s="103">
        <f t="shared" si="8"/>
        <v>0</v>
      </c>
      <c r="S56" s="35"/>
      <c r="T56" s="40">
        <f t="shared" si="1"/>
        <v>0</v>
      </c>
    </row>
    <row r="57" spans="1:20" s="19" customFormat="1" ht="24.95" hidden="1" customHeight="1">
      <c r="A57" s="19" t="s">
        <v>508</v>
      </c>
      <c r="B57" s="3" t="s">
        <v>700</v>
      </c>
      <c r="D57" s="26" t="s">
        <v>165</v>
      </c>
      <c r="E57" s="97">
        <v>0</v>
      </c>
      <c r="F57" s="97">
        <v>0</v>
      </c>
      <c r="G57" s="97">
        <v>0</v>
      </c>
      <c r="H57" s="97">
        <v>0</v>
      </c>
      <c r="I57" s="97">
        <v>0</v>
      </c>
      <c r="J57" s="97">
        <v>0</v>
      </c>
      <c r="K57" s="97">
        <v>0</v>
      </c>
      <c r="L57" s="97">
        <v>0</v>
      </c>
      <c r="M57" s="97">
        <v>0</v>
      </c>
      <c r="N57" s="97">
        <v>0</v>
      </c>
      <c r="O57" s="97">
        <v>0</v>
      </c>
      <c r="P57" s="97">
        <v>0</v>
      </c>
      <c r="Q57" s="103">
        <f t="shared" si="8"/>
        <v>0</v>
      </c>
      <c r="S57" s="35"/>
      <c r="T57" s="40">
        <f t="shared" si="1"/>
        <v>0</v>
      </c>
    </row>
    <row r="58" spans="1:20" s="19" customFormat="1" ht="24.95" hidden="1" customHeight="1">
      <c r="A58" s="19" t="s">
        <v>510</v>
      </c>
      <c r="B58" s="3" t="s">
        <v>700</v>
      </c>
      <c r="D58" s="26" t="s">
        <v>167</v>
      </c>
      <c r="E58" s="97">
        <v>0</v>
      </c>
      <c r="F58" s="97">
        <v>0</v>
      </c>
      <c r="G58" s="97">
        <v>0</v>
      </c>
      <c r="H58" s="97">
        <v>0</v>
      </c>
      <c r="I58" s="97">
        <v>0</v>
      </c>
      <c r="J58" s="97">
        <v>0</v>
      </c>
      <c r="K58" s="97">
        <v>0</v>
      </c>
      <c r="L58" s="97">
        <v>0</v>
      </c>
      <c r="M58" s="97">
        <v>0</v>
      </c>
      <c r="N58" s="97">
        <v>0</v>
      </c>
      <c r="O58" s="97">
        <v>0</v>
      </c>
      <c r="P58" s="97">
        <v>0</v>
      </c>
      <c r="Q58" s="103">
        <f t="shared" si="8"/>
        <v>0</v>
      </c>
      <c r="S58" s="35"/>
      <c r="T58" s="40">
        <f t="shared" si="1"/>
        <v>0</v>
      </c>
    </row>
    <row r="59" spans="1:20" s="3" customFormat="1" ht="24.95" hidden="1" customHeight="1">
      <c r="A59" s="3" t="s">
        <v>512</v>
      </c>
      <c r="B59" s="3" t="s">
        <v>700</v>
      </c>
      <c r="D59" s="26" t="s">
        <v>169</v>
      </c>
      <c r="E59" s="97">
        <v>0</v>
      </c>
      <c r="F59" s="97">
        <v>0</v>
      </c>
      <c r="G59" s="97">
        <v>0</v>
      </c>
      <c r="H59" s="97">
        <v>0</v>
      </c>
      <c r="I59" s="97">
        <v>0</v>
      </c>
      <c r="J59" s="97">
        <v>0</v>
      </c>
      <c r="K59" s="97">
        <v>0</v>
      </c>
      <c r="L59" s="97">
        <v>0</v>
      </c>
      <c r="M59" s="97">
        <v>0</v>
      </c>
      <c r="N59" s="97">
        <v>0</v>
      </c>
      <c r="O59" s="97">
        <v>0</v>
      </c>
      <c r="P59" s="97">
        <v>0</v>
      </c>
      <c r="Q59" s="103">
        <f t="shared" si="8"/>
        <v>0</v>
      </c>
      <c r="S59" s="35"/>
      <c r="T59" s="40">
        <f t="shared" si="1"/>
        <v>0</v>
      </c>
    </row>
    <row r="60" spans="1:20" s="3" customFormat="1" ht="24.95" hidden="1" customHeight="1">
      <c r="A60" s="3" t="s">
        <v>513</v>
      </c>
      <c r="B60" s="3" t="s">
        <v>700</v>
      </c>
      <c r="D60" s="26" t="s">
        <v>171</v>
      </c>
      <c r="E60" s="97">
        <v>0</v>
      </c>
      <c r="F60" s="97">
        <v>0</v>
      </c>
      <c r="G60" s="97">
        <v>0</v>
      </c>
      <c r="H60" s="97">
        <v>0</v>
      </c>
      <c r="I60" s="97">
        <v>0</v>
      </c>
      <c r="J60" s="97">
        <v>0</v>
      </c>
      <c r="K60" s="97">
        <v>0</v>
      </c>
      <c r="L60" s="97">
        <v>0</v>
      </c>
      <c r="M60" s="97">
        <v>0</v>
      </c>
      <c r="N60" s="97">
        <v>0</v>
      </c>
      <c r="O60" s="97">
        <v>0</v>
      </c>
      <c r="P60" s="97">
        <v>0</v>
      </c>
      <c r="Q60" s="103">
        <f t="shared" si="8"/>
        <v>0</v>
      </c>
      <c r="S60" s="35"/>
      <c r="T60" s="40">
        <f t="shared" si="1"/>
        <v>0</v>
      </c>
    </row>
    <row r="61" spans="1:20" s="3" customFormat="1" ht="24.95" hidden="1" customHeight="1">
      <c r="A61" s="271" t="s">
        <v>514</v>
      </c>
      <c r="B61" s="3" t="s">
        <v>700</v>
      </c>
      <c r="D61" s="26" t="s">
        <v>173</v>
      </c>
      <c r="E61" s="97">
        <v>0</v>
      </c>
      <c r="F61" s="97">
        <v>0</v>
      </c>
      <c r="G61" s="97">
        <v>0</v>
      </c>
      <c r="H61" s="97">
        <v>0</v>
      </c>
      <c r="I61" s="97">
        <v>0</v>
      </c>
      <c r="J61" s="97">
        <v>0</v>
      </c>
      <c r="K61" s="97">
        <v>0</v>
      </c>
      <c r="L61" s="97">
        <v>0</v>
      </c>
      <c r="M61" s="97">
        <v>0</v>
      </c>
      <c r="N61" s="97">
        <v>0</v>
      </c>
      <c r="O61" s="97">
        <v>0</v>
      </c>
      <c r="P61" s="97">
        <v>0</v>
      </c>
      <c r="Q61" s="103">
        <f t="shared" si="8"/>
        <v>0</v>
      </c>
      <c r="S61" s="35"/>
      <c r="T61" s="40">
        <f t="shared" si="1"/>
        <v>0</v>
      </c>
    </row>
    <row r="62" spans="1:20" s="3" customFormat="1" ht="24.95" hidden="1" customHeight="1">
      <c r="A62" s="271" t="s">
        <v>516</v>
      </c>
      <c r="B62" s="3" t="s">
        <v>700</v>
      </c>
      <c r="D62" s="26" t="s">
        <v>175</v>
      </c>
      <c r="E62" s="97">
        <v>0</v>
      </c>
      <c r="F62" s="97">
        <v>0</v>
      </c>
      <c r="G62" s="97">
        <v>0</v>
      </c>
      <c r="H62" s="97">
        <v>0</v>
      </c>
      <c r="I62" s="97">
        <v>0</v>
      </c>
      <c r="J62" s="97">
        <v>0</v>
      </c>
      <c r="K62" s="97">
        <v>0</v>
      </c>
      <c r="L62" s="97">
        <v>0</v>
      </c>
      <c r="M62" s="97">
        <v>0</v>
      </c>
      <c r="N62" s="97">
        <v>0</v>
      </c>
      <c r="O62" s="97">
        <v>0</v>
      </c>
      <c r="P62" s="97">
        <v>0</v>
      </c>
      <c r="Q62" s="103">
        <f t="shared" si="8"/>
        <v>0</v>
      </c>
      <c r="S62" s="35"/>
      <c r="T62" s="40">
        <f t="shared" si="1"/>
        <v>0</v>
      </c>
    </row>
    <row r="63" spans="1:20" s="3" customFormat="1" ht="24.95" hidden="1" customHeight="1">
      <c r="A63" s="3" t="s">
        <v>518</v>
      </c>
      <c r="B63" s="3" t="s">
        <v>700</v>
      </c>
      <c r="D63" s="26" t="s">
        <v>177</v>
      </c>
      <c r="E63" s="97">
        <v>0</v>
      </c>
      <c r="F63" s="97">
        <v>0</v>
      </c>
      <c r="G63" s="97">
        <v>0</v>
      </c>
      <c r="H63" s="97">
        <v>0</v>
      </c>
      <c r="I63" s="97">
        <v>0</v>
      </c>
      <c r="J63" s="97">
        <v>0</v>
      </c>
      <c r="K63" s="97">
        <v>0</v>
      </c>
      <c r="L63" s="97">
        <v>0</v>
      </c>
      <c r="M63" s="97">
        <v>0</v>
      </c>
      <c r="N63" s="97">
        <v>0</v>
      </c>
      <c r="O63" s="97">
        <v>0</v>
      </c>
      <c r="P63" s="97">
        <v>0</v>
      </c>
      <c r="Q63" s="103">
        <f t="shared" si="8"/>
        <v>0</v>
      </c>
      <c r="S63" s="35"/>
      <c r="T63" s="40">
        <f t="shared" si="1"/>
        <v>0</v>
      </c>
    </row>
    <row r="64" spans="1:20" s="3" customFormat="1" ht="24.95" hidden="1" customHeight="1">
      <c r="A64" s="3" t="s">
        <v>520</v>
      </c>
      <c r="B64" s="3" t="s">
        <v>700</v>
      </c>
      <c r="D64" s="26" t="s">
        <v>179</v>
      </c>
      <c r="E64" s="97">
        <v>0</v>
      </c>
      <c r="F64" s="97">
        <v>0</v>
      </c>
      <c r="G64" s="97">
        <v>0</v>
      </c>
      <c r="H64" s="97">
        <v>0</v>
      </c>
      <c r="I64" s="97">
        <v>0</v>
      </c>
      <c r="J64" s="97">
        <v>0</v>
      </c>
      <c r="K64" s="97">
        <v>0</v>
      </c>
      <c r="L64" s="97">
        <v>0</v>
      </c>
      <c r="M64" s="97">
        <v>0</v>
      </c>
      <c r="N64" s="97">
        <v>0</v>
      </c>
      <c r="O64" s="97">
        <v>0</v>
      </c>
      <c r="P64" s="97">
        <v>0</v>
      </c>
      <c r="Q64" s="103">
        <f t="shared" si="8"/>
        <v>0</v>
      </c>
      <c r="S64" s="35"/>
      <c r="T64" s="40">
        <f t="shared" si="1"/>
        <v>0</v>
      </c>
    </row>
    <row r="65" spans="1:20" s="3" customFormat="1" ht="24.95" hidden="1" customHeight="1">
      <c r="A65" s="271" t="s">
        <v>522</v>
      </c>
      <c r="B65" s="3" t="s">
        <v>700</v>
      </c>
      <c r="D65" s="26" t="s">
        <v>181</v>
      </c>
      <c r="E65" s="97">
        <v>0</v>
      </c>
      <c r="F65" s="97">
        <v>0</v>
      </c>
      <c r="G65" s="97">
        <v>0</v>
      </c>
      <c r="H65" s="97">
        <v>0</v>
      </c>
      <c r="I65" s="97">
        <v>0</v>
      </c>
      <c r="J65" s="97">
        <v>0</v>
      </c>
      <c r="K65" s="97">
        <v>0</v>
      </c>
      <c r="L65" s="97">
        <v>0</v>
      </c>
      <c r="M65" s="97">
        <v>0</v>
      </c>
      <c r="N65" s="97">
        <v>0</v>
      </c>
      <c r="O65" s="97">
        <v>0</v>
      </c>
      <c r="P65" s="97">
        <v>0</v>
      </c>
      <c r="Q65" s="103">
        <f t="shared" si="8"/>
        <v>0</v>
      </c>
      <c r="S65" s="35"/>
      <c r="T65" s="40">
        <f t="shared" si="1"/>
        <v>0</v>
      </c>
    </row>
    <row r="66" spans="1:20" s="3" customFormat="1" ht="24.95" hidden="1" customHeight="1">
      <c r="A66" s="54" t="s">
        <v>524</v>
      </c>
      <c r="B66" s="3" t="s">
        <v>700</v>
      </c>
      <c r="D66" s="26" t="s">
        <v>183</v>
      </c>
      <c r="E66" s="97">
        <v>0</v>
      </c>
      <c r="F66" s="97">
        <v>0</v>
      </c>
      <c r="G66" s="97">
        <v>0</v>
      </c>
      <c r="H66" s="97">
        <v>0</v>
      </c>
      <c r="I66" s="97">
        <v>0</v>
      </c>
      <c r="J66" s="97">
        <v>0</v>
      </c>
      <c r="K66" s="97">
        <v>0</v>
      </c>
      <c r="L66" s="97">
        <v>0</v>
      </c>
      <c r="M66" s="97">
        <v>0</v>
      </c>
      <c r="N66" s="97">
        <v>0</v>
      </c>
      <c r="O66" s="97">
        <v>0</v>
      </c>
      <c r="P66" s="97">
        <v>0</v>
      </c>
      <c r="Q66" s="103">
        <f t="shared" si="8"/>
        <v>0</v>
      </c>
      <c r="S66" s="35"/>
      <c r="T66" s="40">
        <f t="shared" si="1"/>
        <v>0</v>
      </c>
    </row>
    <row r="67" spans="1:20" s="3" customFormat="1" ht="24.95" hidden="1" customHeight="1">
      <c r="A67" s="271" t="s">
        <v>526</v>
      </c>
      <c r="B67" s="3" t="s">
        <v>700</v>
      </c>
      <c r="D67" s="26" t="s">
        <v>185</v>
      </c>
      <c r="E67" s="97">
        <v>0</v>
      </c>
      <c r="F67" s="97">
        <v>0</v>
      </c>
      <c r="G67" s="97">
        <v>0</v>
      </c>
      <c r="H67" s="97">
        <v>0</v>
      </c>
      <c r="I67" s="97">
        <v>0</v>
      </c>
      <c r="J67" s="97">
        <v>0</v>
      </c>
      <c r="K67" s="97">
        <v>0</v>
      </c>
      <c r="L67" s="97">
        <v>0</v>
      </c>
      <c r="M67" s="97">
        <v>0</v>
      </c>
      <c r="N67" s="97">
        <v>0</v>
      </c>
      <c r="O67" s="97">
        <v>0</v>
      </c>
      <c r="P67" s="97">
        <v>0</v>
      </c>
      <c r="Q67" s="103">
        <f t="shared" si="8"/>
        <v>0</v>
      </c>
      <c r="S67" s="35"/>
      <c r="T67" s="40">
        <f t="shared" si="1"/>
        <v>0</v>
      </c>
    </row>
    <row r="68" spans="1:20" s="3" customFormat="1" ht="24.95" hidden="1" customHeight="1">
      <c r="A68" s="271" t="s">
        <v>528</v>
      </c>
      <c r="B68" s="3" t="s">
        <v>700</v>
      </c>
      <c r="D68" s="26" t="s">
        <v>187</v>
      </c>
      <c r="E68" s="97">
        <v>0</v>
      </c>
      <c r="F68" s="97">
        <v>0</v>
      </c>
      <c r="G68" s="97">
        <v>0</v>
      </c>
      <c r="H68" s="97">
        <v>0</v>
      </c>
      <c r="I68" s="97">
        <v>0</v>
      </c>
      <c r="J68" s="97">
        <v>0</v>
      </c>
      <c r="K68" s="97">
        <v>0</v>
      </c>
      <c r="L68" s="97">
        <v>0</v>
      </c>
      <c r="M68" s="97">
        <v>0</v>
      </c>
      <c r="N68" s="97">
        <v>0</v>
      </c>
      <c r="O68" s="97">
        <v>0</v>
      </c>
      <c r="P68" s="97">
        <v>0</v>
      </c>
      <c r="Q68" s="103">
        <f t="shared" si="8"/>
        <v>0</v>
      </c>
      <c r="S68" s="35"/>
      <c r="T68" s="40">
        <f t="shared" si="1"/>
        <v>0</v>
      </c>
    </row>
    <row r="69" spans="1:20" s="3" customFormat="1" ht="24.95" hidden="1" customHeight="1">
      <c r="A69" s="271" t="s">
        <v>530</v>
      </c>
      <c r="B69" s="3" t="s">
        <v>700</v>
      </c>
      <c r="D69" s="26" t="s">
        <v>189</v>
      </c>
      <c r="E69" s="97">
        <v>0</v>
      </c>
      <c r="F69" s="97">
        <v>0</v>
      </c>
      <c r="G69" s="97">
        <v>0</v>
      </c>
      <c r="H69" s="97">
        <v>0</v>
      </c>
      <c r="I69" s="97">
        <v>0</v>
      </c>
      <c r="J69" s="97">
        <v>0</v>
      </c>
      <c r="K69" s="97">
        <v>0</v>
      </c>
      <c r="L69" s="97">
        <v>0</v>
      </c>
      <c r="M69" s="97">
        <v>0</v>
      </c>
      <c r="N69" s="97">
        <v>0</v>
      </c>
      <c r="O69" s="97">
        <v>0</v>
      </c>
      <c r="P69" s="97">
        <v>0</v>
      </c>
      <c r="Q69" s="103">
        <f t="shared" si="8"/>
        <v>0</v>
      </c>
      <c r="S69" s="35"/>
      <c r="T69" s="40">
        <f t="shared" si="1"/>
        <v>0</v>
      </c>
    </row>
    <row r="70" spans="1:20" s="19" customFormat="1" ht="24.95" hidden="1" customHeight="1">
      <c r="A70" s="271" t="s">
        <v>532</v>
      </c>
      <c r="B70" s="3" t="s">
        <v>700</v>
      </c>
      <c r="D70" s="26" t="s">
        <v>191</v>
      </c>
      <c r="E70" s="97">
        <v>0</v>
      </c>
      <c r="F70" s="97">
        <v>0</v>
      </c>
      <c r="G70" s="97">
        <v>0</v>
      </c>
      <c r="H70" s="97">
        <v>0</v>
      </c>
      <c r="I70" s="97">
        <v>0</v>
      </c>
      <c r="J70" s="97">
        <v>0</v>
      </c>
      <c r="K70" s="97">
        <v>0</v>
      </c>
      <c r="L70" s="97">
        <v>0</v>
      </c>
      <c r="M70" s="97">
        <v>0</v>
      </c>
      <c r="N70" s="97">
        <v>0</v>
      </c>
      <c r="O70" s="97">
        <v>0</v>
      </c>
      <c r="P70" s="97">
        <v>0</v>
      </c>
      <c r="Q70" s="103">
        <f t="shared" si="8"/>
        <v>0</v>
      </c>
      <c r="S70" s="35"/>
      <c r="T70" s="40">
        <f t="shared" si="1"/>
        <v>0</v>
      </c>
    </row>
    <row r="71" spans="1:20" s="3" customFormat="1" ht="24.95" hidden="1" customHeight="1">
      <c r="A71" s="50" t="s">
        <v>534</v>
      </c>
      <c r="B71" s="3" t="s">
        <v>700</v>
      </c>
      <c r="D71" s="26" t="s">
        <v>193</v>
      </c>
      <c r="E71" s="97">
        <v>0</v>
      </c>
      <c r="F71" s="97">
        <v>0</v>
      </c>
      <c r="G71" s="97">
        <v>0</v>
      </c>
      <c r="H71" s="97">
        <v>0</v>
      </c>
      <c r="I71" s="97">
        <v>0</v>
      </c>
      <c r="J71" s="97">
        <v>0</v>
      </c>
      <c r="K71" s="97">
        <v>0</v>
      </c>
      <c r="L71" s="97">
        <v>0</v>
      </c>
      <c r="M71" s="97">
        <v>0</v>
      </c>
      <c r="N71" s="97">
        <v>0</v>
      </c>
      <c r="O71" s="97">
        <v>0</v>
      </c>
      <c r="P71" s="97">
        <v>0</v>
      </c>
      <c r="Q71" s="103">
        <f t="shared" si="8"/>
        <v>0</v>
      </c>
      <c r="S71" s="35"/>
      <c r="T71" s="40">
        <f t="shared" si="1"/>
        <v>0</v>
      </c>
    </row>
    <row r="72" spans="1:20" s="3" customFormat="1" ht="24.95" hidden="1" customHeight="1">
      <c r="A72" s="271" t="s">
        <v>536</v>
      </c>
      <c r="B72" s="3" t="s">
        <v>700</v>
      </c>
      <c r="D72" s="26" t="s">
        <v>195</v>
      </c>
      <c r="E72" s="97">
        <v>0</v>
      </c>
      <c r="F72" s="97">
        <v>0</v>
      </c>
      <c r="G72" s="97">
        <v>0</v>
      </c>
      <c r="H72" s="97">
        <v>0</v>
      </c>
      <c r="I72" s="97">
        <v>0</v>
      </c>
      <c r="J72" s="97">
        <v>0</v>
      </c>
      <c r="K72" s="97">
        <v>0</v>
      </c>
      <c r="L72" s="97">
        <v>0</v>
      </c>
      <c r="M72" s="97">
        <v>0</v>
      </c>
      <c r="N72" s="97">
        <v>0</v>
      </c>
      <c r="O72" s="97">
        <v>0</v>
      </c>
      <c r="P72" s="97">
        <v>0</v>
      </c>
      <c r="Q72" s="103">
        <f t="shared" si="8"/>
        <v>0</v>
      </c>
      <c r="S72" s="35"/>
      <c r="T72" s="40">
        <f t="shared" si="1"/>
        <v>0</v>
      </c>
    </row>
    <row r="73" spans="1:20" s="3" customFormat="1" ht="24.95" hidden="1" customHeight="1">
      <c r="A73" s="271" t="s">
        <v>538</v>
      </c>
      <c r="B73" s="3" t="s">
        <v>700</v>
      </c>
      <c r="D73" s="26" t="s">
        <v>197</v>
      </c>
      <c r="E73" s="97">
        <v>0</v>
      </c>
      <c r="F73" s="97">
        <v>0</v>
      </c>
      <c r="G73" s="97">
        <v>0</v>
      </c>
      <c r="H73" s="97">
        <v>0</v>
      </c>
      <c r="I73" s="97">
        <v>0</v>
      </c>
      <c r="J73" s="97">
        <v>0</v>
      </c>
      <c r="K73" s="97">
        <v>0</v>
      </c>
      <c r="L73" s="97">
        <v>0</v>
      </c>
      <c r="M73" s="97">
        <v>0</v>
      </c>
      <c r="N73" s="97">
        <v>0</v>
      </c>
      <c r="O73" s="97">
        <v>0</v>
      </c>
      <c r="P73" s="97">
        <v>0</v>
      </c>
      <c r="Q73" s="103">
        <f t="shared" si="8"/>
        <v>0</v>
      </c>
      <c r="S73" s="35"/>
      <c r="T73" s="40">
        <f t="shared" si="1"/>
        <v>0</v>
      </c>
    </row>
    <row r="74" spans="1:20" s="3" customFormat="1" ht="24.95" hidden="1" customHeight="1">
      <c r="A74" s="271" t="s">
        <v>540</v>
      </c>
      <c r="B74" s="3" t="s">
        <v>700</v>
      </c>
      <c r="D74" s="26" t="s">
        <v>199</v>
      </c>
      <c r="E74" s="97">
        <v>0</v>
      </c>
      <c r="F74" s="97">
        <v>0</v>
      </c>
      <c r="G74" s="97">
        <v>0</v>
      </c>
      <c r="H74" s="97">
        <v>0</v>
      </c>
      <c r="I74" s="97">
        <v>0</v>
      </c>
      <c r="J74" s="97">
        <v>0</v>
      </c>
      <c r="K74" s="97">
        <v>0</v>
      </c>
      <c r="L74" s="97">
        <v>0</v>
      </c>
      <c r="M74" s="97">
        <v>0</v>
      </c>
      <c r="N74" s="97">
        <v>0</v>
      </c>
      <c r="O74" s="97">
        <v>0</v>
      </c>
      <c r="P74" s="97">
        <v>0</v>
      </c>
      <c r="Q74" s="103">
        <f t="shared" si="8"/>
        <v>0</v>
      </c>
      <c r="S74" s="35"/>
      <c r="T74" s="40">
        <f t="shared" si="1"/>
        <v>0</v>
      </c>
    </row>
    <row r="75" spans="1:20" s="3" customFormat="1" ht="24.95" hidden="1" customHeight="1">
      <c r="A75" s="271" t="s">
        <v>542</v>
      </c>
      <c r="B75" s="3" t="s">
        <v>700</v>
      </c>
      <c r="D75" s="26" t="s">
        <v>201</v>
      </c>
      <c r="E75" s="97">
        <v>0</v>
      </c>
      <c r="F75" s="97">
        <v>0</v>
      </c>
      <c r="G75" s="97">
        <v>0</v>
      </c>
      <c r="H75" s="97">
        <v>0</v>
      </c>
      <c r="I75" s="97">
        <v>0</v>
      </c>
      <c r="J75" s="97">
        <v>0</v>
      </c>
      <c r="K75" s="97">
        <v>0</v>
      </c>
      <c r="L75" s="97">
        <v>0</v>
      </c>
      <c r="M75" s="97">
        <v>0</v>
      </c>
      <c r="N75" s="97">
        <v>0</v>
      </c>
      <c r="O75" s="97">
        <v>0</v>
      </c>
      <c r="P75" s="97">
        <v>0</v>
      </c>
      <c r="Q75" s="103">
        <f t="shared" si="8"/>
        <v>0</v>
      </c>
      <c r="S75" s="35"/>
      <c r="T75" s="40">
        <f t="shared" si="1"/>
        <v>0</v>
      </c>
    </row>
    <row r="76" spans="1:20" s="3" customFormat="1" ht="24.95" hidden="1" customHeight="1">
      <c r="A76" s="271" t="s">
        <v>544</v>
      </c>
      <c r="B76" s="3" t="s">
        <v>700</v>
      </c>
      <c r="D76" s="26" t="s">
        <v>203</v>
      </c>
      <c r="E76" s="97">
        <v>0</v>
      </c>
      <c r="F76" s="97">
        <v>0</v>
      </c>
      <c r="G76" s="97">
        <v>0</v>
      </c>
      <c r="H76" s="97">
        <v>0</v>
      </c>
      <c r="I76" s="97">
        <v>0</v>
      </c>
      <c r="J76" s="97">
        <v>0</v>
      </c>
      <c r="K76" s="97">
        <v>0</v>
      </c>
      <c r="L76" s="97">
        <v>0</v>
      </c>
      <c r="M76" s="97">
        <v>0</v>
      </c>
      <c r="N76" s="97">
        <v>0</v>
      </c>
      <c r="O76" s="97">
        <v>0</v>
      </c>
      <c r="P76" s="97">
        <v>0</v>
      </c>
      <c r="Q76" s="103">
        <f t="shared" si="8"/>
        <v>0</v>
      </c>
      <c r="S76" s="35"/>
      <c r="T76" s="40">
        <f t="shared" si="1"/>
        <v>0</v>
      </c>
    </row>
    <row r="77" spans="1:20" s="3" customFormat="1" ht="24.95" hidden="1" customHeight="1">
      <c r="A77" s="271" t="s">
        <v>546</v>
      </c>
      <c r="B77" s="3" t="s">
        <v>700</v>
      </c>
      <c r="D77" s="26" t="s">
        <v>205</v>
      </c>
      <c r="E77" s="97">
        <v>0</v>
      </c>
      <c r="F77" s="97">
        <v>0</v>
      </c>
      <c r="G77" s="97">
        <v>0</v>
      </c>
      <c r="H77" s="97">
        <v>0</v>
      </c>
      <c r="I77" s="97">
        <v>0</v>
      </c>
      <c r="J77" s="97">
        <v>0</v>
      </c>
      <c r="K77" s="97">
        <v>0</v>
      </c>
      <c r="L77" s="97">
        <v>0</v>
      </c>
      <c r="M77" s="97">
        <v>0</v>
      </c>
      <c r="N77" s="97">
        <v>0</v>
      </c>
      <c r="O77" s="97">
        <v>0</v>
      </c>
      <c r="P77" s="97">
        <v>0</v>
      </c>
      <c r="Q77" s="103">
        <f t="shared" si="8"/>
        <v>0</v>
      </c>
      <c r="S77" s="35"/>
      <c r="T77" s="40">
        <f t="shared" ref="T77:T114" si="9">IF(Q77-S77=0,0,(Q77-S77)/S77)</f>
        <v>0</v>
      </c>
    </row>
    <row r="78" spans="1:20" s="3" customFormat="1" ht="24.95" hidden="1" customHeight="1">
      <c r="A78" s="271" t="s">
        <v>548</v>
      </c>
      <c r="B78" s="3" t="s">
        <v>700</v>
      </c>
      <c r="D78" s="26" t="s">
        <v>207</v>
      </c>
      <c r="E78" s="97">
        <v>0</v>
      </c>
      <c r="F78" s="97">
        <v>0</v>
      </c>
      <c r="G78" s="97">
        <v>0</v>
      </c>
      <c r="H78" s="97">
        <v>0</v>
      </c>
      <c r="I78" s="97">
        <v>0</v>
      </c>
      <c r="J78" s="97">
        <v>0</v>
      </c>
      <c r="K78" s="97">
        <v>0</v>
      </c>
      <c r="L78" s="97">
        <v>0</v>
      </c>
      <c r="M78" s="97">
        <v>0</v>
      </c>
      <c r="N78" s="97">
        <v>0</v>
      </c>
      <c r="O78" s="97">
        <v>0</v>
      </c>
      <c r="P78" s="97">
        <v>0</v>
      </c>
      <c r="Q78" s="103">
        <f t="shared" si="8"/>
        <v>0</v>
      </c>
      <c r="S78" s="35"/>
      <c r="T78" s="40">
        <f t="shared" si="9"/>
        <v>0</v>
      </c>
    </row>
    <row r="79" spans="1:20" s="3" customFormat="1" ht="24.95" hidden="1" customHeight="1">
      <c r="A79" s="271" t="s">
        <v>550</v>
      </c>
      <c r="B79" s="3" t="s">
        <v>700</v>
      </c>
      <c r="D79" s="26" t="s">
        <v>209</v>
      </c>
      <c r="E79" s="97">
        <v>0</v>
      </c>
      <c r="F79" s="97">
        <v>0</v>
      </c>
      <c r="G79" s="97">
        <v>0</v>
      </c>
      <c r="H79" s="97">
        <v>0</v>
      </c>
      <c r="I79" s="97">
        <v>0</v>
      </c>
      <c r="J79" s="97">
        <v>0</v>
      </c>
      <c r="K79" s="97">
        <v>0</v>
      </c>
      <c r="L79" s="97">
        <v>0</v>
      </c>
      <c r="M79" s="97">
        <v>0</v>
      </c>
      <c r="N79" s="97">
        <v>0</v>
      </c>
      <c r="O79" s="97">
        <v>0</v>
      </c>
      <c r="P79" s="97">
        <v>0</v>
      </c>
      <c r="Q79" s="103">
        <f t="shared" si="8"/>
        <v>0</v>
      </c>
      <c r="S79" s="35"/>
      <c r="T79" s="40">
        <f t="shared" si="9"/>
        <v>0</v>
      </c>
    </row>
    <row r="80" spans="1:20" s="19" customFormat="1" ht="24.95" hidden="1" customHeight="1">
      <c r="A80" s="271" t="s">
        <v>552</v>
      </c>
      <c r="B80" s="3" t="s">
        <v>700</v>
      </c>
      <c r="D80" s="26" t="s">
        <v>211</v>
      </c>
      <c r="E80" s="97">
        <v>0</v>
      </c>
      <c r="F80" s="97">
        <v>0</v>
      </c>
      <c r="G80" s="97">
        <v>0</v>
      </c>
      <c r="H80" s="97">
        <v>0</v>
      </c>
      <c r="I80" s="97">
        <v>0</v>
      </c>
      <c r="J80" s="97">
        <v>0</v>
      </c>
      <c r="K80" s="97">
        <v>0</v>
      </c>
      <c r="L80" s="97">
        <v>0</v>
      </c>
      <c r="M80" s="97">
        <v>0</v>
      </c>
      <c r="N80" s="97">
        <v>0</v>
      </c>
      <c r="O80" s="97">
        <v>0</v>
      </c>
      <c r="P80" s="97">
        <v>0</v>
      </c>
      <c r="Q80" s="103">
        <f t="shared" si="8"/>
        <v>0</v>
      </c>
      <c r="S80" s="35"/>
      <c r="T80" s="40">
        <f t="shared" si="9"/>
        <v>0</v>
      </c>
    </row>
    <row r="81" spans="1:20" s="19" customFormat="1" ht="24.95" hidden="1" customHeight="1">
      <c r="A81" s="271" t="s">
        <v>554</v>
      </c>
      <c r="B81" s="3" t="s">
        <v>700</v>
      </c>
      <c r="D81" s="26" t="s">
        <v>213</v>
      </c>
      <c r="E81" s="97">
        <v>0</v>
      </c>
      <c r="F81" s="97">
        <v>0</v>
      </c>
      <c r="G81" s="97">
        <v>0</v>
      </c>
      <c r="H81" s="97">
        <v>0</v>
      </c>
      <c r="I81" s="97">
        <v>0</v>
      </c>
      <c r="J81" s="97">
        <v>0</v>
      </c>
      <c r="K81" s="97">
        <v>0</v>
      </c>
      <c r="L81" s="97">
        <v>0</v>
      </c>
      <c r="M81" s="97">
        <v>0</v>
      </c>
      <c r="N81" s="97">
        <v>0</v>
      </c>
      <c r="O81" s="97">
        <v>0</v>
      </c>
      <c r="P81" s="97">
        <v>0</v>
      </c>
      <c r="Q81" s="103">
        <f t="shared" si="8"/>
        <v>0</v>
      </c>
      <c r="S81" s="35"/>
      <c r="T81" s="40">
        <f t="shared" si="9"/>
        <v>0</v>
      </c>
    </row>
    <row r="82" spans="1:20" s="3" customFormat="1" ht="24.95" hidden="1" customHeight="1">
      <c r="A82" s="3" t="s">
        <v>556</v>
      </c>
      <c r="B82" s="3" t="s">
        <v>700</v>
      </c>
      <c r="D82" s="26" t="s">
        <v>215</v>
      </c>
      <c r="E82" s="97">
        <v>0</v>
      </c>
      <c r="F82" s="97">
        <v>0</v>
      </c>
      <c r="G82" s="97">
        <v>0</v>
      </c>
      <c r="H82" s="97">
        <v>0</v>
      </c>
      <c r="I82" s="97">
        <v>0</v>
      </c>
      <c r="J82" s="97">
        <v>0</v>
      </c>
      <c r="K82" s="97">
        <v>0</v>
      </c>
      <c r="L82" s="97">
        <v>0</v>
      </c>
      <c r="M82" s="97">
        <v>0</v>
      </c>
      <c r="N82" s="97">
        <v>0</v>
      </c>
      <c r="O82" s="97">
        <v>0</v>
      </c>
      <c r="P82" s="97">
        <v>0</v>
      </c>
      <c r="Q82" s="103">
        <f t="shared" si="8"/>
        <v>0</v>
      </c>
      <c r="S82" s="35"/>
      <c r="T82" s="40">
        <f t="shared" si="9"/>
        <v>0</v>
      </c>
    </row>
    <row r="83" spans="1:20" s="3" customFormat="1" ht="24.95" hidden="1" customHeight="1">
      <c r="A83" s="3" t="s">
        <v>558</v>
      </c>
      <c r="B83" s="3" t="s">
        <v>700</v>
      </c>
      <c r="D83" s="26" t="s">
        <v>217</v>
      </c>
      <c r="E83" s="97">
        <v>0</v>
      </c>
      <c r="F83" s="97">
        <v>0</v>
      </c>
      <c r="G83" s="97">
        <v>0</v>
      </c>
      <c r="H83" s="97">
        <v>0</v>
      </c>
      <c r="I83" s="97">
        <v>0</v>
      </c>
      <c r="J83" s="97">
        <v>0</v>
      </c>
      <c r="K83" s="97">
        <v>0</v>
      </c>
      <c r="L83" s="97">
        <v>0</v>
      </c>
      <c r="M83" s="97">
        <v>0</v>
      </c>
      <c r="N83" s="97">
        <v>0</v>
      </c>
      <c r="O83" s="97">
        <v>0</v>
      </c>
      <c r="P83" s="97">
        <v>0</v>
      </c>
      <c r="Q83" s="103">
        <f t="shared" si="8"/>
        <v>0</v>
      </c>
      <c r="S83" s="35"/>
      <c r="T83" s="40">
        <f t="shared" si="9"/>
        <v>0</v>
      </c>
    </row>
    <row r="84" spans="1:20" s="3" customFormat="1" ht="24.95" hidden="1" customHeight="1">
      <c r="A84" s="3" t="s">
        <v>560</v>
      </c>
      <c r="B84" s="3" t="s">
        <v>700</v>
      </c>
      <c r="D84" s="26" t="s">
        <v>219</v>
      </c>
      <c r="E84" s="97">
        <v>0</v>
      </c>
      <c r="F84" s="97">
        <v>0</v>
      </c>
      <c r="G84" s="97">
        <v>0</v>
      </c>
      <c r="H84" s="97">
        <v>0</v>
      </c>
      <c r="I84" s="97">
        <v>0</v>
      </c>
      <c r="J84" s="97">
        <v>0</v>
      </c>
      <c r="K84" s="97">
        <v>0</v>
      </c>
      <c r="L84" s="97">
        <v>0</v>
      </c>
      <c r="M84" s="97">
        <v>0</v>
      </c>
      <c r="N84" s="97">
        <v>0</v>
      </c>
      <c r="O84" s="97">
        <v>0</v>
      </c>
      <c r="P84" s="97">
        <v>0</v>
      </c>
      <c r="Q84" s="103">
        <f t="shared" si="8"/>
        <v>0</v>
      </c>
      <c r="S84" s="35"/>
      <c r="T84" s="40">
        <f t="shared" si="9"/>
        <v>0</v>
      </c>
    </row>
    <row r="85" spans="1:20" s="3" customFormat="1" ht="24.95" hidden="1" customHeight="1">
      <c r="A85" s="3" t="s">
        <v>562</v>
      </c>
      <c r="B85" s="3" t="s">
        <v>700</v>
      </c>
      <c r="D85" s="26" t="s">
        <v>221</v>
      </c>
      <c r="E85" s="97">
        <v>0</v>
      </c>
      <c r="F85" s="97">
        <v>0</v>
      </c>
      <c r="G85" s="97">
        <v>0</v>
      </c>
      <c r="H85" s="97">
        <v>0</v>
      </c>
      <c r="I85" s="97">
        <v>0</v>
      </c>
      <c r="J85" s="97">
        <v>0</v>
      </c>
      <c r="K85" s="97">
        <v>0</v>
      </c>
      <c r="L85" s="97">
        <v>0</v>
      </c>
      <c r="M85" s="97">
        <v>0</v>
      </c>
      <c r="N85" s="97">
        <v>0</v>
      </c>
      <c r="O85" s="97">
        <v>0</v>
      </c>
      <c r="P85" s="97">
        <v>0</v>
      </c>
      <c r="Q85" s="103">
        <f t="shared" si="8"/>
        <v>0</v>
      </c>
      <c r="S85" s="35"/>
      <c r="T85" s="40">
        <f t="shared" si="9"/>
        <v>0</v>
      </c>
    </row>
    <row r="86" spans="1:20" s="3" customFormat="1" ht="24.95" hidden="1" customHeight="1">
      <c r="A86" s="3" t="s">
        <v>564</v>
      </c>
      <c r="B86" s="3" t="s">
        <v>700</v>
      </c>
      <c r="D86" s="26" t="s">
        <v>223</v>
      </c>
      <c r="E86" s="97">
        <v>0</v>
      </c>
      <c r="F86" s="97">
        <v>0</v>
      </c>
      <c r="G86" s="97">
        <v>0</v>
      </c>
      <c r="H86" s="97">
        <v>0</v>
      </c>
      <c r="I86" s="97">
        <v>0</v>
      </c>
      <c r="J86" s="97">
        <v>0</v>
      </c>
      <c r="K86" s="97">
        <v>0</v>
      </c>
      <c r="L86" s="97">
        <v>0</v>
      </c>
      <c r="M86" s="97">
        <v>0</v>
      </c>
      <c r="N86" s="97">
        <v>0</v>
      </c>
      <c r="O86" s="97">
        <v>0</v>
      </c>
      <c r="P86" s="97">
        <v>0</v>
      </c>
      <c r="Q86" s="103">
        <f t="shared" si="8"/>
        <v>0</v>
      </c>
      <c r="S86" s="35"/>
      <c r="T86" s="40">
        <f t="shared" si="9"/>
        <v>0</v>
      </c>
    </row>
    <row r="87" spans="1:20" s="3" customFormat="1" ht="24.95" hidden="1" customHeight="1">
      <c r="A87" s="3" t="s">
        <v>566</v>
      </c>
      <c r="B87" s="3" t="s">
        <v>700</v>
      </c>
      <c r="D87" s="26" t="s">
        <v>225</v>
      </c>
      <c r="E87" s="97">
        <v>0</v>
      </c>
      <c r="F87" s="97">
        <v>0</v>
      </c>
      <c r="G87" s="97">
        <v>0</v>
      </c>
      <c r="H87" s="97">
        <v>0</v>
      </c>
      <c r="I87" s="97">
        <v>0</v>
      </c>
      <c r="J87" s="97">
        <v>0</v>
      </c>
      <c r="K87" s="97">
        <v>0</v>
      </c>
      <c r="L87" s="97">
        <v>0</v>
      </c>
      <c r="M87" s="97">
        <v>0</v>
      </c>
      <c r="N87" s="97">
        <v>0</v>
      </c>
      <c r="O87" s="97">
        <v>0</v>
      </c>
      <c r="P87" s="97">
        <v>0</v>
      </c>
      <c r="Q87" s="103">
        <f t="shared" si="8"/>
        <v>0</v>
      </c>
      <c r="S87" s="35"/>
      <c r="T87" s="40">
        <f t="shared" si="9"/>
        <v>0</v>
      </c>
    </row>
    <row r="88" spans="1:20" s="3" customFormat="1" ht="24.95" hidden="1" customHeight="1">
      <c r="A88" s="3" t="s">
        <v>568</v>
      </c>
      <c r="B88" s="3" t="s">
        <v>700</v>
      </c>
      <c r="D88" s="26" t="s">
        <v>227</v>
      </c>
      <c r="E88" s="97">
        <v>0</v>
      </c>
      <c r="F88" s="97">
        <v>0</v>
      </c>
      <c r="G88" s="97">
        <v>0</v>
      </c>
      <c r="H88" s="97">
        <v>0</v>
      </c>
      <c r="I88" s="97">
        <v>0</v>
      </c>
      <c r="J88" s="97">
        <v>0</v>
      </c>
      <c r="K88" s="97">
        <v>0</v>
      </c>
      <c r="L88" s="97">
        <v>0</v>
      </c>
      <c r="M88" s="97">
        <v>0</v>
      </c>
      <c r="N88" s="97">
        <v>0</v>
      </c>
      <c r="O88" s="97">
        <v>0</v>
      </c>
      <c r="P88" s="97">
        <v>0</v>
      </c>
      <c r="Q88" s="103">
        <f t="shared" si="8"/>
        <v>0</v>
      </c>
      <c r="S88" s="35"/>
      <c r="T88" s="40">
        <f t="shared" si="9"/>
        <v>0</v>
      </c>
    </row>
    <row r="89" spans="1:20" s="3" customFormat="1" ht="24.95" hidden="1" customHeight="1">
      <c r="A89" s="3" t="s">
        <v>570</v>
      </c>
      <c r="B89" s="3" t="s">
        <v>700</v>
      </c>
      <c r="D89" s="26" t="s">
        <v>229</v>
      </c>
      <c r="E89" s="97">
        <v>0</v>
      </c>
      <c r="F89" s="97">
        <v>0</v>
      </c>
      <c r="G89" s="97">
        <v>0</v>
      </c>
      <c r="H89" s="97">
        <v>0</v>
      </c>
      <c r="I89" s="97">
        <v>0</v>
      </c>
      <c r="J89" s="97">
        <v>0</v>
      </c>
      <c r="K89" s="97">
        <v>0</v>
      </c>
      <c r="L89" s="97">
        <v>0</v>
      </c>
      <c r="M89" s="97">
        <v>0</v>
      </c>
      <c r="N89" s="97">
        <v>0</v>
      </c>
      <c r="O89" s="97">
        <v>0</v>
      </c>
      <c r="P89" s="97">
        <v>0</v>
      </c>
      <c r="Q89" s="103">
        <f t="shared" si="8"/>
        <v>0</v>
      </c>
      <c r="S89" s="35"/>
      <c r="T89" s="40">
        <f t="shared" si="9"/>
        <v>0</v>
      </c>
    </row>
    <row r="90" spans="1:20" s="3" customFormat="1" ht="24.95" hidden="1" customHeight="1">
      <c r="A90" s="271" t="s">
        <v>572</v>
      </c>
      <c r="B90" s="3" t="s">
        <v>700</v>
      </c>
      <c r="D90" s="26" t="s">
        <v>231</v>
      </c>
      <c r="E90" s="97">
        <v>0</v>
      </c>
      <c r="F90" s="97">
        <v>0</v>
      </c>
      <c r="G90" s="97">
        <v>0</v>
      </c>
      <c r="H90" s="97">
        <v>0</v>
      </c>
      <c r="I90" s="97">
        <v>0</v>
      </c>
      <c r="J90" s="97">
        <v>0</v>
      </c>
      <c r="K90" s="97">
        <v>0</v>
      </c>
      <c r="L90" s="97">
        <v>0</v>
      </c>
      <c r="M90" s="97">
        <v>0</v>
      </c>
      <c r="N90" s="97">
        <v>0</v>
      </c>
      <c r="O90" s="97">
        <v>0</v>
      </c>
      <c r="P90" s="97">
        <v>0</v>
      </c>
      <c r="Q90" s="103">
        <f t="shared" si="8"/>
        <v>0</v>
      </c>
      <c r="S90" s="35"/>
      <c r="T90" s="40">
        <f t="shared" si="9"/>
        <v>0</v>
      </c>
    </row>
    <row r="91" spans="1:20" s="3" customFormat="1" ht="24.95" hidden="1" customHeight="1">
      <c r="A91" s="271" t="s">
        <v>574</v>
      </c>
      <c r="B91" s="3" t="s">
        <v>700</v>
      </c>
      <c r="D91" s="26" t="s">
        <v>233</v>
      </c>
      <c r="E91" s="97">
        <v>0</v>
      </c>
      <c r="F91" s="97">
        <v>0</v>
      </c>
      <c r="G91" s="97">
        <v>0</v>
      </c>
      <c r="H91" s="97">
        <v>0</v>
      </c>
      <c r="I91" s="97">
        <v>0</v>
      </c>
      <c r="J91" s="97">
        <v>0</v>
      </c>
      <c r="K91" s="97">
        <v>0</v>
      </c>
      <c r="L91" s="97">
        <v>0</v>
      </c>
      <c r="M91" s="97">
        <v>0</v>
      </c>
      <c r="N91" s="97">
        <v>0</v>
      </c>
      <c r="O91" s="97">
        <v>0</v>
      </c>
      <c r="P91" s="97">
        <v>0</v>
      </c>
      <c r="Q91" s="103">
        <f t="shared" si="8"/>
        <v>0</v>
      </c>
      <c r="S91" s="35"/>
      <c r="T91" s="40">
        <f t="shared" si="9"/>
        <v>0</v>
      </c>
    </row>
    <row r="92" spans="1:20" s="3" customFormat="1" ht="24.95" hidden="1" customHeight="1">
      <c r="A92" s="271" t="s">
        <v>434</v>
      </c>
      <c r="B92" s="3" t="s">
        <v>700</v>
      </c>
      <c r="D92" s="26" t="s">
        <v>435</v>
      </c>
      <c r="E92" s="97">
        <v>0</v>
      </c>
      <c r="F92" s="97">
        <v>0</v>
      </c>
      <c r="G92" s="97">
        <v>0</v>
      </c>
      <c r="H92" s="97">
        <v>0</v>
      </c>
      <c r="I92" s="97">
        <v>0</v>
      </c>
      <c r="J92" s="97">
        <v>0</v>
      </c>
      <c r="K92" s="97">
        <v>0</v>
      </c>
      <c r="L92" s="97">
        <v>0</v>
      </c>
      <c r="M92" s="97">
        <v>0</v>
      </c>
      <c r="N92" s="97">
        <v>0</v>
      </c>
      <c r="O92" s="97">
        <v>0</v>
      </c>
      <c r="P92" s="97">
        <v>0</v>
      </c>
      <c r="Q92" s="103">
        <f t="shared" si="8"/>
        <v>0</v>
      </c>
      <c r="S92" s="35"/>
      <c r="T92" s="40">
        <f t="shared" si="9"/>
        <v>0</v>
      </c>
    </row>
    <row r="93" spans="1:20" ht="26.25" hidden="1" customHeight="1">
      <c r="A93" s="5" t="s">
        <v>576</v>
      </c>
      <c r="B93" s="3" t="s">
        <v>700</v>
      </c>
      <c r="D93" s="26" t="s">
        <v>235</v>
      </c>
      <c r="E93" s="97">
        <v>0</v>
      </c>
      <c r="F93" s="97">
        <v>0</v>
      </c>
      <c r="G93" s="97">
        <v>0</v>
      </c>
      <c r="H93" s="97">
        <v>0</v>
      </c>
      <c r="I93" s="97">
        <v>0</v>
      </c>
      <c r="J93" s="97">
        <v>0</v>
      </c>
      <c r="K93" s="97">
        <v>0</v>
      </c>
      <c r="L93" s="97">
        <v>0</v>
      </c>
      <c r="M93" s="97">
        <v>0</v>
      </c>
      <c r="N93" s="97">
        <v>0</v>
      </c>
      <c r="O93" s="97">
        <v>0</v>
      </c>
      <c r="P93" s="97">
        <v>0</v>
      </c>
      <c r="Q93" s="103">
        <f t="shared" si="8"/>
        <v>0</v>
      </c>
      <c r="S93" s="35"/>
      <c r="T93" s="40">
        <f t="shared" si="9"/>
        <v>0</v>
      </c>
    </row>
    <row r="94" spans="1:20" ht="26.25" hidden="1" customHeight="1">
      <c r="A94" s="5" t="s">
        <v>578</v>
      </c>
      <c r="B94" s="3" t="s">
        <v>700</v>
      </c>
      <c r="D94" s="26" t="s">
        <v>237</v>
      </c>
      <c r="E94" s="97">
        <v>0</v>
      </c>
      <c r="F94" s="97">
        <v>0</v>
      </c>
      <c r="G94" s="97">
        <v>0</v>
      </c>
      <c r="H94" s="97">
        <v>0</v>
      </c>
      <c r="I94" s="97">
        <v>0</v>
      </c>
      <c r="J94" s="97">
        <v>0</v>
      </c>
      <c r="K94" s="97">
        <v>0</v>
      </c>
      <c r="L94" s="97">
        <v>0</v>
      </c>
      <c r="M94" s="97">
        <v>0</v>
      </c>
      <c r="N94" s="97">
        <v>0</v>
      </c>
      <c r="O94" s="97">
        <v>0</v>
      </c>
      <c r="P94" s="97">
        <v>0</v>
      </c>
      <c r="Q94" s="103">
        <f t="shared" si="8"/>
        <v>0</v>
      </c>
      <c r="S94" s="35"/>
      <c r="T94" s="40">
        <f t="shared" si="9"/>
        <v>0</v>
      </c>
    </row>
    <row r="95" spans="1:20" ht="26.25" hidden="1" customHeight="1">
      <c r="A95" s="5" t="s">
        <v>580</v>
      </c>
      <c r="B95" s="3" t="s">
        <v>700</v>
      </c>
      <c r="D95" s="26" t="s">
        <v>239</v>
      </c>
      <c r="E95" s="97">
        <v>0</v>
      </c>
      <c r="F95" s="97">
        <v>0</v>
      </c>
      <c r="G95" s="97">
        <v>0</v>
      </c>
      <c r="H95" s="97">
        <v>0</v>
      </c>
      <c r="I95" s="97">
        <v>0</v>
      </c>
      <c r="J95" s="97">
        <v>0</v>
      </c>
      <c r="K95" s="97">
        <v>0</v>
      </c>
      <c r="L95" s="97">
        <v>0</v>
      </c>
      <c r="M95" s="97">
        <v>0</v>
      </c>
      <c r="N95" s="97">
        <v>0</v>
      </c>
      <c r="O95" s="97">
        <v>0</v>
      </c>
      <c r="P95" s="97">
        <v>0</v>
      </c>
      <c r="Q95" s="103">
        <f t="shared" si="8"/>
        <v>0</v>
      </c>
      <c r="S95" s="35"/>
      <c r="T95" s="40">
        <f t="shared" si="9"/>
        <v>0</v>
      </c>
    </row>
    <row r="96" spans="1:20" ht="26.25" hidden="1" customHeight="1">
      <c r="A96" s="5" t="s">
        <v>582</v>
      </c>
      <c r="B96" s="3" t="s">
        <v>700</v>
      </c>
      <c r="D96" s="26" t="s">
        <v>241</v>
      </c>
      <c r="E96" s="97">
        <v>0</v>
      </c>
      <c r="F96" s="97">
        <v>0</v>
      </c>
      <c r="G96" s="97">
        <v>0</v>
      </c>
      <c r="H96" s="97">
        <v>0</v>
      </c>
      <c r="I96" s="97">
        <v>0</v>
      </c>
      <c r="J96" s="97">
        <v>0</v>
      </c>
      <c r="K96" s="97">
        <v>0</v>
      </c>
      <c r="L96" s="97">
        <v>0</v>
      </c>
      <c r="M96" s="97">
        <v>0</v>
      </c>
      <c r="N96" s="97">
        <v>0</v>
      </c>
      <c r="O96" s="97">
        <v>0</v>
      </c>
      <c r="P96" s="97">
        <v>0</v>
      </c>
      <c r="Q96" s="103">
        <f t="shared" si="8"/>
        <v>0</v>
      </c>
      <c r="S96" s="35"/>
      <c r="T96" s="40">
        <f t="shared" si="9"/>
        <v>0</v>
      </c>
    </row>
    <row r="97" spans="1:20" ht="26.25" hidden="1" customHeight="1">
      <c r="A97" s="5" t="s">
        <v>584</v>
      </c>
      <c r="B97" s="3" t="s">
        <v>700</v>
      </c>
      <c r="D97" s="26" t="s">
        <v>243</v>
      </c>
      <c r="E97" s="97">
        <v>0</v>
      </c>
      <c r="F97" s="97">
        <v>0</v>
      </c>
      <c r="G97" s="97">
        <v>0</v>
      </c>
      <c r="H97" s="97">
        <v>0</v>
      </c>
      <c r="I97" s="97">
        <v>0</v>
      </c>
      <c r="J97" s="97">
        <v>0</v>
      </c>
      <c r="K97" s="97">
        <v>0</v>
      </c>
      <c r="L97" s="97">
        <v>0</v>
      </c>
      <c r="M97" s="97">
        <v>0</v>
      </c>
      <c r="N97" s="97">
        <v>0</v>
      </c>
      <c r="O97" s="97">
        <v>0</v>
      </c>
      <c r="P97" s="97">
        <v>0</v>
      </c>
      <c r="Q97" s="103">
        <f t="shared" si="8"/>
        <v>0</v>
      </c>
      <c r="S97" s="35"/>
      <c r="T97" s="40">
        <f t="shared" si="9"/>
        <v>0</v>
      </c>
    </row>
    <row r="98" spans="1:20" ht="26.25" hidden="1" customHeight="1">
      <c r="A98" s="5" t="s">
        <v>586</v>
      </c>
      <c r="B98" s="3" t="s">
        <v>700</v>
      </c>
      <c r="D98" s="26" t="s">
        <v>245</v>
      </c>
      <c r="E98" s="97">
        <v>0</v>
      </c>
      <c r="F98" s="97">
        <v>0</v>
      </c>
      <c r="G98" s="97">
        <v>0</v>
      </c>
      <c r="H98" s="97">
        <v>0</v>
      </c>
      <c r="I98" s="97">
        <v>0</v>
      </c>
      <c r="J98" s="97">
        <v>0</v>
      </c>
      <c r="K98" s="97">
        <v>0</v>
      </c>
      <c r="L98" s="97">
        <v>0</v>
      </c>
      <c r="M98" s="97">
        <v>0</v>
      </c>
      <c r="N98" s="97">
        <v>0</v>
      </c>
      <c r="O98" s="97">
        <v>0</v>
      </c>
      <c r="P98" s="97">
        <v>0</v>
      </c>
      <c r="Q98" s="103">
        <f t="shared" si="8"/>
        <v>0</v>
      </c>
      <c r="S98" s="35"/>
      <c r="T98" s="40">
        <f t="shared" si="9"/>
        <v>0</v>
      </c>
    </row>
    <row r="99" spans="1:20" ht="26.25" hidden="1" customHeight="1">
      <c r="A99" s="5" t="s">
        <v>588</v>
      </c>
      <c r="B99" s="3" t="s">
        <v>700</v>
      </c>
      <c r="D99" s="26" t="s">
        <v>247</v>
      </c>
      <c r="E99" s="97">
        <v>0</v>
      </c>
      <c r="F99" s="97">
        <v>0</v>
      </c>
      <c r="G99" s="97">
        <v>0</v>
      </c>
      <c r="H99" s="97">
        <v>0</v>
      </c>
      <c r="I99" s="97">
        <v>0</v>
      </c>
      <c r="J99" s="97">
        <v>0</v>
      </c>
      <c r="K99" s="97">
        <v>0</v>
      </c>
      <c r="L99" s="97">
        <v>0</v>
      </c>
      <c r="M99" s="97">
        <v>0</v>
      </c>
      <c r="N99" s="97">
        <v>0</v>
      </c>
      <c r="O99" s="97">
        <v>0</v>
      </c>
      <c r="P99" s="97">
        <v>0</v>
      </c>
      <c r="Q99" s="103">
        <f t="shared" si="8"/>
        <v>0</v>
      </c>
      <c r="S99" s="35"/>
      <c r="T99" s="40">
        <f t="shared" si="9"/>
        <v>0</v>
      </c>
    </row>
    <row r="100" spans="1:20" ht="26.25" hidden="1" customHeight="1">
      <c r="A100" s="5" t="s">
        <v>590</v>
      </c>
      <c r="B100" s="3" t="s">
        <v>700</v>
      </c>
      <c r="D100" s="26" t="s">
        <v>249</v>
      </c>
      <c r="E100" s="97">
        <v>0</v>
      </c>
      <c r="F100" s="97">
        <v>0</v>
      </c>
      <c r="G100" s="97">
        <v>0</v>
      </c>
      <c r="H100" s="97">
        <v>0</v>
      </c>
      <c r="I100" s="97">
        <v>0</v>
      </c>
      <c r="J100" s="97">
        <v>0</v>
      </c>
      <c r="K100" s="97">
        <v>0</v>
      </c>
      <c r="L100" s="97">
        <v>0</v>
      </c>
      <c r="M100" s="97">
        <v>0</v>
      </c>
      <c r="N100" s="97">
        <v>0</v>
      </c>
      <c r="O100" s="97">
        <v>0</v>
      </c>
      <c r="P100" s="97">
        <v>0</v>
      </c>
      <c r="Q100" s="103">
        <f t="shared" si="8"/>
        <v>0</v>
      </c>
      <c r="S100" s="35"/>
      <c r="T100" s="40">
        <f t="shared" si="9"/>
        <v>0</v>
      </c>
    </row>
    <row r="101" spans="1:20" ht="26.25" hidden="1" customHeight="1">
      <c r="A101" s="5" t="s">
        <v>592</v>
      </c>
      <c r="B101" s="3" t="s">
        <v>700</v>
      </c>
      <c r="D101" s="26" t="s">
        <v>251</v>
      </c>
      <c r="E101" s="97">
        <v>0</v>
      </c>
      <c r="F101" s="97">
        <v>0</v>
      </c>
      <c r="G101" s="97">
        <v>0</v>
      </c>
      <c r="H101" s="97">
        <v>0</v>
      </c>
      <c r="I101" s="97">
        <v>0</v>
      </c>
      <c r="J101" s="97">
        <v>0</v>
      </c>
      <c r="K101" s="97">
        <v>0</v>
      </c>
      <c r="L101" s="97">
        <v>0</v>
      </c>
      <c r="M101" s="97">
        <v>0</v>
      </c>
      <c r="N101" s="97">
        <v>0</v>
      </c>
      <c r="O101" s="97">
        <v>0</v>
      </c>
      <c r="P101" s="97">
        <v>0</v>
      </c>
      <c r="Q101" s="103">
        <f t="shared" si="8"/>
        <v>0</v>
      </c>
      <c r="S101" s="35"/>
      <c r="T101" s="40">
        <f t="shared" si="9"/>
        <v>0</v>
      </c>
    </row>
    <row r="102" spans="1:20" ht="26.25" hidden="1" customHeight="1">
      <c r="A102" s="5" t="s">
        <v>594</v>
      </c>
      <c r="B102" s="3" t="s">
        <v>700</v>
      </c>
      <c r="D102" s="26" t="s">
        <v>253</v>
      </c>
      <c r="E102" s="97">
        <v>0</v>
      </c>
      <c r="F102" s="97">
        <v>0</v>
      </c>
      <c r="G102" s="97">
        <v>0</v>
      </c>
      <c r="H102" s="97">
        <v>0</v>
      </c>
      <c r="I102" s="97">
        <v>0</v>
      </c>
      <c r="J102" s="97">
        <v>0</v>
      </c>
      <c r="K102" s="97">
        <v>0</v>
      </c>
      <c r="L102" s="97">
        <v>0</v>
      </c>
      <c r="M102" s="97">
        <v>0</v>
      </c>
      <c r="N102" s="97">
        <v>0</v>
      </c>
      <c r="O102" s="97">
        <v>0</v>
      </c>
      <c r="P102" s="97">
        <v>0</v>
      </c>
      <c r="Q102" s="103">
        <f t="shared" si="8"/>
        <v>0</v>
      </c>
      <c r="S102" s="35"/>
      <c r="T102" s="40">
        <f t="shared" si="9"/>
        <v>0</v>
      </c>
    </row>
    <row r="103" spans="1:20" ht="26.25" hidden="1" customHeight="1">
      <c r="A103" s="5" t="s">
        <v>596</v>
      </c>
      <c r="B103" s="3" t="s">
        <v>700</v>
      </c>
      <c r="D103" s="26" t="s">
        <v>255</v>
      </c>
      <c r="E103" s="97">
        <v>0</v>
      </c>
      <c r="F103" s="97">
        <v>0</v>
      </c>
      <c r="G103" s="97">
        <v>0</v>
      </c>
      <c r="H103" s="97">
        <v>0</v>
      </c>
      <c r="I103" s="97">
        <v>0</v>
      </c>
      <c r="J103" s="97">
        <v>0</v>
      </c>
      <c r="K103" s="97">
        <v>0</v>
      </c>
      <c r="L103" s="97">
        <v>0</v>
      </c>
      <c r="M103" s="97">
        <v>0</v>
      </c>
      <c r="N103" s="97">
        <v>0</v>
      </c>
      <c r="O103" s="97">
        <v>0</v>
      </c>
      <c r="P103" s="97">
        <v>0</v>
      </c>
      <c r="Q103" s="103">
        <f t="shared" si="8"/>
        <v>0</v>
      </c>
      <c r="S103" s="35"/>
      <c r="T103" s="40">
        <f t="shared" si="9"/>
        <v>0</v>
      </c>
    </row>
    <row r="104" spans="1:20" ht="26.25" hidden="1" customHeight="1">
      <c r="A104" s="5" t="s">
        <v>598</v>
      </c>
      <c r="B104" s="3" t="s">
        <v>700</v>
      </c>
      <c r="D104" s="26" t="s">
        <v>257</v>
      </c>
      <c r="E104" s="97">
        <v>0</v>
      </c>
      <c r="F104" s="97">
        <v>0</v>
      </c>
      <c r="G104" s="97">
        <v>0</v>
      </c>
      <c r="H104" s="97">
        <v>0</v>
      </c>
      <c r="I104" s="97">
        <v>0</v>
      </c>
      <c r="J104" s="97">
        <v>0</v>
      </c>
      <c r="K104" s="97">
        <v>0</v>
      </c>
      <c r="L104" s="97">
        <v>0</v>
      </c>
      <c r="M104" s="97">
        <v>0</v>
      </c>
      <c r="N104" s="97">
        <v>0</v>
      </c>
      <c r="O104" s="97">
        <v>0</v>
      </c>
      <c r="P104" s="97">
        <v>0</v>
      </c>
      <c r="Q104" s="103">
        <f t="shared" si="8"/>
        <v>0</v>
      </c>
      <c r="S104" s="35"/>
      <c r="T104" s="40">
        <f t="shared" si="9"/>
        <v>0</v>
      </c>
    </row>
    <row r="105" spans="1:20" ht="26.25" hidden="1" customHeight="1">
      <c r="A105" s="5" t="s">
        <v>600</v>
      </c>
      <c r="B105" s="3" t="s">
        <v>700</v>
      </c>
      <c r="D105" s="26" t="s">
        <v>259</v>
      </c>
      <c r="E105" s="97">
        <v>0</v>
      </c>
      <c r="F105" s="97">
        <v>0</v>
      </c>
      <c r="G105" s="97">
        <v>0</v>
      </c>
      <c r="H105" s="97">
        <v>0</v>
      </c>
      <c r="I105" s="97">
        <v>0</v>
      </c>
      <c r="J105" s="97">
        <v>0</v>
      </c>
      <c r="K105" s="97">
        <v>0</v>
      </c>
      <c r="L105" s="97">
        <v>0</v>
      </c>
      <c r="M105" s="97">
        <v>0</v>
      </c>
      <c r="N105" s="97">
        <v>0</v>
      </c>
      <c r="O105" s="97">
        <v>0</v>
      </c>
      <c r="P105" s="97">
        <v>0</v>
      </c>
      <c r="Q105" s="103">
        <f t="shared" si="8"/>
        <v>0</v>
      </c>
      <c r="S105" s="35"/>
      <c r="T105" s="40">
        <f t="shared" si="9"/>
        <v>0</v>
      </c>
    </row>
    <row r="106" spans="1:20" ht="26.25" hidden="1" customHeight="1">
      <c r="A106" s="5" t="s">
        <v>602</v>
      </c>
      <c r="B106" s="3" t="s">
        <v>700</v>
      </c>
      <c r="D106" s="26" t="s">
        <v>261</v>
      </c>
      <c r="E106" s="97">
        <v>0</v>
      </c>
      <c r="F106" s="97">
        <v>0</v>
      </c>
      <c r="G106" s="97">
        <v>0</v>
      </c>
      <c r="H106" s="97">
        <v>0</v>
      </c>
      <c r="I106" s="97">
        <v>0</v>
      </c>
      <c r="J106" s="97">
        <v>0</v>
      </c>
      <c r="K106" s="97">
        <v>0</v>
      </c>
      <c r="L106" s="97">
        <v>0</v>
      </c>
      <c r="M106" s="97">
        <v>0</v>
      </c>
      <c r="N106" s="97">
        <v>0</v>
      </c>
      <c r="O106" s="97">
        <v>0</v>
      </c>
      <c r="P106" s="97">
        <v>0</v>
      </c>
      <c r="Q106" s="103">
        <f t="shared" si="8"/>
        <v>0</v>
      </c>
      <c r="S106" s="35"/>
      <c r="T106" s="40">
        <f t="shared" si="9"/>
        <v>0</v>
      </c>
    </row>
    <row r="107" spans="1:20" ht="26.25" hidden="1" customHeight="1">
      <c r="A107" s="5" t="s">
        <v>604</v>
      </c>
      <c r="B107" s="3" t="s">
        <v>700</v>
      </c>
      <c r="D107" s="26" t="s">
        <v>263</v>
      </c>
      <c r="E107" s="97">
        <v>0</v>
      </c>
      <c r="F107" s="97">
        <v>0</v>
      </c>
      <c r="G107" s="97">
        <v>0</v>
      </c>
      <c r="H107" s="97">
        <v>0</v>
      </c>
      <c r="I107" s="97">
        <v>0</v>
      </c>
      <c r="J107" s="97">
        <v>0</v>
      </c>
      <c r="K107" s="97">
        <v>0</v>
      </c>
      <c r="L107" s="97">
        <v>0</v>
      </c>
      <c r="M107" s="97">
        <v>0</v>
      </c>
      <c r="N107" s="97">
        <v>0</v>
      </c>
      <c r="O107" s="97">
        <v>0</v>
      </c>
      <c r="P107" s="97">
        <v>0</v>
      </c>
      <c r="Q107" s="103">
        <f t="shared" si="8"/>
        <v>0</v>
      </c>
      <c r="S107" s="35"/>
      <c r="T107" s="40">
        <f t="shared" si="9"/>
        <v>0</v>
      </c>
    </row>
    <row r="108" spans="1:20" ht="26.25" hidden="1" customHeight="1">
      <c r="A108" s="5" t="s">
        <v>606</v>
      </c>
      <c r="B108" s="3" t="s">
        <v>700</v>
      </c>
      <c r="D108" s="26" t="s">
        <v>265</v>
      </c>
      <c r="E108" s="97">
        <v>0</v>
      </c>
      <c r="F108" s="97">
        <v>0</v>
      </c>
      <c r="G108" s="97">
        <v>0</v>
      </c>
      <c r="H108" s="97">
        <v>0</v>
      </c>
      <c r="I108" s="97">
        <v>0</v>
      </c>
      <c r="J108" s="97">
        <v>0</v>
      </c>
      <c r="K108" s="97">
        <v>0</v>
      </c>
      <c r="L108" s="97">
        <v>0</v>
      </c>
      <c r="M108" s="97">
        <v>0</v>
      </c>
      <c r="N108" s="97">
        <v>0</v>
      </c>
      <c r="O108" s="97">
        <v>0</v>
      </c>
      <c r="P108" s="97">
        <v>0</v>
      </c>
      <c r="Q108" s="103">
        <f t="shared" si="8"/>
        <v>0</v>
      </c>
      <c r="S108" s="35"/>
      <c r="T108" s="40">
        <f t="shared" si="9"/>
        <v>0</v>
      </c>
    </row>
    <row r="109" spans="1:20" ht="26.25" hidden="1" customHeight="1">
      <c r="A109" s="5" t="s">
        <v>608</v>
      </c>
      <c r="B109" s="3" t="s">
        <v>700</v>
      </c>
      <c r="D109" s="26" t="s">
        <v>267</v>
      </c>
      <c r="E109" s="97">
        <v>0</v>
      </c>
      <c r="F109" s="97">
        <v>0</v>
      </c>
      <c r="G109" s="97">
        <v>0</v>
      </c>
      <c r="H109" s="97">
        <v>0</v>
      </c>
      <c r="I109" s="97">
        <v>0</v>
      </c>
      <c r="J109" s="97">
        <v>0</v>
      </c>
      <c r="K109" s="97">
        <v>0</v>
      </c>
      <c r="L109" s="97">
        <v>0</v>
      </c>
      <c r="M109" s="97">
        <v>0</v>
      </c>
      <c r="N109" s="97">
        <v>0</v>
      </c>
      <c r="O109" s="97">
        <v>0</v>
      </c>
      <c r="P109" s="97">
        <v>0</v>
      </c>
      <c r="Q109" s="103">
        <f t="shared" si="8"/>
        <v>0</v>
      </c>
      <c r="S109" s="35"/>
      <c r="T109" s="40">
        <f t="shared" si="9"/>
        <v>0</v>
      </c>
    </row>
    <row r="110" spans="1:20" ht="26.25" hidden="1" customHeight="1">
      <c r="A110" s="5" t="s">
        <v>268</v>
      </c>
      <c r="B110" s="3" t="s">
        <v>700</v>
      </c>
      <c r="D110" s="26" t="s">
        <v>269</v>
      </c>
      <c r="E110" s="97">
        <v>0</v>
      </c>
      <c r="F110" s="97">
        <v>0</v>
      </c>
      <c r="G110" s="97">
        <v>0</v>
      </c>
      <c r="H110" s="97">
        <v>0</v>
      </c>
      <c r="I110" s="97">
        <v>0</v>
      </c>
      <c r="J110" s="97">
        <v>0</v>
      </c>
      <c r="K110" s="97">
        <v>0</v>
      </c>
      <c r="L110" s="97">
        <v>0</v>
      </c>
      <c r="M110" s="97">
        <v>0</v>
      </c>
      <c r="N110" s="97">
        <v>0</v>
      </c>
      <c r="O110" s="97">
        <v>0</v>
      </c>
      <c r="P110" s="97">
        <v>0</v>
      </c>
      <c r="Q110" s="103">
        <f t="shared" ref="Q110:Q112" si="10">SUM(E110:P110)</f>
        <v>0</v>
      </c>
      <c r="S110" s="35"/>
      <c r="T110" s="40">
        <f t="shared" si="9"/>
        <v>0</v>
      </c>
    </row>
    <row r="111" spans="1:20" ht="26.25" hidden="1" customHeight="1">
      <c r="A111" s="5" t="s">
        <v>270</v>
      </c>
      <c r="B111" s="3" t="s">
        <v>700</v>
      </c>
      <c r="D111" s="26" t="s">
        <v>271</v>
      </c>
      <c r="E111" s="97">
        <v>0</v>
      </c>
      <c r="F111" s="97">
        <v>0</v>
      </c>
      <c r="G111" s="97">
        <v>0</v>
      </c>
      <c r="H111" s="97">
        <v>0</v>
      </c>
      <c r="I111" s="97">
        <v>0</v>
      </c>
      <c r="J111" s="97">
        <v>0</v>
      </c>
      <c r="K111" s="97">
        <v>0</v>
      </c>
      <c r="L111" s="97">
        <v>0</v>
      </c>
      <c r="M111" s="97">
        <v>0</v>
      </c>
      <c r="N111" s="97">
        <v>0</v>
      </c>
      <c r="O111" s="97">
        <v>0</v>
      </c>
      <c r="P111" s="97">
        <v>0</v>
      </c>
      <c r="Q111" s="103">
        <f t="shared" si="10"/>
        <v>0</v>
      </c>
      <c r="S111" s="35"/>
      <c r="T111" s="40">
        <f t="shared" si="9"/>
        <v>0</v>
      </c>
    </row>
    <row r="112" spans="1:20" ht="26.25" customHeight="1">
      <c r="A112" s="5" t="s">
        <v>611</v>
      </c>
      <c r="B112" s="3" t="s">
        <v>700</v>
      </c>
      <c r="D112" s="26" t="s">
        <v>273</v>
      </c>
      <c r="E112" s="97"/>
      <c r="F112" s="97"/>
      <c r="G112" s="97"/>
      <c r="H112" s="97"/>
      <c r="I112" s="97"/>
      <c r="J112" s="97"/>
      <c r="K112" s="97"/>
      <c r="L112" s="97"/>
      <c r="M112" s="97"/>
      <c r="N112" s="97"/>
      <c r="O112" s="97"/>
      <c r="P112" s="97"/>
      <c r="Q112" s="103">
        <f t="shared" si="10"/>
        <v>0</v>
      </c>
      <c r="R112" s="121" t="e">
        <f>Q112/$Q$21</f>
        <v>#DIV/0!</v>
      </c>
      <c r="S112" s="35"/>
      <c r="T112" s="40">
        <f>-IF(S112&lt;&gt;0,(Q112-S112)/S112,1)</f>
        <v>-1</v>
      </c>
    </row>
    <row r="113" spans="1:20" ht="26.25" customHeight="1">
      <c r="D113" s="21" t="s">
        <v>774</v>
      </c>
      <c r="E113" s="98">
        <f>SUM(E45:E112)</f>
        <v>0</v>
      </c>
      <c r="F113" s="98">
        <f t="shared" ref="F113:Q113" si="11">SUM(F45:F112)</f>
        <v>0</v>
      </c>
      <c r="G113" s="98">
        <f t="shared" si="11"/>
        <v>0</v>
      </c>
      <c r="H113" s="98">
        <f t="shared" si="11"/>
        <v>0</v>
      </c>
      <c r="I113" s="98">
        <f t="shared" si="11"/>
        <v>0</v>
      </c>
      <c r="J113" s="98">
        <f t="shared" si="11"/>
        <v>0</v>
      </c>
      <c r="K113" s="98">
        <f t="shared" si="11"/>
        <v>0</v>
      </c>
      <c r="L113" s="98">
        <f t="shared" si="11"/>
        <v>0</v>
      </c>
      <c r="M113" s="98">
        <f t="shared" si="11"/>
        <v>0</v>
      </c>
      <c r="N113" s="98">
        <f t="shared" si="11"/>
        <v>0</v>
      </c>
      <c r="O113" s="98">
        <f t="shared" si="11"/>
        <v>0</v>
      </c>
      <c r="P113" s="98">
        <f t="shared" si="11"/>
        <v>0</v>
      </c>
      <c r="Q113" s="98">
        <f t="shared" si="11"/>
        <v>0</v>
      </c>
      <c r="R113" s="121" t="e">
        <f>Q113/$Q$21</f>
        <v>#DIV/0!</v>
      </c>
      <c r="S113" s="35"/>
      <c r="T113" s="40">
        <f>-IF(S113&lt;&gt;0,(Q113-S113)/S113,1)</f>
        <v>-1</v>
      </c>
    </row>
    <row r="114" spans="1:20" ht="26.25" customHeight="1">
      <c r="D114" s="21" t="s">
        <v>775</v>
      </c>
      <c r="E114" s="98">
        <f>E21-E40-E42-E113</f>
        <v>0</v>
      </c>
      <c r="F114" s="98">
        <f t="shared" ref="F114:Q114" si="12">F21-F40-F42-F113</f>
        <v>0</v>
      </c>
      <c r="G114" s="98">
        <f t="shared" si="12"/>
        <v>0</v>
      </c>
      <c r="H114" s="98">
        <f t="shared" si="12"/>
        <v>0</v>
      </c>
      <c r="I114" s="98">
        <f t="shared" si="12"/>
        <v>0</v>
      </c>
      <c r="J114" s="98">
        <f t="shared" si="12"/>
        <v>0</v>
      </c>
      <c r="K114" s="98">
        <f t="shared" si="12"/>
        <v>0</v>
      </c>
      <c r="L114" s="98">
        <f t="shared" si="12"/>
        <v>0</v>
      </c>
      <c r="M114" s="98">
        <f t="shared" si="12"/>
        <v>0</v>
      </c>
      <c r="N114" s="98">
        <f t="shared" si="12"/>
        <v>0</v>
      </c>
      <c r="O114" s="98">
        <f t="shared" si="12"/>
        <v>0</v>
      </c>
      <c r="P114" s="98">
        <f t="shared" si="12"/>
        <v>0</v>
      </c>
      <c r="Q114" s="98">
        <f t="shared" si="12"/>
        <v>0</v>
      </c>
      <c r="R114" s="121" t="e">
        <f>Q114/$Q$21</f>
        <v>#DIV/0!</v>
      </c>
      <c r="S114" s="35"/>
      <c r="T114" s="40">
        <f t="shared" si="9"/>
        <v>0</v>
      </c>
    </row>
    <row r="115" spans="1:20" ht="26.25" customHeight="1">
      <c r="A115" s="5" t="s">
        <v>776</v>
      </c>
      <c r="B115" s="3" t="s">
        <v>700</v>
      </c>
      <c r="D115" s="21" t="s">
        <v>351</v>
      </c>
      <c r="E115" s="97"/>
      <c r="F115" s="97"/>
      <c r="G115" s="97"/>
      <c r="H115" s="97"/>
      <c r="I115" s="97"/>
      <c r="J115" s="97"/>
      <c r="K115" s="97"/>
      <c r="L115" s="97"/>
      <c r="M115" s="97"/>
      <c r="N115" s="97"/>
      <c r="O115" s="97"/>
      <c r="P115" s="97"/>
      <c r="Q115" s="97"/>
    </row>
    <row r="116" spans="1:20" ht="26.25" customHeight="1">
      <c r="E116" s="72"/>
      <c r="F116" s="106"/>
      <c r="G116" s="72"/>
      <c r="H116" s="107"/>
      <c r="I116" s="72"/>
      <c r="J116" s="106"/>
      <c r="K116" s="72"/>
      <c r="L116" s="109"/>
      <c r="M116" s="72"/>
      <c r="N116" s="106"/>
      <c r="O116" s="110"/>
      <c r="P116" s="110"/>
      <c r="Q116" s="110"/>
    </row>
    <row r="117" spans="1:20" ht="26.25" hidden="1" customHeight="1">
      <c r="D117" s="21" t="s">
        <v>777</v>
      </c>
      <c r="E117" s="72"/>
      <c r="F117" s="106"/>
      <c r="G117" s="72"/>
      <c r="H117" s="107"/>
      <c r="I117" s="72"/>
      <c r="J117" s="106"/>
      <c r="K117" s="72"/>
      <c r="L117" s="109"/>
      <c r="M117" s="72"/>
      <c r="N117" s="106"/>
      <c r="O117" s="110"/>
      <c r="P117" s="110"/>
      <c r="Q117" s="110"/>
    </row>
    <row r="118" spans="1:20" ht="26.25" hidden="1" customHeight="1">
      <c r="D118" s="21" t="s">
        <v>778</v>
      </c>
      <c r="E118" s="72"/>
      <c r="F118" s="106"/>
      <c r="G118" s="72"/>
      <c r="H118" s="107"/>
      <c r="I118" s="72"/>
      <c r="J118" s="106"/>
      <c r="K118" s="72"/>
      <c r="L118" s="109"/>
      <c r="M118" s="72"/>
      <c r="N118" s="106"/>
      <c r="O118" s="110"/>
      <c r="P118" s="110"/>
      <c r="Q118" s="110"/>
    </row>
    <row r="119" spans="1:20" ht="26.25" hidden="1" customHeight="1">
      <c r="A119" s="5" t="s">
        <v>295</v>
      </c>
      <c r="B119" s="3" t="s">
        <v>700</v>
      </c>
      <c r="D119" s="26" t="s">
        <v>779</v>
      </c>
      <c r="E119" s="97">
        <v>0</v>
      </c>
      <c r="F119" s="97">
        <v>0</v>
      </c>
      <c r="G119" s="97">
        <v>0</v>
      </c>
      <c r="H119" s="97">
        <v>0</v>
      </c>
      <c r="I119" s="97">
        <v>0</v>
      </c>
      <c r="J119" s="97">
        <v>0</v>
      </c>
      <c r="K119" s="97">
        <v>0</v>
      </c>
      <c r="L119" s="97">
        <v>0</v>
      </c>
      <c r="M119" s="97">
        <v>0</v>
      </c>
      <c r="N119" s="97">
        <v>0</v>
      </c>
      <c r="O119" s="97">
        <v>0</v>
      </c>
      <c r="P119" s="97">
        <v>0</v>
      </c>
      <c r="Q119" s="103">
        <f>SUM(E119:P119)</f>
        <v>0</v>
      </c>
    </row>
    <row r="120" spans="1:20" ht="26.25" hidden="1" customHeight="1">
      <c r="A120" s="5" t="s">
        <v>298</v>
      </c>
      <c r="B120" s="3" t="s">
        <v>700</v>
      </c>
      <c r="D120" s="26" t="s">
        <v>780</v>
      </c>
      <c r="E120" s="97">
        <v>0</v>
      </c>
      <c r="F120" s="97">
        <v>0</v>
      </c>
      <c r="G120" s="97">
        <v>0</v>
      </c>
      <c r="H120" s="97">
        <v>0</v>
      </c>
      <c r="I120" s="97">
        <v>0</v>
      </c>
      <c r="J120" s="97">
        <v>0</v>
      </c>
      <c r="K120" s="97">
        <v>0</v>
      </c>
      <c r="L120" s="97">
        <v>0</v>
      </c>
      <c r="M120" s="97">
        <v>0</v>
      </c>
      <c r="N120" s="97">
        <v>0</v>
      </c>
      <c r="O120" s="97">
        <v>0</v>
      </c>
      <c r="P120" s="97">
        <v>0</v>
      </c>
      <c r="Q120" s="111">
        <f>SUM(E120:P120)</f>
        <v>0</v>
      </c>
    </row>
    <row r="121" spans="1:20" ht="26.25" hidden="1" customHeight="1">
      <c r="D121" s="21" t="s">
        <v>781</v>
      </c>
      <c r="E121" s="98">
        <f>SUM(E119:E120)</f>
        <v>0</v>
      </c>
      <c r="F121" s="98">
        <f t="shared" ref="F121:Q121" si="13">SUM(F119:F120)</f>
        <v>0</v>
      </c>
      <c r="G121" s="98">
        <f t="shared" si="13"/>
        <v>0</v>
      </c>
      <c r="H121" s="98">
        <f t="shared" si="13"/>
        <v>0</v>
      </c>
      <c r="I121" s="98">
        <f t="shared" si="13"/>
        <v>0</v>
      </c>
      <c r="J121" s="98">
        <f t="shared" si="13"/>
        <v>0</v>
      </c>
      <c r="K121" s="98">
        <f t="shared" si="13"/>
        <v>0</v>
      </c>
      <c r="L121" s="98">
        <f t="shared" si="13"/>
        <v>0</v>
      </c>
      <c r="M121" s="98">
        <f t="shared" si="13"/>
        <v>0</v>
      </c>
      <c r="N121" s="98">
        <f t="shared" si="13"/>
        <v>0</v>
      </c>
      <c r="O121" s="98">
        <f t="shared" si="13"/>
        <v>0</v>
      </c>
      <c r="P121" s="98">
        <f t="shared" si="13"/>
        <v>0</v>
      </c>
      <c r="Q121" s="99">
        <f t="shared" si="13"/>
        <v>0</v>
      </c>
    </row>
    <row r="122" spans="1:20" ht="26.25" hidden="1" customHeight="1">
      <c r="E122" s="72"/>
      <c r="F122" s="106"/>
      <c r="G122" s="72"/>
      <c r="H122" s="107"/>
      <c r="I122" s="72"/>
      <c r="J122" s="106"/>
      <c r="K122" s="72"/>
      <c r="L122" s="109"/>
      <c r="M122" s="72"/>
      <c r="N122" s="106"/>
      <c r="O122" s="110"/>
      <c r="P122" s="110"/>
      <c r="Q122" s="110"/>
    </row>
    <row r="123" spans="1:20" ht="26.25" hidden="1" customHeight="1">
      <c r="A123" s="5" t="s">
        <v>619</v>
      </c>
      <c r="B123" s="3" t="s">
        <v>700</v>
      </c>
      <c r="D123" s="26" t="s">
        <v>782</v>
      </c>
      <c r="E123" s="97">
        <v>0</v>
      </c>
      <c r="F123" s="97">
        <v>0</v>
      </c>
      <c r="G123" s="97">
        <v>0</v>
      </c>
      <c r="H123" s="97">
        <v>0</v>
      </c>
      <c r="I123" s="97">
        <v>0</v>
      </c>
      <c r="J123" s="97">
        <v>0</v>
      </c>
      <c r="K123" s="97">
        <v>0</v>
      </c>
      <c r="L123" s="97">
        <v>0</v>
      </c>
      <c r="M123" s="97">
        <v>0</v>
      </c>
      <c r="N123" s="97">
        <v>0</v>
      </c>
      <c r="O123" s="97">
        <v>0</v>
      </c>
      <c r="P123" s="97">
        <v>0</v>
      </c>
      <c r="Q123" s="103">
        <f>SUM(E123:P123)</f>
        <v>0</v>
      </c>
    </row>
    <row r="124" spans="1:20" ht="26.25" hidden="1" customHeight="1">
      <c r="A124" s="5" t="s">
        <v>308</v>
      </c>
      <c r="B124" s="3" t="s">
        <v>700</v>
      </c>
      <c r="D124" s="26" t="s">
        <v>783</v>
      </c>
      <c r="E124" s="97">
        <v>0</v>
      </c>
      <c r="F124" s="97">
        <v>0</v>
      </c>
      <c r="G124" s="97">
        <v>0</v>
      </c>
      <c r="H124" s="97">
        <v>0</v>
      </c>
      <c r="I124" s="97">
        <v>0</v>
      </c>
      <c r="J124" s="97">
        <v>0</v>
      </c>
      <c r="K124" s="97">
        <v>0</v>
      </c>
      <c r="L124" s="97">
        <v>0</v>
      </c>
      <c r="M124" s="97">
        <v>0</v>
      </c>
      <c r="N124" s="97">
        <v>0</v>
      </c>
      <c r="O124" s="97">
        <v>0</v>
      </c>
      <c r="P124" s="97">
        <v>0</v>
      </c>
      <c r="Q124" s="103">
        <f t="shared" ref="Q124:Q127" si="14">SUM(E124:P124)</f>
        <v>0</v>
      </c>
    </row>
    <row r="125" spans="1:20" ht="26.25" hidden="1" customHeight="1">
      <c r="A125" s="5" t="s">
        <v>620</v>
      </c>
      <c r="B125" s="3" t="s">
        <v>700</v>
      </c>
      <c r="D125" s="26" t="s">
        <v>784</v>
      </c>
      <c r="E125" s="97">
        <v>0</v>
      </c>
      <c r="F125" s="97">
        <v>0</v>
      </c>
      <c r="G125" s="97">
        <v>0</v>
      </c>
      <c r="H125" s="97">
        <v>0</v>
      </c>
      <c r="I125" s="97">
        <v>0</v>
      </c>
      <c r="J125" s="97">
        <v>0</v>
      </c>
      <c r="K125" s="97">
        <v>0</v>
      </c>
      <c r="L125" s="97">
        <v>0</v>
      </c>
      <c r="M125" s="97">
        <v>0</v>
      </c>
      <c r="N125" s="97">
        <v>0</v>
      </c>
      <c r="O125" s="97">
        <v>0</v>
      </c>
      <c r="P125" s="97">
        <v>0</v>
      </c>
      <c r="Q125" s="103">
        <f t="shared" si="14"/>
        <v>0</v>
      </c>
    </row>
    <row r="126" spans="1:20" ht="26.25" hidden="1" customHeight="1">
      <c r="A126" s="5" t="s">
        <v>621</v>
      </c>
      <c r="B126" s="3" t="s">
        <v>700</v>
      </c>
      <c r="D126" s="26" t="s">
        <v>785</v>
      </c>
      <c r="E126" s="97">
        <v>0</v>
      </c>
      <c r="F126" s="97">
        <v>0</v>
      </c>
      <c r="G126" s="97">
        <v>0</v>
      </c>
      <c r="H126" s="97">
        <v>0</v>
      </c>
      <c r="I126" s="97">
        <v>0</v>
      </c>
      <c r="J126" s="97">
        <v>0</v>
      </c>
      <c r="K126" s="97">
        <v>0</v>
      </c>
      <c r="L126" s="97">
        <v>0</v>
      </c>
      <c r="M126" s="97">
        <v>0</v>
      </c>
      <c r="N126" s="97">
        <v>0</v>
      </c>
      <c r="O126" s="97">
        <v>0</v>
      </c>
      <c r="P126" s="97">
        <v>0</v>
      </c>
      <c r="Q126" s="103">
        <f t="shared" si="14"/>
        <v>0</v>
      </c>
    </row>
    <row r="127" spans="1:20" ht="26.25" hidden="1" customHeight="1">
      <c r="A127" s="5" t="s">
        <v>622</v>
      </c>
      <c r="B127" s="3" t="s">
        <v>700</v>
      </c>
      <c r="D127" s="26" t="s">
        <v>786</v>
      </c>
      <c r="E127" s="97">
        <v>0</v>
      </c>
      <c r="F127" s="97">
        <v>0</v>
      </c>
      <c r="G127" s="97">
        <v>0</v>
      </c>
      <c r="H127" s="97">
        <v>0</v>
      </c>
      <c r="I127" s="97">
        <v>0</v>
      </c>
      <c r="J127" s="97">
        <v>0</v>
      </c>
      <c r="K127" s="97">
        <v>0</v>
      </c>
      <c r="L127" s="97">
        <v>0</v>
      </c>
      <c r="M127" s="97">
        <v>0</v>
      </c>
      <c r="N127" s="97">
        <v>0</v>
      </c>
      <c r="O127" s="97">
        <v>0</v>
      </c>
      <c r="P127" s="97">
        <v>0</v>
      </c>
      <c r="Q127" s="111">
        <f t="shared" si="14"/>
        <v>0</v>
      </c>
    </row>
    <row r="128" spans="1:20" ht="26.25" hidden="1" customHeight="1">
      <c r="D128" s="21" t="s">
        <v>787</v>
      </c>
      <c r="E128" s="98">
        <f>SUM(E123:E127)</f>
        <v>0</v>
      </c>
      <c r="F128" s="98">
        <f t="shared" ref="F128:Q128" si="15">SUM(F123:F127)</f>
        <v>0</v>
      </c>
      <c r="G128" s="98">
        <f t="shared" si="15"/>
        <v>0</v>
      </c>
      <c r="H128" s="98">
        <f t="shared" si="15"/>
        <v>0</v>
      </c>
      <c r="I128" s="98">
        <f t="shared" si="15"/>
        <v>0</v>
      </c>
      <c r="J128" s="98">
        <f t="shared" si="15"/>
        <v>0</v>
      </c>
      <c r="K128" s="98">
        <f t="shared" si="15"/>
        <v>0</v>
      </c>
      <c r="L128" s="98">
        <f t="shared" si="15"/>
        <v>0</v>
      </c>
      <c r="M128" s="98">
        <f t="shared" si="15"/>
        <v>0</v>
      </c>
      <c r="N128" s="98">
        <f t="shared" si="15"/>
        <v>0</v>
      </c>
      <c r="O128" s="98">
        <f t="shared" si="15"/>
        <v>0</v>
      </c>
      <c r="P128" s="98">
        <f t="shared" si="15"/>
        <v>0</v>
      </c>
      <c r="Q128" s="99">
        <f t="shared" si="15"/>
        <v>0</v>
      </c>
    </row>
    <row r="129" spans="1:17" ht="26.25" hidden="1" customHeight="1">
      <c r="E129" s="72"/>
      <c r="F129" s="106"/>
      <c r="G129" s="72"/>
      <c r="H129" s="107"/>
      <c r="I129" s="72"/>
      <c r="J129" s="106"/>
      <c r="K129" s="72"/>
      <c r="L129" s="109"/>
      <c r="M129" s="72"/>
      <c r="N129" s="106"/>
      <c r="O129" s="110"/>
      <c r="P129" s="110"/>
      <c r="Q129" s="110"/>
    </row>
    <row r="130" spans="1:17" ht="26.25" hidden="1" customHeight="1">
      <c r="A130" s="5" t="s">
        <v>625</v>
      </c>
      <c r="B130" s="3" t="s">
        <v>700</v>
      </c>
      <c r="D130" s="26" t="s">
        <v>788</v>
      </c>
      <c r="E130" s="97">
        <v>0</v>
      </c>
      <c r="F130" s="97">
        <v>0</v>
      </c>
      <c r="G130" s="97">
        <v>0</v>
      </c>
      <c r="H130" s="97">
        <v>0</v>
      </c>
      <c r="I130" s="97">
        <v>0</v>
      </c>
      <c r="J130" s="97">
        <v>0</v>
      </c>
      <c r="K130" s="97">
        <v>0</v>
      </c>
      <c r="L130" s="97">
        <v>0</v>
      </c>
      <c r="M130" s="97">
        <v>0</v>
      </c>
      <c r="N130" s="97">
        <v>0</v>
      </c>
      <c r="O130" s="97">
        <v>0</v>
      </c>
      <c r="P130" s="97">
        <v>0</v>
      </c>
      <c r="Q130" s="103">
        <f>SUM(E130:P130)</f>
        <v>0</v>
      </c>
    </row>
    <row r="131" spans="1:17" ht="26.25" hidden="1" customHeight="1">
      <c r="A131" s="5" t="s">
        <v>626</v>
      </c>
      <c r="B131" s="3" t="s">
        <v>700</v>
      </c>
      <c r="D131" s="26" t="s">
        <v>789</v>
      </c>
      <c r="E131" s="97">
        <v>0</v>
      </c>
      <c r="F131" s="97">
        <v>0</v>
      </c>
      <c r="G131" s="97">
        <v>0</v>
      </c>
      <c r="H131" s="97">
        <v>0</v>
      </c>
      <c r="I131" s="97">
        <v>0</v>
      </c>
      <c r="J131" s="97">
        <v>0</v>
      </c>
      <c r="K131" s="97">
        <v>0</v>
      </c>
      <c r="L131" s="97">
        <v>0</v>
      </c>
      <c r="M131" s="97">
        <v>0</v>
      </c>
      <c r="N131" s="97">
        <v>0</v>
      </c>
      <c r="O131" s="97">
        <v>0</v>
      </c>
      <c r="P131" s="97">
        <v>0</v>
      </c>
      <c r="Q131" s="103">
        <f t="shared" ref="Q131:Q137" si="16">SUM(E131:P131)</f>
        <v>0</v>
      </c>
    </row>
    <row r="132" spans="1:17" ht="26.25" hidden="1" customHeight="1">
      <c r="A132" s="5" t="s">
        <v>627</v>
      </c>
      <c r="B132" s="3" t="s">
        <v>700</v>
      </c>
      <c r="D132" s="26" t="s">
        <v>790</v>
      </c>
      <c r="E132" s="97">
        <v>0</v>
      </c>
      <c r="F132" s="97">
        <v>0</v>
      </c>
      <c r="G132" s="97">
        <v>0</v>
      </c>
      <c r="H132" s="97">
        <v>0</v>
      </c>
      <c r="I132" s="97">
        <v>0</v>
      </c>
      <c r="J132" s="97">
        <v>0</v>
      </c>
      <c r="K132" s="97">
        <v>0</v>
      </c>
      <c r="L132" s="97">
        <v>0</v>
      </c>
      <c r="M132" s="97">
        <v>0</v>
      </c>
      <c r="N132" s="97">
        <v>0</v>
      </c>
      <c r="O132" s="97">
        <v>0</v>
      </c>
      <c r="P132" s="97">
        <v>0</v>
      </c>
      <c r="Q132" s="103">
        <f t="shared" si="16"/>
        <v>0</v>
      </c>
    </row>
    <row r="133" spans="1:17" ht="26.25" hidden="1" customHeight="1">
      <c r="A133" s="5" t="s">
        <v>628</v>
      </c>
      <c r="B133" s="3" t="s">
        <v>700</v>
      </c>
      <c r="D133" s="26" t="s">
        <v>791</v>
      </c>
      <c r="E133" s="97">
        <v>0</v>
      </c>
      <c r="F133" s="97">
        <v>0</v>
      </c>
      <c r="G133" s="97">
        <v>0</v>
      </c>
      <c r="H133" s="97">
        <v>0</v>
      </c>
      <c r="I133" s="97">
        <v>0</v>
      </c>
      <c r="J133" s="97">
        <v>0</v>
      </c>
      <c r="K133" s="97">
        <v>0</v>
      </c>
      <c r="L133" s="97">
        <v>0</v>
      </c>
      <c r="M133" s="97">
        <v>0</v>
      </c>
      <c r="N133" s="97">
        <v>0</v>
      </c>
      <c r="O133" s="97">
        <v>0</v>
      </c>
      <c r="P133" s="97">
        <v>0</v>
      </c>
      <c r="Q133" s="103">
        <f t="shared" si="16"/>
        <v>0</v>
      </c>
    </row>
    <row r="134" spans="1:17" ht="26.25" hidden="1" customHeight="1">
      <c r="A134" s="5" t="s">
        <v>629</v>
      </c>
      <c r="B134" s="3" t="s">
        <v>700</v>
      </c>
      <c r="D134" s="26" t="s">
        <v>792</v>
      </c>
      <c r="E134" s="97">
        <v>0</v>
      </c>
      <c r="F134" s="97">
        <v>0</v>
      </c>
      <c r="G134" s="97">
        <v>0</v>
      </c>
      <c r="H134" s="97">
        <v>0</v>
      </c>
      <c r="I134" s="97">
        <v>0</v>
      </c>
      <c r="J134" s="97">
        <v>0</v>
      </c>
      <c r="K134" s="97">
        <v>0</v>
      </c>
      <c r="L134" s="97">
        <v>0</v>
      </c>
      <c r="M134" s="97">
        <v>0</v>
      </c>
      <c r="N134" s="97">
        <v>0</v>
      </c>
      <c r="O134" s="97">
        <v>0</v>
      </c>
      <c r="P134" s="97">
        <v>0</v>
      </c>
      <c r="Q134" s="103">
        <f t="shared" si="16"/>
        <v>0</v>
      </c>
    </row>
    <row r="135" spans="1:17" ht="26.25" hidden="1" customHeight="1">
      <c r="A135" s="5" t="s">
        <v>630</v>
      </c>
      <c r="B135" s="3" t="s">
        <v>700</v>
      </c>
      <c r="D135" s="26" t="s">
        <v>793</v>
      </c>
      <c r="E135" s="97">
        <v>0</v>
      </c>
      <c r="F135" s="97">
        <v>0</v>
      </c>
      <c r="G135" s="97">
        <v>0</v>
      </c>
      <c r="H135" s="97">
        <v>0</v>
      </c>
      <c r="I135" s="97">
        <v>0</v>
      </c>
      <c r="J135" s="97">
        <v>0</v>
      </c>
      <c r="K135" s="97">
        <v>0</v>
      </c>
      <c r="L135" s="97">
        <v>0</v>
      </c>
      <c r="M135" s="97">
        <v>0</v>
      </c>
      <c r="N135" s="97">
        <v>0</v>
      </c>
      <c r="O135" s="97">
        <v>0</v>
      </c>
      <c r="P135" s="97">
        <v>0</v>
      </c>
      <c r="Q135" s="103">
        <f t="shared" si="16"/>
        <v>0</v>
      </c>
    </row>
    <row r="136" spans="1:17" ht="26.25" hidden="1" customHeight="1">
      <c r="A136" s="5" t="s">
        <v>631</v>
      </c>
      <c r="B136" s="3" t="s">
        <v>700</v>
      </c>
      <c r="D136" s="26" t="s">
        <v>794</v>
      </c>
      <c r="E136" s="97">
        <v>0</v>
      </c>
      <c r="F136" s="97">
        <v>0</v>
      </c>
      <c r="G136" s="97">
        <v>0</v>
      </c>
      <c r="H136" s="97">
        <v>0</v>
      </c>
      <c r="I136" s="97">
        <v>0</v>
      </c>
      <c r="J136" s="97">
        <v>0</v>
      </c>
      <c r="K136" s="97">
        <v>0</v>
      </c>
      <c r="L136" s="97">
        <v>0</v>
      </c>
      <c r="M136" s="97">
        <v>0</v>
      </c>
      <c r="N136" s="97">
        <v>0</v>
      </c>
      <c r="O136" s="97">
        <v>0</v>
      </c>
      <c r="P136" s="97">
        <v>0</v>
      </c>
      <c r="Q136" s="103">
        <f t="shared" si="16"/>
        <v>0</v>
      </c>
    </row>
    <row r="137" spans="1:17" ht="26.25" hidden="1" customHeight="1">
      <c r="A137" s="5" t="s">
        <v>632</v>
      </c>
      <c r="B137" s="3" t="s">
        <v>700</v>
      </c>
      <c r="D137" s="26" t="s">
        <v>795</v>
      </c>
      <c r="E137" s="97">
        <v>0</v>
      </c>
      <c r="F137" s="97">
        <v>0</v>
      </c>
      <c r="G137" s="97">
        <v>0</v>
      </c>
      <c r="H137" s="97">
        <v>0</v>
      </c>
      <c r="I137" s="97">
        <v>0</v>
      </c>
      <c r="J137" s="97">
        <v>0</v>
      </c>
      <c r="K137" s="97">
        <v>0</v>
      </c>
      <c r="L137" s="97">
        <v>0</v>
      </c>
      <c r="M137" s="97">
        <v>0</v>
      </c>
      <c r="N137" s="97">
        <v>0</v>
      </c>
      <c r="O137" s="97">
        <v>0</v>
      </c>
      <c r="P137" s="97">
        <v>0</v>
      </c>
      <c r="Q137" s="111">
        <f t="shared" si="16"/>
        <v>0</v>
      </c>
    </row>
    <row r="138" spans="1:17" ht="26.25" hidden="1" customHeight="1">
      <c r="D138" s="21" t="s">
        <v>796</v>
      </c>
      <c r="E138" s="98">
        <f>SUM(E130:E137)</f>
        <v>0</v>
      </c>
      <c r="F138" s="98">
        <f t="shared" ref="F138:P138" si="17">SUM(F130:F137)</f>
        <v>0</v>
      </c>
      <c r="G138" s="98">
        <f t="shared" si="17"/>
        <v>0</v>
      </c>
      <c r="H138" s="98">
        <f t="shared" si="17"/>
        <v>0</v>
      </c>
      <c r="I138" s="98">
        <f t="shared" si="17"/>
        <v>0</v>
      </c>
      <c r="J138" s="98">
        <f t="shared" si="17"/>
        <v>0</v>
      </c>
      <c r="K138" s="98">
        <f t="shared" si="17"/>
        <v>0</v>
      </c>
      <c r="L138" s="98">
        <f t="shared" si="17"/>
        <v>0</v>
      </c>
      <c r="M138" s="98">
        <f t="shared" si="17"/>
        <v>0</v>
      </c>
      <c r="N138" s="98">
        <f t="shared" si="17"/>
        <v>0</v>
      </c>
      <c r="O138" s="98">
        <f t="shared" si="17"/>
        <v>0</v>
      </c>
      <c r="P138" s="98">
        <f t="shared" si="17"/>
        <v>0</v>
      </c>
      <c r="Q138" s="99">
        <f t="shared" ref="Q138" si="18">SUM(Q130:Q137)</f>
        <v>0</v>
      </c>
    </row>
    <row r="139" spans="1:17" ht="26.25" hidden="1" customHeight="1">
      <c r="E139" s="72"/>
      <c r="F139" s="106"/>
      <c r="G139" s="72"/>
      <c r="H139" s="107"/>
      <c r="I139" s="72"/>
      <c r="J139" s="106"/>
      <c r="K139" s="72"/>
      <c r="L139" s="109"/>
      <c r="M139" s="72"/>
      <c r="N139" s="106"/>
      <c r="O139" s="110"/>
      <c r="P139" s="110"/>
      <c r="Q139" s="110"/>
    </row>
    <row r="140" spans="1:17" ht="26.25" hidden="1" customHeight="1">
      <c r="A140" s="5" t="s">
        <v>633</v>
      </c>
      <c r="B140" s="3" t="s">
        <v>700</v>
      </c>
      <c r="D140" s="26" t="s">
        <v>797</v>
      </c>
      <c r="E140" s="97"/>
      <c r="F140" s="97"/>
      <c r="G140" s="97"/>
      <c r="H140" s="97"/>
      <c r="I140" s="97"/>
      <c r="J140" s="97"/>
      <c r="K140" s="97"/>
      <c r="L140" s="97"/>
      <c r="M140" s="97"/>
      <c r="N140" s="97"/>
      <c r="O140" s="97"/>
      <c r="P140" s="97"/>
      <c r="Q140" s="103">
        <f>SUM(E140:P140)</f>
        <v>0</v>
      </c>
    </row>
    <row r="141" spans="1:17" ht="26.25" hidden="1" customHeight="1">
      <c r="A141" s="5" t="s">
        <v>634</v>
      </c>
      <c r="B141" s="3" t="s">
        <v>700</v>
      </c>
      <c r="D141" s="26" t="s">
        <v>798</v>
      </c>
      <c r="E141" s="97"/>
      <c r="F141" s="97"/>
      <c r="G141" s="97"/>
      <c r="H141" s="97"/>
      <c r="I141" s="97"/>
      <c r="J141" s="97"/>
      <c r="K141" s="97"/>
      <c r="L141" s="97"/>
      <c r="M141" s="97"/>
      <c r="N141" s="97"/>
      <c r="O141" s="97"/>
      <c r="P141" s="97"/>
      <c r="Q141" s="103">
        <f t="shared" ref="Q141:Q146" si="19">SUM(E141:P141)</f>
        <v>0</v>
      </c>
    </row>
    <row r="142" spans="1:17" ht="26.25" hidden="1" customHeight="1">
      <c r="A142" s="5" t="s">
        <v>635</v>
      </c>
      <c r="B142" s="3" t="s">
        <v>700</v>
      </c>
      <c r="D142" s="26" t="s">
        <v>799</v>
      </c>
      <c r="E142" s="97"/>
      <c r="F142" s="97"/>
      <c r="G142" s="97"/>
      <c r="H142" s="97"/>
      <c r="I142" s="97"/>
      <c r="J142" s="97"/>
      <c r="K142" s="97"/>
      <c r="L142" s="97"/>
      <c r="M142" s="97"/>
      <c r="N142" s="97"/>
      <c r="O142" s="97"/>
      <c r="P142" s="97"/>
      <c r="Q142" s="103">
        <f t="shared" si="19"/>
        <v>0</v>
      </c>
    </row>
    <row r="143" spans="1:17" ht="26.25" hidden="1" customHeight="1">
      <c r="A143" s="5" t="s">
        <v>636</v>
      </c>
      <c r="B143" s="3" t="s">
        <v>700</v>
      </c>
      <c r="D143" s="26" t="s">
        <v>800</v>
      </c>
      <c r="E143" s="97"/>
      <c r="F143" s="97"/>
      <c r="G143" s="97"/>
      <c r="H143" s="97"/>
      <c r="I143" s="97"/>
      <c r="J143" s="97"/>
      <c r="K143" s="97"/>
      <c r="L143" s="97"/>
      <c r="M143" s="97"/>
      <c r="N143" s="97"/>
      <c r="O143" s="97"/>
      <c r="P143" s="97"/>
      <c r="Q143" s="103">
        <f t="shared" si="19"/>
        <v>0</v>
      </c>
    </row>
    <row r="144" spans="1:17" ht="26.25" hidden="1" customHeight="1">
      <c r="A144" s="5" t="s">
        <v>637</v>
      </c>
      <c r="B144" s="3" t="s">
        <v>700</v>
      </c>
      <c r="D144" s="26" t="s">
        <v>801</v>
      </c>
      <c r="E144" s="97"/>
      <c r="F144" s="97"/>
      <c r="G144" s="97"/>
      <c r="H144" s="97"/>
      <c r="I144" s="97"/>
      <c r="J144" s="97"/>
      <c r="K144" s="97"/>
      <c r="L144" s="97"/>
      <c r="M144" s="97"/>
      <c r="N144" s="97"/>
      <c r="O144" s="97"/>
      <c r="P144" s="97"/>
      <c r="Q144" s="103">
        <f t="shared" si="19"/>
        <v>0</v>
      </c>
    </row>
    <row r="145" spans="1:17" ht="26.25" hidden="1" customHeight="1">
      <c r="A145" s="5" t="s">
        <v>344</v>
      </c>
      <c r="B145" s="3" t="s">
        <v>700</v>
      </c>
      <c r="D145" s="26" t="s">
        <v>802</v>
      </c>
      <c r="E145" s="97"/>
      <c r="F145" s="97"/>
      <c r="G145" s="97"/>
      <c r="H145" s="97"/>
      <c r="I145" s="97"/>
      <c r="J145" s="97"/>
      <c r="K145" s="97"/>
      <c r="L145" s="97"/>
      <c r="M145" s="97"/>
      <c r="N145" s="97"/>
      <c r="O145" s="97"/>
      <c r="P145" s="97"/>
      <c r="Q145" s="103">
        <f t="shared" si="19"/>
        <v>0</v>
      </c>
    </row>
    <row r="146" spans="1:17" ht="26.25" hidden="1" customHeight="1">
      <c r="A146" s="5" t="s">
        <v>640</v>
      </c>
      <c r="B146" s="3" t="s">
        <v>700</v>
      </c>
      <c r="D146" s="26" t="s">
        <v>803</v>
      </c>
      <c r="E146" s="97"/>
      <c r="F146" s="97"/>
      <c r="G146" s="97"/>
      <c r="H146" s="97"/>
      <c r="I146" s="97"/>
      <c r="J146" s="97"/>
      <c r="K146" s="97"/>
      <c r="L146" s="97"/>
      <c r="M146" s="97"/>
      <c r="N146" s="97"/>
      <c r="O146" s="97"/>
      <c r="P146" s="97"/>
      <c r="Q146" s="97">
        <f t="shared" si="19"/>
        <v>0</v>
      </c>
    </row>
    <row r="147" spans="1:17" ht="26.25" hidden="1" customHeight="1">
      <c r="D147" s="26" t="s">
        <v>804</v>
      </c>
      <c r="E147" s="119">
        <f>SUM(E140:E146)</f>
        <v>0</v>
      </c>
      <c r="F147" s="119">
        <f t="shared" ref="F147:Q147" si="20">SUM(F140:F146)</f>
        <v>0</v>
      </c>
      <c r="G147" s="119">
        <f t="shared" si="20"/>
        <v>0</v>
      </c>
      <c r="H147" s="119">
        <f t="shared" si="20"/>
        <v>0</v>
      </c>
      <c r="I147" s="119">
        <f t="shared" si="20"/>
        <v>0</v>
      </c>
      <c r="J147" s="119">
        <f t="shared" si="20"/>
        <v>0</v>
      </c>
      <c r="K147" s="119">
        <f t="shared" si="20"/>
        <v>0</v>
      </c>
      <c r="L147" s="119">
        <f t="shared" si="20"/>
        <v>0</v>
      </c>
      <c r="M147" s="119">
        <f t="shared" si="20"/>
        <v>0</v>
      </c>
      <c r="N147" s="119">
        <f t="shared" si="20"/>
        <v>0</v>
      </c>
      <c r="O147" s="119">
        <f t="shared" si="20"/>
        <v>0</v>
      </c>
      <c r="P147" s="119">
        <f t="shared" si="20"/>
        <v>0</v>
      </c>
      <c r="Q147" s="119">
        <f t="shared" si="20"/>
        <v>0</v>
      </c>
    </row>
    <row r="148" spans="1:17" ht="26.25" hidden="1" customHeight="1">
      <c r="D148" s="21" t="s">
        <v>805</v>
      </c>
      <c r="E148" s="112">
        <f>E121+E128+E138+E147</f>
        <v>0</v>
      </c>
      <c r="F148" s="112">
        <f t="shared" ref="F148:Q148" si="21">F121+F128+F138+F147</f>
        <v>0</v>
      </c>
      <c r="G148" s="112">
        <f t="shared" si="21"/>
        <v>0</v>
      </c>
      <c r="H148" s="112">
        <f t="shared" si="21"/>
        <v>0</v>
      </c>
      <c r="I148" s="112">
        <f t="shared" si="21"/>
        <v>0</v>
      </c>
      <c r="J148" s="112">
        <f t="shared" si="21"/>
        <v>0</v>
      </c>
      <c r="K148" s="112">
        <f t="shared" si="21"/>
        <v>0</v>
      </c>
      <c r="L148" s="112">
        <f t="shared" si="21"/>
        <v>0</v>
      </c>
      <c r="M148" s="112">
        <f t="shared" si="21"/>
        <v>0</v>
      </c>
      <c r="N148" s="112">
        <f t="shared" si="21"/>
        <v>0</v>
      </c>
      <c r="O148" s="112">
        <f t="shared" si="21"/>
        <v>0</v>
      </c>
      <c r="P148" s="112">
        <f t="shared" si="21"/>
        <v>0</v>
      </c>
      <c r="Q148" s="112">
        <f t="shared" si="21"/>
        <v>0</v>
      </c>
    </row>
    <row r="149" spans="1:17" ht="26.25" hidden="1" customHeight="1">
      <c r="D149" s="21"/>
      <c r="E149" s="105" t="e">
        <f>E114/E21</f>
        <v>#DIV/0!</v>
      </c>
      <c r="F149" s="105" t="e">
        <f t="shared" ref="F149:Q149" si="22">F114/F21</f>
        <v>#DIV/0!</v>
      </c>
      <c r="G149" s="105" t="e">
        <f t="shared" si="22"/>
        <v>#DIV/0!</v>
      </c>
      <c r="H149" s="105" t="e">
        <f t="shared" si="22"/>
        <v>#DIV/0!</v>
      </c>
      <c r="I149" s="105" t="e">
        <f t="shared" si="22"/>
        <v>#DIV/0!</v>
      </c>
      <c r="J149" s="105" t="e">
        <f t="shared" si="22"/>
        <v>#DIV/0!</v>
      </c>
      <c r="K149" s="105" t="e">
        <f t="shared" si="22"/>
        <v>#DIV/0!</v>
      </c>
      <c r="L149" s="105" t="e">
        <f t="shared" si="22"/>
        <v>#DIV/0!</v>
      </c>
      <c r="M149" s="105" t="e">
        <f t="shared" si="22"/>
        <v>#DIV/0!</v>
      </c>
      <c r="N149" s="105" t="e">
        <f t="shared" si="22"/>
        <v>#DIV/0!</v>
      </c>
      <c r="O149" s="105" t="e">
        <f t="shared" si="22"/>
        <v>#DIV/0!</v>
      </c>
      <c r="P149" s="105" t="e">
        <f t="shared" si="22"/>
        <v>#DIV/0!</v>
      </c>
      <c r="Q149" s="105" t="e">
        <f t="shared" si="22"/>
        <v>#DIV/0!</v>
      </c>
    </row>
    <row r="150" spans="1:17" ht="26.25" hidden="1" customHeight="1">
      <c r="A150" s="5" t="s">
        <v>105</v>
      </c>
      <c r="B150" s="3" t="s">
        <v>700</v>
      </c>
      <c r="D150" s="21" t="s">
        <v>806</v>
      </c>
      <c r="E150" s="99">
        <v>0</v>
      </c>
      <c r="F150" s="99">
        <v>0</v>
      </c>
      <c r="G150" s="99">
        <v>0</v>
      </c>
      <c r="H150" s="99">
        <v>0</v>
      </c>
      <c r="I150" s="99">
        <v>0</v>
      </c>
      <c r="J150" s="99">
        <v>0</v>
      </c>
      <c r="K150" s="99">
        <v>0</v>
      </c>
      <c r="L150" s="99">
        <v>0</v>
      </c>
      <c r="M150" s="99">
        <v>0</v>
      </c>
      <c r="N150" s="99">
        <v>0</v>
      </c>
      <c r="O150" s="99">
        <v>0</v>
      </c>
      <c r="P150" s="99">
        <v>0</v>
      </c>
      <c r="Q150" s="99"/>
    </row>
  </sheetData>
  <phoneticPr fontId="57" type="noConversion"/>
  <dataValidations count="5">
    <dataValidation type="textLength" errorStyle="information" allowBlank="1" showInputMessage="1" showErrorMessage="1" error="XLBVal:6=3239.86_x000d__x000a_" sqref="E43:P44 E40:P41">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28280_x000d__x000a_" sqref="Q23">
      <formula1>0</formula1>
      <formula2>300</formula2>
    </dataValidation>
    <dataValidation type="textLength" errorStyle="information" allowBlank="1" showInputMessage="1" showErrorMessage="1" error="XLBVal:2=0_x000d__x000a_" sqref="E42:P42 E115:Q115 E150:Q150 Q24:Q113 E119:Q120 E140:Q146 E23:P39 E123:Q127 E130:Q138 E12:Q20 E45:P113">
      <formula1>0</formula1>
      <formula2>300</formula2>
    </dataValidation>
    <dataValidation type="textLength" errorStyle="information" allowBlank="1" showInputMessage="1" showErrorMessage="1" error="XLBVal:6=6688509.16_x000d__x000a_" sqref="E21:Q22">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6"/>
  <dimension ref="A1:T128"/>
  <sheetViews>
    <sheetView topLeftCell="D1" zoomScale="50" zoomScaleNormal="50" zoomScaleSheetLayoutView="40" workbookViewId="0">
      <pane ySplit="9" topLeftCell="A10" activePane="bottomLeft" state="frozen"/>
      <selection pane="bottomLeft" activeCell="D22" sqref="D22"/>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70.5" style="6" customWidth="1" collapsed="1"/>
    <col min="5" max="5" width="26.125" style="7" customWidth="1"/>
    <col min="6" max="6" width="26.125" style="89" customWidth="1"/>
    <col min="7" max="7" width="26.125" style="7" customWidth="1"/>
    <col min="8" max="8" width="26.125" style="6" customWidth="1"/>
    <col min="9" max="9" width="26.125" style="7" customWidth="1"/>
    <col min="10" max="10" width="26.125" style="89" customWidth="1"/>
    <col min="11" max="11" width="26.125" style="7" customWidth="1"/>
    <col min="12" max="12" width="26.125" style="90" customWidth="1"/>
    <col min="13" max="13" width="26.125" style="7" customWidth="1"/>
    <col min="14" max="14" width="26.125" style="89" customWidth="1"/>
    <col min="15" max="17" width="26.125" style="5" customWidth="1"/>
    <col min="18" max="18" width="12" style="5" customWidth="1"/>
    <col min="19" max="19" width="22.5" style="8" customWidth="1"/>
    <col min="20" max="20" width="22.5" style="5"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852</v>
      </c>
      <c r="E6" s="13"/>
      <c r="F6" s="93"/>
      <c r="G6" s="13"/>
      <c r="H6" s="94"/>
      <c r="I6" s="13"/>
      <c r="J6" s="93"/>
      <c r="K6" s="13"/>
      <c r="L6" s="101"/>
      <c r="M6" s="13"/>
      <c r="N6" s="93"/>
      <c r="S6" s="33"/>
    </row>
    <row r="7" spans="1:20" s="2" customFormat="1" ht="24.95" customHeight="1">
      <c r="D7" s="15" t="str">
        <f>Summary!D7</f>
        <v>2025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116"/>
      <c r="T9" s="117"/>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51">
        <v>36700200</v>
      </c>
      <c r="B12" s="3" t="s">
        <v>712</v>
      </c>
      <c r="C12" s="49">
        <v>3106</v>
      </c>
      <c r="D12" s="3" t="s">
        <v>853</v>
      </c>
      <c r="E12" s="27"/>
      <c r="F12" s="27"/>
      <c r="G12" s="27"/>
      <c r="H12" s="27"/>
      <c r="I12" s="27"/>
      <c r="J12" s="27"/>
      <c r="K12" s="27"/>
      <c r="L12" s="27"/>
      <c r="M12" s="27"/>
      <c r="N12" s="27"/>
      <c r="O12" s="27"/>
      <c r="P12" s="27"/>
      <c r="Q12" s="27">
        <f>SUM(E12:P12)</f>
        <v>0</v>
      </c>
      <c r="S12" s="35"/>
      <c r="T12" s="40">
        <f>IF(Q12-S12=0,0,(Q12-S12)/S12)</f>
        <v>0</v>
      </c>
    </row>
    <row r="13" spans="1:20" s="3" customFormat="1" ht="24.95" customHeight="1">
      <c r="A13" s="51" t="s">
        <v>763</v>
      </c>
      <c r="B13" s="3" t="s">
        <v>712</v>
      </c>
      <c r="D13" s="26" t="s">
        <v>764</v>
      </c>
      <c r="E13" s="27">
        <v>0</v>
      </c>
      <c r="F13" s="27">
        <v>0</v>
      </c>
      <c r="G13" s="27">
        <v>0</v>
      </c>
      <c r="H13" s="27">
        <v>0</v>
      </c>
      <c r="I13" s="27">
        <v>0</v>
      </c>
      <c r="J13" s="27">
        <v>0</v>
      </c>
      <c r="K13" s="27">
        <v>0</v>
      </c>
      <c r="L13" s="27">
        <v>0</v>
      </c>
      <c r="M13" s="27">
        <v>0</v>
      </c>
      <c r="N13" s="27">
        <v>0</v>
      </c>
      <c r="O13" s="27">
        <v>0</v>
      </c>
      <c r="P13" s="27">
        <v>0</v>
      </c>
      <c r="Q13" s="27">
        <f>SUM(E13:P13)</f>
        <v>0</v>
      </c>
      <c r="S13" s="35"/>
      <c r="T13" s="40">
        <f t="shared" ref="T13:T47" si="0">IF(Q13-S13=0,0,(Q13-S13)/S13)</f>
        <v>0</v>
      </c>
    </row>
    <row r="14" spans="1:20" s="3" customFormat="1" ht="24.95" customHeight="1">
      <c r="D14" s="21" t="s">
        <v>671</v>
      </c>
      <c r="E14" s="30">
        <f t="shared" ref="E14:Q14" si="1">SUM(E12:E13)</f>
        <v>0</v>
      </c>
      <c r="F14" s="30">
        <f t="shared" si="1"/>
        <v>0</v>
      </c>
      <c r="G14" s="30">
        <f t="shared" si="1"/>
        <v>0</v>
      </c>
      <c r="H14" s="30">
        <f t="shared" si="1"/>
        <v>0</v>
      </c>
      <c r="I14" s="30">
        <f t="shared" si="1"/>
        <v>0</v>
      </c>
      <c r="J14" s="30">
        <f t="shared" si="1"/>
        <v>0</v>
      </c>
      <c r="K14" s="30">
        <f t="shared" si="1"/>
        <v>0</v>
      </c>
      <c r="L14" s="30">
        <f t="shared" si="1"/>
        <v>0</v>
      </c>
      <c r="M14" s="30">
        <f t="shared" si="1"/>
        <v>0</v>
      </c>
      <c r="N14" s="30">
        <f t="shared" si="1"/>
        <v>0</v>
      </c>
      <c r="O14" s="30">
        <f t="shared" si="1"/>
        <v>0</v>
      </c>
      <c r="P14" s="30">
        <f t="shared" si="1"/>
        <v>0</v>
      </c>
      <c r="Q14" s="30">
        <f t="shared" si="1"/>
        <v>0</v>
      </c>
      <c r="S14" s="35"/>
      <c r="T14" s="40">
        <f t="shared" si="0"/>
        <v>0</v>
      </c>
    </row>
    <row r="15" spans="1:20" s="3" customFormat="1" ht="24.95" customHeight="1">
      <c r="D15" s="21"/>
      <c r="E15" s="82"/>
      <c r="F15" s="82"/>
      <c r="G15" s="82"/>
      <c r="H15" s="82"/>
      <c r="I15" s="82"/>
      <c r="J15" s="82"/>
      <c r="K15" s="82"/>
      <c r="L15" s="82"/>
      <c r="M15" s="82"/>
      <c r="N15" s="82"/>
      <c r="O15" s="82"/>
      <c r="P15" s="82"/>
      <c r="Q15" s="82"/>
      <c r="S15" s="35"/>
      <c r="T15" s="40"/>
    </row>
    <row r="16" spans="1:20" s="3" customFormat="1" ht="24.95" customHeight="1">
      <c r="D16" s="21" t="s">
        <v>423</v>
      </c>
      <c r="E16" s="27"/>
      <c r="F16" s="96"/>
      <c r="G16" s="27"/>
      <c r="H16" s="96"/>
      <c r="I16" s="27"/>
      <c r="J16" s="96"/>
      <c r="K16" s="27"/>
      <c r="L16" s="96"/>
      <c r="M16" s="27"/>
      <c r="N16" s="96"/>
      <c r="O16" s="103"/>
      <c r="P16" s="103"/>
      <c r="Q16" s="103"/>
      <c r="S16" s="35"/>
      <c r="T16" s="40"/>
    </row>
    <row r="17" spans="1:20" s="3" customFormat="1" ht="24.95" customHeight="1">
      <c r="A17" s="3" t="s">
        <v>765</v>
      </c>
      <c r="B17" s="3" t="s">
        <v>712</v>
      </c>
      <c r="C17" s="49">
        <v>3106</v>
      </c>
      <c r="D17" s="26" t="s">
        <v>853</v>
      </c>
      <c r="E17" s="97"/>
      <c r="F17" s="97"/>
      <c r="G17" s="97"/>
      <c r="H17" s="97"/>
      <c r="I17" s="97"/>
      <c r="J17" s="97"/>
      <c r="K17" s="97"/>
      <c r="L17" s="97"/>
      <c r="M17" s="97"/>
      <c r="N17" s="97"/>
      <c r="O17" s="97"/>
      <c r="P17" s="97"/>
      <c r="Q17" s="103">
        <f>SUM(E17:P17)</f>
        <v>0</v>
      </c>
      <c r="S17" s="35"/>
      <c r="T17" s="40">
        <f>-IF(Q17-S17=0,0,(Q17-S17)/S17)</f>
        <v>0</v>
      </c>
    </row>
    <row r="18" spans="1:20" s="19" customFormat="1" ht="24.95" customHeight="1">
      <c r="A18" s="3" t="s">
        <v>770</v>
      </c>
      <c r="B18" s="3" t="s">
        <v>712</v>
      </c>
      <c r="C18" s="3"/>
      <c r="D18" s="21" t="s">
        <v>771</v>
      </c>
      <c r="E18" s="98">
        <f t="shared" ref="E18:P18" si="2">SUM(E17:E17)</f>
        <v>0</v>
      </c>
      <c r="F18" s="98">
        <f t="shared" si="2"/>
        <v>0</v>
      </c>
      <c r="G18" s="98">
        <f t="shared" si="2"/>
        <v>0</v>
      </c>
      <c r="H18" s="98">
        <f t="shared" si="2"/>
        <v>0</v>
      </c>
      <c r="I18" s="98">
        <f t="shared" si="2"/>
        <v>0</v>
      </c>
      <c r="J18" s="98">
        <f t="shared" si="2"/>
        <v>0</v>
      </c>
      <c r="K18" s="98">
        <f t="shared" si="2"/>
        <v>0</v>
      </c>
      <c r="L18" s="98">
        <f t="shared" si="2"/>
        <v>0</v>
      </c>
      <c r="M18" s="98">
        <f t="shared" si="2"/>
        <v>0</v>
      </c>
      <c r="N18" s="98">
        <f t="shared" si="2"/>
        <v>0</v>
      </c>
      <c r="O18" s="98">
        <f t="shared" si="2"/>
        <v>0</v>
      </c>
      <c r="P18" s="98">
        <f t="shared" si="2"/>
        <v>0</v>
      </c>
      <c r="Q18" s="118">
        <f>SUM(E18:P18)</f>
        <v>0</v>
      </c>
      <c r="R18" s="39" t="e">
        <f>Q18/$Q$14</f>
        <v>#DIV/0!</v>
      </c>
      <c r="S18" s="35"/>
      <c r="T18" s="40">
        <f>-IF(Q18-S18=0,0,(Q18-S18)/S18)</f>
        <v>0</v>
      </c>
    </row>
    <row r="19" spans="1:20" s="19" customFormat="1" ht="24.95" customHeight="1">
      <c r="A19" s="3"/>
      <c r="B19" s="3"/>
      <c r="C19" s="3"/>
      <c r="D19" s="21"/>
      <c r="E19" s="99"/>
      <c r="F19" s="99"/>
      <c r="G19" s="99"/>
      <c r="H19" s="99"/>
      <c r="I19" s="99"/>
      <c r="J19" s="99"/>
      <c r="K19" s="99"/>
      <c r="L19" s="99"/>
      <c r="M19" s="99"/>
      <c r="N19" s="99"/>
      <c r="O19" s="99"/>
      <c r="P19" s="99"/>
      <c r="Q19" s="103"/>
      <c r="R19" s="3"/>
      <c r="S19" s="35"/>
      <c r="T19" s="40"/>
    </row>
    <row r="20" spans="1:20" s="19" customFormat="1" ht="24.95" customHeight="1">
      <c r="A20" s="19" t="s">
        <v>482</v>
      </c>
      <c r="B20" s="3" t="s">
        <v>712</v>
      </c>
      <c r="D20" s="19" t="s">
        <v>772</v>
      </c>
      <c r="E20" s="99">
        <f>E126</f>
        <v>0</v>
      </c>
      <c r="F20" s="99">
        <f t="shared" ref="F20:P20" si="3">F126</f>
        <v>0</v>
      </c>
      <c r="G20" s="99">
        <f t="shared" si="3"/>
        <v>0</v>
      </c>
      <c r="H20" s="99">
        <f t="shared" si="3"/>
        <v>0</v>
      </c>
      <c r="I20" s="99">
        <f t="shared" si="3"/>
        <v>0</v>
      </c>
      <c r="J20" s="99">
        <f t="shared" si="3"/>
        <v>0</v>
      </c>
      <c r="K20" s="99">
        <f t="shared" si="3"/>
        <v>0</v>
      </c>
      <c r="L20" s="99">
        <f t="shared" si="3"/>
        <v>0</v>
      </c>
      <c r="M20" s="99">
        <f t="shared" si="3"/>
        <v>0</v>
      </c>
      <c r="N20" s="99">
        <f t="shared" si="3"/>
        <v>0</v>
      </c>
      <c r="O20" s="99">
        <f t="shared" si="3"/>
        <v>0</v>
      </c>
      <c r="P20" s="99">
        <f t="shared" si="3"/>
        <v>0</v>
      </c>
      <c r="Q20" s="104">
        <f>SUM(E20:P20)</f>
        <v>0</v>
      </c>
      <c r="R20" s="39" t="e">
        <f>Q20/$Q$14</f>
        <v>#DIV/0!</v>
      </c>
      <c r="S20" s="35"/>
      <c r="T20" s="40">
        <f>-IF(Q20-S20=0,0,(Q20-S20)/S20)</f>
        <v>0</v>
      </c>
    </row>
    <row r="21" spans="1:20" s="19" customFormat="1" ht="24.95" customHeight="1">
      <c r="D21" s="26"/>
      <c r="E21" s="99"/>
      <c r="F21" s="99"/>
      <c r="G21" s="99"/>
      <c r="H21" s="99"/>
      <c r="I21" s="99"/>
      <c r="J21" s="99"/>
      <c r="K21" s="99"/>
      <c r="L21" s="99"/>
      <c r="M21" s="99"/>
      <c r="N21" s="99"/>
      <c r="O21" s="99"/>
      <c r="P21" s="99"/>
      <c r="Q21" s="103"/>
      <c r="R21" s="3"/>
      <c r="S21" s="35"/>
      <c r="T21" s="40"/>
    </row>
    <row r="22" spans="1:20" s="19" customFormat="1" ht="24.95" customHeight="1">
      <c r="D22" s="21" t="s">
        <v>773</v>
      </c>
      <c r="E22" s="99"/>
      <c r="F22" s="99"/>
      <c r="G22" s="99"/>
      <c r="H22" s="99"/>
      <c r="I22" s="99"/>
      <c r="J22" s="99"/>
      <c r="K22" s="99"/>
      <c r="L22" s="99"/>
      <c r="M22" s="99"/>
      <c r="N22" s="99"/>
      <c r="O22" s="99"/>
      <c r="P22" s="99"/>
      <c r="Q22" s="103"/>
      <c r="R22" s="3"/>
      <c r="S22" s="35"/>
      <c r="T22" s="40"/>
    </row>
    <row r="23" spans="1:20" s="19" customFormat="1" ht="24.95" hidden="1" customHeight="1">
      <c r="A23" s="19" t="s">
        <v>484</v>
      </c>
      <c r="B23" s="3" t="s">
        <v>712</v>
      </c>
      <c r="D23" s="26" t="s">
        <v>141</v>
      </c>
      <c r="E23" s="97">
        <v>0</v>
      </c>
      <c r="F23" s="97">
        <v>0</v>
      </c>
      <c r="G23" s="97">
        <v>0</v>
      </c>
      <c r="H23" s="97">
        <v>0</v>
      </c>
      <c r="I23" s="97">
        <v>0</v>
      </c>
      <c r="J23" s="97">
        <v>0</v>
      </c>
      <c r="K23" s="97">
        <v>0</v>
      </c>
      <c r="L23" s="97">
        <v>0</v>
      </c>
      <c r="M23" s="97">
        <v>0</v>
      </c>
      <c r="N23" s="97">
        <v>0</v>
      </c>
      <c r="O23" s="97">
        <v>0</v>
      </c>
      <c r="P23" s="97">
        <v>0</v>
      </c>
      <c r="Q23" s="103">
        <f>SUM(E23:P23)</f>
        <v>0</v>
      </c>
      <c r="R23" s="3"/>
      <c r="S23" s="35"/>
      <c r="T23" s="40">
        <f t="shared" si="0"/>
        <v>0</v>
      </c>
    </row>
    <row r="24" spans="1:20" s="19" customFormat="1" ht="24.95" hidden="1" customHeight="1">
      <c r="A24" s="19" t="s">
        <v>486</v>
      </c>
      <c r="B24" s="3" t="s">
        <v>712</v>
      </c>
      <c r="D24" s="26" t="s">
        <v>143</v>
      </c>
      <c r="E24" s="97">
        <v>0</v>
      </c>
      <c r="F24" s="97">
        <v>0</v>
      </c>
      <c r="G24" s="97">
        <v>0</v>
      </c>
      <c r="H24" s="97">
        <v>0</v>
      </c>
      <c r="I24" s="97">
        <v>0</v>
      </c>
      <c r="J24" s="97">
        <v>0</v>
      </c>
      <c r="K24" s="97">
        <v>0</v>
      </c>
      <c r="L24" s="97">
        <v>0</v>
      </c>
      <c r="M24" s="97">
        <v>0</v>
      </c>
      <c r="N24" s="97">
        <v>0</v>
      </c>
      <c r="O24" s="97">
        <v>0</v>
      </c>
      <c r="P24" s="97">
        <v>0</v>
      </c>
      <c r="Q24" s="103">
        <f t="shared" ref="Q24:Q87" si="4">SUM(E24:P24)</f>
        <v>0</v>
      </c>
      <c r="R24" s="3"/>
      <c r="S24" s="35"/>
      <c r="T24" s="40">
        <f t="shared" si="0"/>
        <v>0</v>
      </c>
    </row>
    <row r="25" spans="1:20" s="19" customFormat="1" ht="24.95" hidden="1" customHeight="1">
      <c r="A25" s="19" t="s">
        <v>488</v>
      </c>
      <c r="B25" s="3" t="s">
        <v>712</v>
      </c>
      <c r="D25" s="26" t="s">
        <v>145</v>
      </c>
      <c r="E25" s="97">
        <v>0</v>
      </c>
      <c r="F25" s="97">
        <v>0</v>
      </c>
      <c r="G25" s="97">
        <v>0</v>
      </c>
      <c r="H25" s="97">
        <v>0</v>
      </c>
      <c r="I25" s="97">
        <v>0</v>
      </c>
      <c r="J25" s="97">
        <v>0</v>
      </c>
      <c r="K25" s="97">
        <v>0</v>
      </c>
      <c r="L25" s="97">
        <v>0</v>
      </c>
      <c r="M25" s="97">
        <v>0</v>
      </c>
      <c r="N25" s="97">
        <v>0</v>
      </c>
      <c r="O25" s="97">
        <v>0</v>
      </c>
      <c r="P25" s="97">
        <v>0</v>
      </c>
      <c r="Q25" s="103">
        <f t="shared" si="4"/>
        <v>0</v>
      </c>
      <c r="R25" s="3"/>
      <c r="S25" s="35"/>
      <c r="T25" s="40">
        <f t="shared" si="0"/>
        <v>0</v>
      </c>
    </row>
    <row r="26" spans="1:20" s="19" customFormat="1" ht="24.95" hidden="1" customHeight="1">
      <c r="A26" s="19" t="s">
        <v>490</v>
      </c>
      <c r="B26" s="3" t="s">
        <v>712</v>
      </c>
      <c r="D26" s="26" t="s">
        <v>147</v>
      </c>
      <c r="E26" s="97">
        <v>0</v>
      </c>
      <c r="F26" s="97">
        <v>0</v>
      </c>
      <c r="G26" s="97">
        <v>0</v>
      </c>
      <c r="H26" s="97">
        <v>0</v>
      </c>
      <c r="I26" s="97">
        <v>0</v>
      </c>
      <c r="J26" s="97">
        <v>0</v>
      </c>
      <c r="K26" s="97">
        <v>0</v>
      </c>
      <c r="L26" s="97">
        <v>0</v>
      </c>
      <c r="M26" s="97">
        <v>0</v>
      </c>
      <c r="N26" s="97">
        <v>0</v>
      </c>
      <c r="O26" s="97">
        <v>0</v>
      </c>
      <c r="P26" s="97">
        <v>0</v>
      </c>
      <c r="Q26" s="103">
        <f t="shared" si="4"/>
        <v>0</v>
      </c>
      <c r="R26" s="3"/>
      <c r="S26" s="35"/>
      <c r="T26" s="40">
        <f t="shared" si="0"/>
        <v>0</v>
      </c>
    </row>
    <row r="27" spans="1:20" s="19" customFormat="1" ht="24.95" hidden="1" customHeight="1">
      <c r="A27" s="19" t="s">
        <v>492</v>
      </c>
      <c r="B27" s="3" t="s">
        <v>712</v>
      </c>
      <c r="D27" s="26" t="s">
        <v>149</v>
      </c>
      <c r="E27" s="97">
        <v>0</v>
      </c>
      <c r="F27" s="97">
        <v>0</v>
      </c>
      <c r="G27" s="97">
        <v>0</v>
      </c>
      <c r="H27" s="97">
        <v>0</v>
      </c>
      <c r="I27" s="97">
        <v>0</v>
      </c>
      <c r="J27" s="97">
        <v>0</v>
      </c>
      <c r="K27" s="97">
        <v>0</v>
      </c>
      <c r="L27" s="97">
        <v>0</v>
      </c>
      <c r="M27" s="97">
        <v>0</v>
      </c>
      <c r="N27" s="97">
        <v>0</v>
      </c>
      <c r="O27" s="97">
        <v>0</v>
      </c>
      <c r="P27" s="97">
        <v>0</v>
      </c>
      <c r="Q27" s="103">
        <f t="shared" si="4"/>
        <v>0</v>
      </c>
      <c r="R27" s="3"/>
      <c r="S27" s="35"/>
      <c r="T27" s="40">
        <f t="shared" si="0"/>
        <v>0</v>
      </c>
    </row>
    <row r="28" spans="1:20" s="19" customFormat="1" ht="24.95" hidden="1" customHeight="1">
      <c r="A28" s="19" t="s">
        <v>494</v>
      </c>
      <c r="B28" s="3" t="s">
        <v>712</v>
      </c>
      <c r="D28" s="26" t="s">
        <v>151</v>
      </c>
      <c r="E28" s="97">
        <v>0</v>
      </c>
      <c r="F28" s="97">
        <v>0</v>
      </c>
      <c r="G28" s="97">
        <v>0</v>
      </c>
      <c r="H28" s="97">
        <v>0</v>
      </c>
      <c r="I28" s="97">
        <v>0</v>
      </c>
      <c r="J28" s="97">
        <v>0</v>
      </c>
      <c r="K28" s="97">
        <v>0</v>
      </c>
      <c r="L28" s="97">
        <v>0</v>
      </c>
      <c r="M28" s="97">
        <v>0</v>
      </c>
      <c r="N28" s="97">
        <v>0</v>
      </c>
      <c r="O28" s="97">
        <v>0</v>
      </c>
      <c r="P28" s="97">
        <v>0</v>
      </c>
      <c r="Q28" s="103">
        <f t="shared" si="4"/>
        <v>0</v>
      </c>
      <c r="R28" s="3"/>
      <c r="S28" s="35"/>
      <c r="T28" s="40">
        <f t="shared" si="0"/>
        <v>0</v>
      </c>
    </row>
    <row r="29" spans="1:20" s="19" customFormat="1" ht="24.95" hidden="1" customHeight="1">
      <c r="A29" s="19" t="s">
        <v>496</v>
      </c>
      <c r="B29" s="3" t="s">
        <v>712</v>
      </c>
      <c r="D29" s="26" t="s">
        <v>153</v>
      </c>
      <c r="E29" s="97">
        <v>0</v>
      </c>
      <c r="F29" s="97">
        <v>0</v>
      </c>
      <c r="G29" s="97">
        <v>0</v>
      </c>
      <c r="H29" s="97">
        <v>0</v>
      </c>
      <c r="I29" s="97">
        <v>0</v>
      </c>
      <c r="J29" s="97">
        <v>0</v>
      </c>
      <c r="K29" s="97">
        <v>0</v>
      </c>
      <c r="L29" s="97">
        <v>0</v>
      </c>
      <c r="M29" s="97">
        <v>0</v>
      </c>
      <c r="N29" s="97">
        <v>0</v>
      </c>
      <c r="O29" s="97">
        <v>0</v>
      </c>
      <c r="P29" s="97">
        <v>0</v>
      </c>
      <c r="Q29" s="103">
        <f t="shared" si="4"/>
        <v>0</v>
      </c>
      <c r="R29" s="3"/>
      <c r="S29" s="35"/>
      <c r="T29" s="40">
        <f t="shared" si="0"/>
        <v>0</v>
      </c>
    </row>
    <row r="30" spans="1:20" s="19" customFormat="1" ht="24.95" hidden="1" customHeight="1">
      <c r="A30" s="19" t="s">
        <v>498</v>
      </c>
      <c r="B30" s="3" t="s">
        <v>712</v>
      </c>
      <c r="D30" s="26" t="s">
        <v>155</v>
      </c>
      <c r="E30" s="97">
        <v>0</v>
      </c>
      <c r="F30" s="97">
        <v>0</v>
      </c>
      <c r="G30" s="97">
        <v>0</v>
      </c>
      <c r="H30" s="97">
        <v>0</v>
      </c>
      <c r="I30" s="97">
        <v>0</v>
      </c>
      <c r="J30" s="97">
        <v>0</v>
      </c>
      <c r="K30" s="97">
        <v>0</v>
      </c>
      <c r="L30" s="97">
        <v>0</v>
      </c>
      <c r="M30" s="97">
        <v>0</v>
      </c>
      <c r="N30" s="97">
        <v>0</v>
      </c>
      <c r="O30" s="97">
        <v>0</v>
      </c>
      <c r="P30" s="97">
        <v>0</v>
      </c>
      <c r="Q30" s="103">
        <f t="shared" si="4"/>
        <v>0</v>
      </c>
      <c r="R30" s="3"/>
      <c r="S30" s="35"/>
      <c r="T30" s="40">
        <f t="shared" si="0"/>
        <v>0</v>
      </c>
    </row>
    <row r="31" spans="1:20" s="19" customFormat="1" ht="24.95" hidden="1" customHeight="1">
      <c r="A31" s="19" t="s">
        <v>500</v>
      </c>
      <c r="B31" s="3" t="s">
        <v>712</v>
      </c>
      <c r="D31" s="26" t="s">
        <v>157</v>
      </c>
      <c r="E31" s="97">
        <v>0</v>
      </c>
      <c r="F31" s="97">
        <v>0</v>
      </c>
      <c r="G31" s="97">
        <v>0</v>
      </c>
      <c r="H31" s="97">
        <v>0</v>
      </c>
      <c r="I31" s="97">
        <v>0</v>
      </c>
      <c r="J31" s="97">
        <v>0</v>
      </c>
      <c r="K31" s="97">
        <v>0</v>
      </c>
      <c r="L31" s="97">
        <v>0</v>
      </c>
      <c r="M31" s="97">
        <v>0</v>
      </c>
      <c r="N31" s="97">
        <v>0</v>
      </c>
      <c r="O31" s="97">
        <v>0</v>
      </c>
      <c r="P31" s="97">
        <v>0</v>
      </c>
      <c r="Q31" s="103">
        <f t="shared" si="4"/>
        <v>0</v>
      </c>
      <c r="R31" s="3"/>
      <c r="S31" s="35"/>
      <c r="T31" s="40">
        <f t="shared" si="0"/>
        <v>0</v>
      </c>
    </row>
    <row r="32" spans="1:20" s="19" customFormat="1" ht="24.95" hidden="1" customHeight="1">
      <c r="A32" s="19" t="s">
        <v>502</v>
      </c>
      <c r="B32" s="3" t="s">
        <v>712</v>
      </c>
      <c r="D32" s="26" t="s">
        <v>159</v>
      </c>
      <c r="E32" s="97">
        <v>0</v>
      </c>
      <c r="F32" s="97">
        <v>0</v>
      </c>
      <c r="G32" s="97">
        <v>0</v>
      </c>
      <c r="H32" s="97">
        <v>0</v>
      </c>
      <c r="I32" s="97">
        <v>0</v>
      </c>
      <c r="J32" s="97">
        <v>0</v>
      </c>
      <c r="K32" s="97">
        <v>0</v>
      </c>
      <c r="L32" s="97">
        <v>0</v>
      </c>
      <c r="M32" s="97">
        <v>0</v>
      </c>
      <c r="N32" s="97">
        <v>0</v>
      </c>
      <c r="O32" s="97">
        <v>0</v>
      </c>
      <c r="P32" s="97">
        <v>0</v>
      </c>
      <c r="Q32" s="103">
        <f t="shared" si="4"/>
        <v>0</v>
      </c>
      <c r="R32" s="3"/>
      <c r="S32" s="35"/>
      <c r="T32" s="40">
        <f t="shared" si="0"/>
        <v>0</v>
      </c>
    </row>
    <row r="33" spans="1:20" s="19" customFormat="1" ht="24.95" hidden="1" customHeight="1">
      <c r="A33" s="19" t="s">
        <v>504</v>
      </c>
      <c r="B33" s="3" t="s">
        <v>712</v>
      </c>
      <c r="D33" s="26" t="s">
        <v>161</v>
      </c>
      <c r="E33" s="97">
        <v>0</v>
      </c>
      <c r="F33" s="97">
        <v>0</v>
      </c>
      <c r="G33" s="97">
        <v>0</v>
      </c>
      <c r="H33" s="97">
        <v>0</v>
      </c>
      <c r="I33" s="97">
        <v>0</v>
      </c>
      <c r="J33" s="97">
        <v>0</v>
      </c>
      <c r="K33" s="97">
        <v>0</v>
      </c>
      <c r="L33" s="97">
        <v>0</v>
      </c>
      <c r="M33" s="97">
        <v>0</v>
      </c>
      <c r="N33" s="97">
        <v>0</v>
      </c>
      <c r="O33" s="97">
        <v>0</v>
      </c>
      <c r="P33" s="97">
        <v>0</v>
      </c>
      <c r="Q33" s="103">
        <f t="shared" si="4"/>
        <v>0</v>
      </c>
      <c r="R33" s="3"/>
      <c r="S33" s="35"/>
      <c r="T33" s="40">
        <f t="shared" si="0"/>
        <v>0</v>
      </c>
    </row>
    <row r="34" spans="1:20" s="19" customFormat="1" ht="24.95" hidden="1" customHeight="1">
      <c r="A34" s="19" t="s">
        <v>506</v>
      </c>
      <c r="B34" s="3" t="s">
        <v>712</v>
      </c>
      <c r="D34" s="26" t="s">
        <v>163</v>
      </c>
      <c r="E34" s="97">
        <v>0</v>
      </c>
      <c r="F34" s="97">
        <v>0</v>
      </c>
      <c r="G34" s="97">
        <v>0</v>
      </c>
      <c r="H34" s="97">
        <v>0</v>
      </c>
      <c r="I34" s="97">
        <v>0</v>
      </c>
      <c r="J34" s="97">
        <v>0</v>
      </c>
      <c r="K34" s="97">
        <v>0</v>
      </c>
      <c r="L34" s="97">
        <v>0</v>
      </c>
      <c r="M34" s="97">
        <v>0</v>
      </c>
      <c r="N34" s="97">
        <v>0</v>
      </c>
      <c r="O34" s="97">
        <v>0</v>
      </c>
      <c r="P34" s="97">
        <v>0</v>
      </c>
      <c r="Q34" s="103">
        <f t="shared" si="4"/>
        <v>0</v>
      </c>
      <c r="R34" s="3"/>
      <c r="S34" s="35"/>
      <c r="T34" s="40">
        <f t="shared" si="0"/>
        <v>0</v>
      </c>
    </row>
    <row r="35" spans="1:20" s="19" customFormat="1" ht="24.95" hidden="1" customHeight="1">
      <c r="A35" s="19" t="s">
        <v>508</v>
      </c>
      <c r="B35" s="3" t="s">
        <v>712</v>
      </c>
      <c r="D35" s="26" t="s">
        <v>165</v>
      </c>
      <c r="E35" s="97">
        <v>0</v>
      </c>
      <c r="F35" s="97">
        <v>0</v>
      </c>
      <c r="G35" s="97">
        <v>0</v>
      </c>
      <c r="H35" s="97">
        <v>0</v>
      </c>
      <c r="I35" s="97">
        <v>0</v>
      </c>
      <c r="J35" s="97">
        <v>0</v>
      </c>
      <c r="K35" s="97">
        <v>0</v>
      </c>
      <c r="L35" s="97">
        <v>0</v>
      </c>
      <c r="M35" s="97">
        <v>0</v>
      </c>
      <c r="N35" s="97">
        <v>0</v>
      </c>
      <c r="O35" s="97">
        <v>0</v>
      </c>
      <c r="P35" s="97">
        <v>0</v>
      </c>
      <c r="Q35" s="103">
        <f t="shared" si="4"/>
        <v>0</v>
      </c>
      <c r="R35" s="3"/>
      <c r="S35" s="35"/>
      <c r="T35" s="40">
        <f t="shared" si="0"/>
        <v>0</v>
      </c>
    </row>
    <row r="36" spans="1:20" s="19" customFormat="1" ht="24.95" hidden="1" customHeight="1">
      <c r="A36" s="19" t="s">
        <v>510</v>
      </c>
      <c r="B36" s="3" t="s">
        <v>712</v>
      </c>
      <c r="D36" s="26" t="s">
        <v>167</v>
      </c>
      <c r="E36" s="97">
        <v>0</v>
      </c>
      <c r="F36" s="97">
        <v>0</v>
      </c>
      <c r="G36" s="97">
        <v>0</v>
      </c>
      <c r="H36" s="97">
        <v>0</v>
      </c>
      <c r="I36" s="97">
        <v>0</v>
      </c>
      <c r="J36" s="97">
        <v>0</v>
      </c>
      <c r="K36" s="97">
        <v>0</v>
      </c>
      <c r="L36" s="97">
        <v>0</v>
      </c>
      <c r="M36" s="97">
        <v>0</v>
      </c>
      <c r="N36" s="97">
        <v>0</v>
      </c>
      <c r="O36" s="97">
        <v>0</v>
      </c>
      <c r="P36" s="97">
        <v>0</v>
      </c>
      <c r="Q36" s="103">
        <f t="shared" si="4"/>
        <v>0</v>
      </c>
      <c r="R36" s="3"/>
      <c r="S36" s="35"/>
      <c r="T36" s="40">
        <f t="shared" si="0"/>
        <v>0</v>
      </c>
    </row>
    <row r="37" spans="1:20" s="3" customFormat="1" ht="24.95" hidden="1" customHeight="1">
      <c r="A37" s="3" t="s">
        <v>512</v>
      </c>
      <c r="B37" s="3" t="s">
        <v>712</v>
      </c>
      <c r="D37" s="26" t="s">
        <v>169</v>
      </c>
      <c r="E37" s="97">
        <v>0</v>
      </c>
      <c r="F37" s="97">
        <v>0</v>
      </c>
      <c r="G37" s="97">
        <v>0</v>
      </c>
      <c r="H37" s="97">
        <v>0</v>
      </c>
      <c r="I37" s="97">
        <v>0</v>
      </c>
      <c r="J37" s="97">
        <v>0</v>
      </c>
      <c r="K37" s="97">
        <v>0</v>
      </c>
      <c r="L37" s="97">
        <v>0</v>
      </c>
      <c r="M37" s="97">
        <v>0</v>
      </c>
      <c r="N37" s="97">
        <v>0</v>
      </c>
      <c r="O37" s="97">
        <v>0</v>
      </c>
      <c r="P37" s="97">
        <v>0</v>
      </c>
      <c r="Q37" s="103">
        <f t="shared" si="4"/>
        <v>0</v>
      </c>
      <c r="S37" s="35"/>
      <c r="T37" s="40">
        <f t="shared" si="0"/>
        <v>0</v>
      </c>
    </row>
    <row r="38" spans="1:20" s="3" customFormat="1" ht="24.95" hidden="1" customHeight="1">
      <c r="A38" s="3" t="s">
        <v>513</v>
      </c>
      <c r="B38" s="3" t="s">
        <v>712</v>
      </c>
      <c r="D38" s="26" t="s">
        <v>171</v>
      </c>
      <c r="E38" s="97">
        <v>0</v>
      </c>
      <c r="F38" s="97">
        <v>0</v>
      </c>
      <c r="G38" s="97">
        <v>0</v>
      </c>
      <c r="H38" s="97">
        <v>0</v>
      </c>
      <c r="I38" s="97">
        <v>0</v>
      </c>
      <c r="J38" s="97">
        <v>0</v>
      </c>
      <c r="K38" s="97">
        <v>0</v>
      </c>
      <c r="L38" s="97">
        <v>0</v>
      </c>
      <c r="M38" s="97">
        <v>0</v>
      </c>
      <c r="N38" s="97">
        <v>0</v>
      </c>
      <c r="O38" s="97">
        <v>0</v>
      </c>
      <c r="P38" s="97">
        <v>0</v>
      </c>
      <c r="Q38" s="103">
        <f t="shared" si="4"/>
        <v>0</v>
      </c>
      <c r="S38" s="35"/>
      <c r="T38" s="40">
        <f t="shared" si="0"/>
        <v>0</v>
      </c>
    </row>
    <row r="39" spans="1:20" s="3" customFormat="1" ht="24.95" hidden="1" customHeight="1">
      <c r="A39" s="271" t="s">
        <v>514</v>
      </c>
      <c r="B39" s="3" t="s">
        <v>712</v>
      </c>
      <c r="D39" s="26" t="s">
        <v>173</v>
      </c>
      <c r="E39" s="97">
        <v>0</v>
      </c>
      <c r="F39" s="97">
        <v>0</v>
      </c>
      <c r="G39" s="97">
        <v>0</v>
      </c>
      <c r="H39" s="97">
        <v>0</v>
      </c>
      <c r="I39" s="97">
        <v>0</v>
      </c>
      <c r="J39" s="97">
        <v>0</v>
      </c>
      <c r="K39" s="97">
        <v>0</v>
      </c>
      <c r="L39" s="97">
        <v>0</v>
      </c>
      <c r="M39" s="97">
        <v>0</v>
      </c>
      <c r="N39" s="97">
        <v>0</v>
      </c>
      <c r="O39" s="97">
        <v>0</v>
      </c>
      <c r="P39" s="97">
        <v>0</v>
      </c>
      <c r="Q39" s="103">
        <f t="shared" si="4"/>
        <v>0</v>
      </c>
      <c r="S39" s="35"/>
      <c r="T39" s="40">
        <f t="shared" si="0"/>
        <v>0</v>
      </c>
    </row>
    <row r="40" spans="1:20" s="3" customFormat="1" ht="24.95" hidden="1" customHeight="1">
      <c r="A40" s="271" t="s">
        <v>516</v>
      </c>
      <c r="B40" s="3" t="s">
        <v>712</v>
      </c>
      <c r="D40" s="26" t="s">
        <v>175</v>
      </c>
      <c r="E40" s="97">
        <v>0</v>
      </c>
      <c r="F40" s="97">
        <v>0</v>
      </c>
      <c r="G40" s="97">
        <v>0</v>
      </c>
      <c r="H40" s="97">
        <v>0</v>
      </c>
      <c r="I40" s="97">
        <v>0</v>
      </c>
      <c r="J40" s="97">
        <v>0</v>
      </c>
      <c r="K40" s="97">
        <v>0</v>
      </c>
      <c r="L40" s="97">
        <v>0</v>
      </c>
      <c r="M40" s="97">
        <v>0</v>
      </c>
      <c r="N40" s="97">
        <v>0</v>
      </c>
      <c r="O40" s="97">
        <v>0</v>
      </c>
      <c r="P40" s="97">
        <v>0</v>
      </c>
      <c r="Q40" s="103">
        <f t="shared" si="4"/>
        <v>0</v>
      </c>
      <c r="S40" s="35"/>
      <c r="T40" s="40">
        <f t="shared" si="0"/>
        <v>0</v>
      </c>
    </row>
    <row r="41" spans="1:20" s="3" customFormat="1" ht="24.95" hidden="1" customHeight="1">
      <c r="A41" s="3" t="s">
        <v>518</v>
      </c>
      <c r="B41" s="3" t="s">
        <v>712</v>
      </c>
      <c r="D41" s="26" t="s">
        <v>177</v>
      </c>
      <c r="E41" s="97">
        <v>0</v>
      </c>
      <c r="F41" s="97">
        <v>0</v>
      </c>
      <c r="G41" s="97">
        <v>0</v>
      </c>
      <c r="H41" s="97">
        <v>0</v>
      </c>
      <c r="I41" s="97">
        <v>0</v>
      </c>
      <c r="J41" s="97">
        <v>0</v>
      </c>
      <c r="K41" s="97">
        <v>0</v>
      </c>
      <c r="L41" s="97">
        <v>0</v>
      </c>
      <c r="M41" s="97">
        <v>0</v>
      </c>
      <c r="N41" s="97">
        <v>0</v>
      </c>
      <c r="O41" s="97">
        <v>0</v>
      </c>
      <c r="P41" s="97">
        <v>0</v>
      </c>
      <c r="Q41" s="103">
        <f t="shared" si="4"/>
        <v>0</v>
      </c>
      <c r="S41" s="35"/>
      <c r="T41" s="40">
        <f t="shared" si="0"/>
        <v>0</v>
      </c>
    </row>
    <row r="42" spans="1:20" s="3" customFormat="1" ht="24.95" hidden="1" customHeight="1">
      <c r="A42" s="3" t="s">
        <v>520</v>
      </c>
      <c r="B42" s="3" t="s">
        <v>712</v>
      </c>
      <c r="D42" s="26" t="s">
        <v>179</v>
      </c>
      <c r="E42" s="97">
        <v>0</v>
      </c>
      <c r="F42" s="97">
        <v>0</v>
      </c>
      <c r="G42" s="97">
        <v>0</v>
      </c>
      <c r="H42" s="97">
        <v>0</v>
      </c>
      <c r="I42" s="97">
        <v>0</v>
      </c>
      <c r="J42" s="97">
        <v>0</v>
      </c>
      <c r="K42" s="97">
        <v>0</v>
      </c>
      <c r="L42" s="97">
        <v>0</v>
      </c>
      <c r="M42" s="97">
        <v>0</v>
      </c>
      <c r="N42" s="97">
        <v>0</v>
      </c>
      <c r="O42" s="97">
        <v>0</v>
      </c>
      <c r="P42" s="97">
        <v>0</v>
      </c>
      <c r="Q42" s="103">
        <f t="shared" si="4"/>
        <v>0</v>
      </c>
      <c r="S42" s="35"/>
      <c r="T42" s="40">
        <f t="shared" si="0"/>
        <v>0</v>
      </c>
    </row>
    <row r="43" spans="1:20" s="3" customFormat="1" ht="24.95" hidden="1" customHeight="1">
      <c r="A43" s="271" t="s">
        <v>522</v>
      </c>
      <c r="B43" s="3" t="s">
        <v>712</v>
      </c>
      <c r="D43" s="26" t="s">
        <v>181</v>
      </c>
      <c r="E43" s="97">
        <v>0</v>
      </c>
      <c r="F43" s="97">
        <v>0</v>
      </c>
      <c r="G43" s="97">
        <v>0</v>
      </c>
      <c r="H43" s="97">
        <v>0</v>
      </c>
      <c r="I43" s="97">
        <v>0</v>
      </c>
      <c r="J43" s="97">
        <v>0</v>
      </c>
      <c r="K43" s="97">
        <v>0</v>
      </c>
      <c r="L43" s="97">
        <v>0</v>
      </c>
      <c r="M43" s="97">
        <v>0</v>
      </c>
      <c r="N43" s="97">
        <v>0</v>
      </c>
      <c r="O43" s="97">
        <v>0</v>
      </c>
      <c r="P43" s="97">
        <v>0</v>
      </c>
      <c r="Q43" s="103">
        <f t="shared" si="4"/>
        <v>0</v>
      </c>
      <c r="S43" s="35"/>
      <c r="T43" s="40">
        <f t="shared" si="0"/>
        <v>0</v>
      </c>
    </row>
    <row r="44" spans="1:20" s="3" customFormat="1" ht="24.95" hidden="1" customHeight="1">
      <c r="A44" s="54" t="s">
        <v>524</v>
      </c>
      <c r="B44" s="3" t="s">
        <v>712</v>
      </c>
      <c r="D44" s="26" t="s">
        <v>183</v>
      </c>
      <c r="E44" s="97">
        <v>0</v>
      </c>
      <c r="F44" s="97">
        <v>0</v>
      </c>
      <c r="G44" s="97">
        <v>0</v>
      </c>
      <c r="H44" s="97">
        <v>0</v>
      </c>
      <c r="I44" s="97">
        <v>0</v>
      </c>
      <c r="J44" s="97">
        <v>0</v>
      </c>
      <c r="K44" s="97">
        <v>0</v>
      </c>
      <c r="L44" s="97">
        <v>0</v>
      </c>
      <c r="M44" s="97">
        <v>0</v>
      </c>
      <c r="N44" s="97">
        <v>0</v>
      </c>
      <c r="O44" s="97">
        <v>0</v>
      </c>
      <c r="P44" s="97">
        <v>0</v>
      </c>
      <c r="Q44" s="103">
        <f t="shared" si="4"/>
        <v>0</v>
      </c>
      <c r="S44" s="35"/>
      <c r="T44" s="40">
        <f t="shared" si="0"/>
        <v>0</v>
      </c>
    </row>
    <row r="45" spans="1:20" s="3" customFormat="1" ht="24.95" hidden="1" customHeight="1">
      <c r="A45" s="271" t="s">
        <v>526</v>
      </c>
      <c r="B45" s="3" t="s">
        <v>712</v>
      </c>
      <c r="D45" s="26" t="s">
        <v>185</v>
      </c>
      <c r="E45" s="97">
        <v>0</v>
      </c>
      <c r="F45" s="97">
        <v>0</v>
      </c>
      <c r="G45" s="97">
        <v>0</v>
      </c>
      <c r="H45" s="97">
        <v>0</v>
      </c>
      <c r="I45" s="97">
        <v>0</v>
      </c>
      <c r="J45" s="97">
        <v>0</v>
      </c>
      <c r="K45" s="97">
        <v>0</v>
      </c>
      <c r="L45" s="97">
        <v>0</v>
      </c>
      <c r="M45" s="97">
        <v>0</v>
      </c>
      <c r="N45" s="97">
        <v>0</v>
      </c>
      <c r="O45" s="97">
        <v>0</v>
      </c>
      <c r="P45" s="97">
        <v>0</v>
      </c>
      <c r="Q45" s="103">
        <f t="shared" si="4"/>
        <v>0</v>
      </c>
      <c r="S45" s="35"/>
      <c r="T45" s="40">
        <f t="shared" si="0"/>
        <v>0</v>
      </c>
    </row>
    <row r="46" spans="1:20" s="3" customFormat="1" ht="24.95" hidden="1" customHeight="1">
      <c r="A46" s="271" t="s">
        <v>528</v>
      </c>
      <c r="B46" s="3" t="s">
        <v>712</v>
      </c>
      <c r="D46" s="26" t="s">
        <v>187</v>
      </c>
      <c r="E46" s="97">
        <v>0</v>
      </c>
      <c r="F46" s="97">
        <v>0</v>
      </c>
      <c r="G46" s="97">
        <v>0</v>
      </c>
      <c r="H46" s="97">
        <v>0</v>
      </c>
      <c r="I46" s="97">
        <v>0</v>
      </c>
      <c r="J46" s="97">
        <v>0</v>
      </c>
      <c r="K46" s="97">
        <v>0</v>
      </c>
      <c r="L46" s="97">
        <v>0</v>
      </c>
      <c r="M46" s="97">
        <v>0</v>
      </c>
      <c r="N46" s="97">
        <v>0</v>
      </c>
      <c r="O46" s="97">
        <v>0</v>
      </c>
      <c r="P46" s="97">
        <v>0</v>
      </c>
      <c r="Q46" s="103">
        <f t="shared" si="4"/>
        <v>0</v>
      </c>
      <c r="S46" s="35"/>
      <c r="T46" s="40">
        <f t="shared" si="0"/>
        <v>0</v>
      </c>
    </row>
    <row r="47" spans="1:20" s="3" customFormat="1" ht="24.95" hidden="1" customHeight="1">
      <c r="A47" s="271" t="s">
        <v>530</v>
      </c>
      <c r="B47" s="3" t="s">
        <v>712</v>
      </c>
      <c r="D47" s="26" t="s">
        <v>189</v>
      </c>
      <c r="E47" s="97">
        <v>0</v>
      </c>
      <c r="F47" s="97">
        <v>0</v>
      </c>
      <c r="G47" s="97">
        <v>0</v>
      </c>
      <c r="H47" s="97">
        <v>0</v>
      </c>
      <c r="I47" s="97">
        <v>0</v>
      </c>
      <c r="J47" s="97">
        <v>0</v>
      </c>
      <c r="K47" s="97">
        <v>0</v>
      </c>
      <c r="L47" s="97">
        <v>0</v>
      </c>
      <c r="M47" s="97">
        <v>0</v>
      </c>
      <c r="N47" s="97">
        <v>0</v>
      </c>
      <c r="O47" s="97">
        <v>0</v>
      </c>
      <c r="P47" s="97">
        <v>0</v>
      </c>
      <c r="Q47" s="103">
        <f t="shared" si="4"/>
        <v>0</v>
      </c>
      <c r="S47" s="35"/>
      <c r="T47" s="40">
        <f t="shared" si="0"/>
        <v>0</v>
      </c>
    </row>
    <row r="48" spans="1:20" s="19" customFormat="1" ht="24.95" customHeight="1">
      <c r="A48" s="271" t="s">
        <v>532</v>
      </c>
      <c r="B48" s="3" t="s">
        <v>712</v>
      </c>
      <c r="D48" s="26" t="s">
        <v>191</v>
      </c>
      <c r="E48" s="97">
        <v>0</v>
      </c>
      <c r="F48" s="97">
        <v>0</v>
      </c>
      <c r="G48" s="97">
        <v>0</v>
      </c>
      <c r="H48" s="97">
        <v>0</v>
      </c>
      <c r="I48" s="97">
        <v>0</v>
      </c>
      <c r="J48" s="97">
        <v>0</v>
      </c>
      <c r="K48" s="97">
        <v>0</v>
      </c>
      <c r="L48" s="97">
        <v>0</v>
      </c>
      <c r="M48" s="97">
        <v>0</v>
      </c>
      <c r="N48" s="97">
        <v>0</v>
      </c>
      <c r="O48" s="97">
        <v>0</v>
      </c>
      <c r="P48" s="97">
        <v>0</v>
      </c>
      <c r="Q48" s="103">
        <f t="shared" si="4"/>
        <v>0</v>
      </c>
      <c r="R48" s="3"/>
      <c r="S48" s="35"/>
      <c r="T48" s="40">
        <f>-IF(S48&lt;&gt;0,(Q48-S48)/S48,1)</f>
        <v>-1</v>
      </c>
    </row>
    <row r="49" spans="1:20" s="3" customFormat="1" ht="24.95" hidden="1" customHeight="1">
      <c r="A49" s="50" t="s">
        <v>534</v>
      </c>
      <c r="B49" s="3" t="s">
        <v>712</v>
      </c>
      <c r="D49" s="26" t="s">
        <v>193</v>
      </c>
      <c r="E49" s="97">
        <v>0</v>
      </c>
      <c r="F49" s="97">
        <v>0</v>
      </c>
      <c r="G49" s="97">
        <v>0</v>
      </c>
      <c r="H49" s="97">
        <v>0</v>
      </c>
      <c r="I49" s="97">
        <v>0</v>
      </c>
      <c r="J49" s="97">
        <v>0</v>
      </c>
      <c r="K49" s="97">
        <v>0</v>
      </c>
      <c r="L49" s="97">
        <v>0</v>
      </c>
      <c r="M49" s="97">
        <v>0</v>
      </c>
      <c r="N49" s="97">
        <v>0</v>
      </c>
      <c r="O49" s="97">
        <v>0</v>
      </c>
      <c r="P49" s="97">
        <v>0</v>
      </c>
      <c r="Q49" s="103">
        <f t="shared" si="4"/>
        <v>0</v>
      </c>
      <c r="S49" s="35"/>
      <c r="T49" s="40">
        <f t="shared" ref="T49:T91" si="5">-IF(S49&lt;&gt;0,(Q49-S49)/S49,1)</f>
        <v>-1</v>
      </c>
    </row>
    <row r="50" spans="1:20" s="3" customFormat="1" ht="24.95" hidden="1" customHeight="1">
      <c r="A50" s="271" t="s">
        <v>536</v>
      </c>
      <c r="B50" s="3" t="s">
        <v>712</v>
      </c>
      <c r="D50" s="26" t="s">
        <v>195</v>
      </c>
      <c r="E50" s="97">
        <v>0</v>
      </c>
      <c r="F50" s="97">
        <v>0</v>
      </c>
      <c r="G50" s="97">
        <v>0</v>
      </c>
      <c r="H50" s="97">
        <v>0</v>
      </c>
      <c r="I50" s="97">
        <v>0</v>
      </c>
      <c r="J50" s="97">
        <v>0</v>
      </c>
      <c r="K50" s="97">
        <v>0</v>
      </c>
      <c r="L50" s="97">
        <v>0</v>
      </c>
      <c r="M50" s="97">
        <v>0</v>
      </c>
      <c r="N50" s="97">
        <v>0</v>
      </c>
      <c r="O50" s="97">
        <v>0</v>
      </c>
      <c r="P50" s="97">
        <v>0</v>
      </c>
      <c r="Q50" s="103">
        <f t="shared" si="4"/>
        <v>0</v>
      </c>
      <c r="S50" s="35"/>
      <c r="T50" s="40">
        <f t="shared" si="5"/>
        <v>-1</v>
      </c>
    </row>
    <row r="51" spans="1:20" s="3" customFormat="1" ht="24.95" hidden="1" customHeight="1">
      <c r="A51" s="271" t="s">
        <v>538</v>
      </c>
      <c r="B51" s="3" t="s">
        <v>712</v>
      </c>
      <c r="D51" s="26" t="s">
        <v>197</v>
      </c>
      <c r="E51" s="97">
        <v>0</v>
      </c>
      <c r="F51" s="97">
        <v>0</v>
      </c>
      <c r="G51" s="97">
        <v>0</v>
      </c>
      <c r="H51" s="97">
        <v>0</v>
      </c>
      <c r="I51" s="97">
        <v>0</v>
      </c>
      <c r="J51" s="97">
        <v>0</v>
      </c>
      <c r="K51" s="97">
        <v>0</v>
      </c>
      <c r="L51" s="97">
        <v>0</v>
      </c>
      <c r="M51" s="97">
        <v>0</v>
      </c>
      <c r="N51" s="97">
        <v>0</v>
      </c>
      <c r="O51" s="97">
        <v>0</v>
      </c>
      <c r="P51" s="97">
        <v>0</v>
      </c>
      <c r="Q51" s="103">
        <f t="shared" si="4"/>
        <v>0</v>
      </c>
      <c r="S51" s="35"/>
      <c r="T51" s="40">
        <f t="shared" si="5"/>
        <v>-1</v>
      </c>
    </row>
    <row r="52" spans="1:20" s="3" customFormat="1" ht="24.95" hidden="1" customHeight="1">
      <c r="A52" s="271" t="s">
        <v>540</v>
      </c>
      <c r="B52" s="3" t="s">
        <v>712</v>
      </c>
      <c r="D52" s="26" t="s">
        <v>199</v>
      </c>
      <c r="E52" s="97">
        <v>0</v>
      </c>
      <c r="F52" s="97">
        <v>0</v>
      </c>
      <c r="G52" s="97">
        <v>0</v>
      </c>
      <c r="H52" s="97">
        <v>0</v>
      </c>
      <c r="I52" s="97">
        <v>0</v>
      </c>
      <c r="J52" s="97">
        <v>0</v>
      </c>
      <c r="K52" s="97">
        <v>0</v>
      </c>
      <c r="L52" s="97">
        <v>0</v>
      </c>
      <c r="M52" s="97">
        <v>0</v>
      </c>
      <c r="N52" s="97">
        <v>0</v>
      </c>
      <c r="O52" s="97">
        <v>0</v>
      </c>
      <c r="P52" s="97">
        <v>0</v>
      </c>
      <c r="Q52" s="103">
        <f t="shared" si="4"/>
        <v>0</v>
      </c>
      <c r="S52" s="35"/>
      <c r="T52" s="40">
        <f t="shared" si="5"/>
        <v>-1</v>
      </c>
    </row>
    <row r="53" spans="1:20" s="3" customFormat="1" ht="24.95" hidden="1" customHeight="1">
      <c r="A53" s="271" t="s">
        <v>542</v>
      </c>
      <c r="B53" s="3" t="s">
        <v>712</v>
      </c>
      <c r="D53" s="26" t="s">
        <v>201</v>
      </c>
      <c r="E53" s="97">
        <v>0</v>
      </c>
      <c r="F53" s="97">
        <v>0</v>
      </c>
      <c r="G53" s="97">
        <v>0</v>
      </c>
      <c r="H53" s="97">
        <v>0</v>
      </c>
      <c r="I53" s="97">
        <v>0</v>
      </c>
      <c r="J53" s="97">
        <v>0</v>
      </c>
      <c r="K53" s="97">
        <v>0</v>
      </c>
      <c r="L53" s="97">
        <v>0</v>
      </c>
      <c r="M53" s="97">
        <v>0</v>
      </c>
      <c r="N53" s="97">
        <v>0</v>
      </c>
      <c r="O53" s="97">
        <v>0</v>
      </c>
      <c r="P53" s="97">
        <v>0</v>
      </c>
      <c r="Q53" s="103">
        <f t="shared" si="4"/>
        <v>0</v>
      </c>
      <c r="S53" s="35"/>
      <c r="T53" s="40">
        <f t="shared" si="5"/>
        <v>-1</v>
      </c>
    </row>
    <row r="54" spans="1:20" s="3" customFormat="1" ht="24.95" hidden="1" customHeight="1">
      <c r="A54" s="271" t="s">
        <v>544</v>
      </c>
      <c r="B54" s="3" t="s">
        <v>712</v>
      </c>
      <c r="D54" s="26" t="s">
        <v>203</v>
      </c>
      <c r="E54" s="97">
        <v>0</v>
      </c>
      <c r="F54" s="97">
        <v>0</v>
      </c>
      <c r="G54" s="97">
        <v>0</v>
      </c>
      <c r="H54" s="97">
        <v>0</v>
      </c>
      <c r="I54" s="97">
        <v>0</v>
      </c>
      <c r="J54" s="97">
        <v>0</v>
      </c>
      <c r="K54" s="97">
        <v>0</v>
      </c>
      <c r="L54" s="97">
        <v>0</v>
      </c>
      <c r="M54" s="97">
        <v>0</v>
      </c>
      <c r="N54" s="97">
        <v>0</v>
      </c>
      <c r="O54" s="97">
        <v>0</v>
      </c>
      <c r="P54" s="97">
        <v>0</v>
      </c>
      <c r="Q54" s="103">
        <f t="shared" si="4"/>
        <v>0</v>
      </c>
      <c r="S54" s="35"/>
      <c r="T54" s="40">
        <f t="shared" si="5"/>
        <v>-1</v>
      </c>
    </row>
    <row r="55" spans="1:20" s="3" customFormat="1" ht="24.95" hidden="1" customHeight="1">
      <c r="A55" s="271" t="s">
        <v>546</v>
      </c>
      <c r="B55" s="3" t="s">
        <v>712</v>
      </c>
      <c r="D55" s="26" t="s">
        <v>205</v>
      </c>
      <c r="E55" s="97">
        <v>0</v>
      </c>
      <c r="F55" s="97">
        <v>0</v>
      </c>
      <c r="G55" s="97">
        <v>0</v>
      </c>
      <c r="H55" s="97">
        <v>0</v>
      </c>
      <c r="I55" s="97">
        <v>0</v>
      </c>
      <c r="J55" s="97">
        <v>0</v>
      </c>
      <c r="K55" s="97">
        <v>0</v>
      </c>
      <c r="L55" s="97">
        <v>0</v>
      </c>
      <c r="M55" s="97">
        <v>0</v>
      </c>
      <c r="N55" s="97">
        <v>0</v>
      </c>
      <c r="O55" s="97">
        <v>0</v>
      </c>
      <c r="P55" s="97">
        <v>0</v>
      </c>
      <c r="Q55" s="103">
        <f t="shared" si="4"/>
        <v>0</v>
      </c>
      <c r="S55" s="35"/>
      <c r="T55" s="40">
        <f t="shared" si="5"/>
        <v>-1</v>
      </c>
    </row>
    <row r="56" spans="1:20" s="3" customFormat="1" ht="24.95" hidden="1" customHeight="1">
      <c r="A56" s="271" t="s">
        <v>548</v>
      </c>
      <c r="B56" s="3" t="s">
        <v>712</v>
      </c>
      <c r="D56" s="26" t="s">
        <v>207</v>
      </c>
      <c r="E56" s="97">
        <v>0</v>
      </c>
      <c r="F56" s="97">
        <v>0</v>
      </c>
      <c r="G56" s="97">
        <v>0</v>
      </c>
      <c r="H56" s="97">
        <v>0</v>
      </c>
      <c r="I56" s="97">
        <v>0</v>
      </c>
      <c r="J56" s="97">
        <v>0</v>
      </c>
      <c r="K56" s="97">
        <v>0</v>
      </c>
      <c r="L56" s="97">
        <v>0</v>
      </c>
      <c r="M56" s="97">
        <v>0</v>
      </c>
      <c r="N56" s="97">
        <v>0</v>
      </c>
      <c r="O56" s="97">
        <v>0</v>
      </c>
      <c r="P56" s="97">
        <v>0</v>
      </c>
      <c r="Q56" s="103">
        <f t="shared" si="4"/>
        <v>0</v>
      </c>
      <c r="S56" s="35"/>
      <c r="T56" s="40">
        <f t="shared" si="5"/>
        <v>-1</v>
      </c>
    </row>
    <row r="57" spans="1:20" s="3" customFormat="1" ht="24.95" hidden="1" customHeight="1">
      <c r="A57" s="271" t="s">
        <v>550</v>
      </c>
      <c r="B57" s="3" t="s">
        <v>712</v>
      </c>
      <c r="D57" s="26" t="s">
        <v>209</v>
      </c>
      <c r="E57" s="97">
        <v>0</v>
      </c>
      <c r="F57" s="97">
        <v>0</v>
      </c>
      <c r="G57" s="97">
        <v>0</v>
      </c>
      <c r="H57" s="97">
        <v>0</v>
      </c>
      <c r="I57" s="97">
        <v>0</v>
      </c>
      <c r="J57" s="97">
        <v>0</v>
      </c>
      <c r="K57" s="97">
        <v>0</v>
      </c>
      <c r="L57" s="97">
        <v>0</v>
      </c>
      <c r="M57" s="97">
        <v>0</v>
      </c>
      <c r="N57" s="97">
        <v>0</v>
      </c>
      <c r="O57" s="97">
        <v>0</v>
      </c>
      <c r="P57" s="97">
        <v>0</v>
      </c>
      <c r="Q57" s="103">
        <f t="shared" si="4"/>
        <v>0</v>
      </c>
      <c r="S57" s="35"/>
      <c r="T57" s="40">
        <f t="shared" si="5"/>
        <v>-1</v>
      </c>
    </row>
    <row r="58" spans="1:20" s="19" customFormat="1" ht="24.95" hidden="1" customHeight="1">
      <c r="A58" s="271" t="s">
        <v>552</v>
      </c>
      <c r="B58" s="3" t="s">
        <v>712</v>
      </c>
      <c r="D58" s="26" t="s">
        <v>211</v>
      </c>
      <c r="E58" s="97">
        <v>0</v>
      </c>
      <c r="F58" s="97">
        <v>0</v>
      </c>
      <c r="G58" s="97">
        <v>0</v>
      </c>
      <c r="H58" s="97">
        <v>0</v>
      </c>
      <c r="I58" s="97">
        <v>0</v>
      </c>
      <c r="J58" s="97">
        <v>0</v>
      </c>
      <c r="K58" s="97">
        <v>0</v>
      </c>
      <c r="L58" s="97">
        <v>0</v>
      </c>
      <c r="M58" s="97">
        <v>0</v>
      </c>
      <c r="N58" s="97">
        <v>0</v>
      </c>
      <c r="O58" s="97">
        <v>0</v>
      </c>
      <c r="P58" s="97">
        <v>0</v>
      </c>
      <c r="Q58" s="103">
        <f t="shared" si="4"/>
        <v>0</v>
      </c>
      <c r="R58" s="3"/>
      <c r="S58" s="35"/>
      <c r="T58" s="40">
        <f t="shared" si="5"/>
        <v>-1</v>
      </c>
    </row>
    <row r="59" spans="1:20" s="19" customFormat="1" ht="24.95" hidden="1" customHeight="1">
      <c r="A59" s="271" t="s">
        <v>554</v>
      </c>
      <c r="B59" s="3" t="s">
        <v>712</v>
      </c>
      <c r="D59" s="26" t="s">
        <v>213</v>
      </c>
      <c r="E59" s="97">
        <v>0</v>
      </c>
      <c r="F59" s="97">
        <v>0</v>
      </c>
      <c r="G59" s="97">
        <v>0</v>
      </c>
      <c r="H59" s="97">
        <v>0</v>
      </c>
      <c r="I59" s="97">
        <v>0</v>
      </c>
      <c r="J59" s="97">
        <v>0</v>
      </c>
      <c r="K59" s="97">
        <v>0</v>
      </c>
      <c r="L59" s="97">
        <v>0</v>
      </c>
      <c r="M59" s="97">
        <v>0</v>
      </c>
      <c r="N59" s="97">
        <v>0</v>
      </c>
      <c r="O59" s="97">
        <v>0</v>
      </c>
      <c r="P59" s="97">
        <v>0</v>
      </c>
      <c r="Q59" s="103">
        <f t="shared" si="4"/>
        <v>0</v>
      </c>
      <c r="R59" s="3"/>
      <c r="S59" s="35"/>
      <c r="T59" s="40">
        <f t="shared" si="5"/>
        <v>-1</v>
      </c>
    </row>
    <row r="60" spans="1:20" s="3" customFormat="1" ht="24.95" hidden="1" customHeight="1">
      <c r="A60" s="3" t="s">
        <v>556</v>
      </c>
      <c r="B60" s="3" t="s">
        <v>712</v>
      </c>
      <c r="D60" s="26" t="s">
        <v>215</v>
      </c>
      <c r="E60" s="97">
        <v>0</v>
      </c>
      <c r="F60" s="97">
        <v>0</v>
      </c>
      <c r="G60" s="97">
        <v>0</v>
      </c>
      <c r="H60" s="97">
        <v>0</v>
      </c>
      <c r="I60" s="97">
        <v>0</v>
      </c>
      <c r="J60" s="97">
        <v>0</v>
      </c>
      <c r="K60" s="97">
        <v>0</v>
      </c>
      <c r="L60" s="97">
        <v>0</v>
      </c>
      <c r="M60" s="97">
        <v>0</v>
      </c>
      <c r="N60" s="97">
        <v>0</v>
      </c>
      <c r="O60" s="97">
        <v>0</v>
      </c>
      <c r="P60" s="97">
        <v>0</v>
      </c>
      <c r="Q60" s="103">
        <f t="shared" si="4"/>
        <v>0</v>
      </c>
      <c r="S60" s="35"/>
      <c r="T60" s="40">
        <f t="shared" si="5"/>
        <v>-1</v>
      </c>
    </row>
    <row r="61" spans="1:20" s="3" customFormat="1" ht="24.95" hidden="1" customHeight="1">
      <c r="A61" s="3" t="s">
        <v>558</v>
      </c>
      <c r="B61" s="3" t="s">
        <v>712</v>
      </c>
      <c r="D61" s="26" t="s">
        <v>217</v>
      </c>
      <c r="E61" s="97">
        <v>0</v>
      </c>
      <c r="F61" s="97">
        <v>0</v>
      </c>
      <c r="G61" s="97">
        <v>0</v>
      </c>
      <c r="H61" s="97">
        <v>0</v>
      </c>
      <c r="I61" s="97">
        <v>0</v>
      </c>
      <c r="J61" s="97">
        <v>0</v>
      </c>
      <c r="K61" s="97">
        <v>0</v>
      </c>
      <c r="L61" s="97">
        <v>0</v>
      </c>
      <c r="M61" s="97">
        <v>0</v>
      </c>
      <c r="N61" s="97">
        <v>0</v>
      </c>
      <c r="O61" s="97">
        <v>0</v>
      </c>
      <c r="P61" s="97">
        <v>0</v>
      </c>
      <c r="Q61" s="103">
        <f t="shared" si="4"/>
        <v>0</v>
      </c>
      <c r="S61" s="35"/>
      <c r="T61" s="40">
        <f t="shared" si="5"/>
        <v>-1</v>
      </c>
    </row>
    <row r="62" spans="1:20" s="3" customFormat="1" ht="24.95" hidden="1" customHeight="1">
      <c r="A62" s="3" t="s">
        <v>560</v>
      </c>
      <c r="B62" s="3" t="s">
        <v>712</v>
      </c>
      <c r="D62" s="26" t="s">
        <v>219</v>
      </c>
      <c r="E62" s="97">
        <v>0</v>
      </c>
      <c r="F62" s="97">
        <v>0</v>
      </c>
      <c r="G62" s="97">
        <v>0</v>
      </c>
      <c r="H62" s="97">
        <v>0</v>
      </c>
      <c r="I62" s="97">
        <v>0</v>
      </c>
      <c r="J62" s="97">
        <v>0</v>
      </c>
      <c r="K62" s="97">
        <v>0</v>
      </c>
      <c r="L62" s="97">
        <v>0</v>
      </c>
      <c r="M62" s="97">
        <v>0</v>
      </c>
      <c r="N62" s="97">
        <v>0</v>
      </c>
      <c r="O62" s="97">
        <v>0</v>
      </c>
      <c r="P62" s="97">
        <v>0</v>
      </c>
      <c r="Q62" s="103">
        <f t="shared" si="4"/>
        <v>0</v>
      </c>
      <c r="S62" s="35"/>
      <c r="T62" s="40">
        <f t="shared" si="5"/>
        <v>-1</v>
      </c>
    </row>
    <row r="63" spans="1:20" s="3" customFormat="1" ht="24.95" hidden="1" customHeight="1">
      <c r="A63" s="3" t="s">
        <v>562</v>
      </c>
      <c r="B63" s="3" t="s">
        <v>712</v>
      </c>
      <c r="D63" s="26" t="s">
        <v>221</v>
      </c>
      <c r="E63" s="97">
        <v>0</v>
      </c>
      <c r="F63" s="97">
        <v>0</v>
      </c>
      <c r="G63" s="97">
        <v>0</v>
      </c>
      <c r="H63" s="97">
        <v>0</v>
      </c>
      <c r="I63" s="97">
        <v>0</v>
      </c>
      <c r="J63" s="97">
        <v>0</v>
      </c>
      <c r="K63" s="97">
        <v>0</v>
      </c>
      <c r="L63" s="97">
        <v>0</v>
      </c>
      <c r="M63" s="97">
        <v>0</v>
      </c>
      <c r="N63" s="97">
        <v>0</v>
      </c>
      <c r="O63" s="97">
        <v>0</v>
      </c>
      <c r="P63" s="97">
        <v>0</v>
      </c>
      <c r="Q63" s="103">
        <f t="shared" si="4"/>
        <v>0</v>
      </c>
      <c r="S63" s="35"/>
      <c r="T63" s="40">
        <f t="shared" si="5"/>
        <v>-1</v>
      </c>
    </row>
    <row r="64" spans="1:20" s="3" customFormat="1" ht="24.95" hidden="1" customHeight="1">
      <c r="A64" s="3" t="s">
        <v>564</v>
      </c>
      <c r="B64" s="3" t="s">
        <v>712</v>
      </c>
      <c r="D64" s="26" t="s">
        <v>223</v>
      </c>
      <c r="E64" s="97">
        <v>0</v>
      </c>
      <c r="F64" s="97">
        <v>0</v>
      </c>
      <c r="G64" s="97">
        <v>0</v>
      </c>
      <c r="H64" s="97">
        <v>0</v>
      </c>
      <c r="I64" s="97">
        <v>0</v>
      </c>
      <c r="J64" s="97">
        <v>0</v>
      </c>
      <c r="K64" s="97">
        <v>0</v>
      </c>
      <c r="L64" s="97">
        <v>0</v>
      </c>
      <c r="M64" s="97">
        <v>0</v>
      </c>
      <c r="N64" s="97">
        <v>0</v>
      </c>
      <c r="O64" s="97">
        <v>0</v>
      </c>
      <c r="P64" s="97">
        <v>0</v>
      </c>
      <c r="Q64" s="103">
        <f t="shared" si="4"/>
        <v>0</v>
      </c>
      <c r="S64" s="35"/>
      <c r="T64" s="40">
        <f t="shared" si="5"/>
        <v>-1</v>
      </c>
    </row>
    <row r="65" spans="1:20" s="3" customFormat="1" ht="24.95" hidden="1" customHeight="1">
      <c r="A65" s="3" t="s">
        <v>566</v>
      </c>
      <c r="B65" s="3" t="s">
        <v>712</v>
      </c>
      <c r="D65" s="26" t="s">
        <v>225</v>
      </c>
      <c r="E65" s="97">
        <v>0</v>
      </c>
      <c r="F65" s="97">
        <v>0</v>
      </c>
      <c r="G65" s="97">
        <v>0</v>
      </c>
      <c r="H65" s="97">
        <v>0</v>
      </c>
      <c r="I65" s="97">
        <v>0</v>
      </c>
      <c r="J65" s="97">
        <v>0</v>
      </c>
      <c r="K65" s="97">
        <v>0</v>
      </c>
      <c r="L65" s="97">
        <v>0</v>
      </c>
      <c r="M65" s="97">
        <v>0</v>
      </c>
      <c r="N65" s="97">
        <v>0</v>
      </c>
      <c r="O65" s="97">
        <v>0</v>
      </c>
      <c r="P65" s="97">
        <v>0</v>
      </c>
      <c r="Q65" s="103">
        <f t="shared" si="4"/>
        <v>0</v>
      </c>
      <c r="S65" s="35"/>
      <c r="T65" s="40">
        <f t="shared" si="5"/>
        <v>-1</v>
      </c>
    </row>
    <row r="66" spans="1:20" s="3" customFormat="1" ht="24.95" hidden="1" customHeight="1">
      <c r="A66" s="3" t="s">
        <v>568</v>
      </c>
      <c r="B66" s="3" t="s">
        <v>712</v>
      </c>
      <c r="D66" s="26" t="s">
        <v>227</v>
      </c>
      <c r="E66" s="97">
        <v>0</v>
      </c>
      <c r="F66" s="97">
        <v>0</v>
      </c>
      <c r="G66" s="97">
        <v>0</v>
      </c>
      <c r="H66" s="97">
        <v>0</v>
      </c>
      <c r="I66" s="97">
        <v>0</v>
      </c>
      <c r="J66" s="97">
        <v>0</v>
      </c>
      <c r="K66" s="97">
        <v>0</v>
      </c>
      <c r="L66" s="97">
        <v>0</v>
      </c>
      <c r="M66" s="97">
        <v>0</v>
      </c>
      <c r="N66" s="97">
        <v>0</v>
      </c>
      <c r="O66" s="97">
        <v>0</v>
      </c>
      <c r="P66" s="97">
        <v>0</v>
      </c>
      <c r="Q66" s="103">
        <f t="shared" si="4"/>
        <v>0</v>
      </c>
      <c r="S66" s="35"/>
      <c r="T66" s="40">
        <f t="shared" si="5"/>
        <v>-1</v>
      </c>
    </row>
    <row r="67" spans="1:20" s="3" customFormat="1" ht="24.95" hidden="1" customHeight="1">
      <c r="A67" s="3" t="s">
        <v>570</v>
      </c>
      <c r="B67" s="3" t="s">
        <v>712</v>
      </c>
      <c r="D67" s="26" t="s">
        <v>229</v>
      </c>
      <c r="E67" s="97">
        <v>0</v>
      </c>
      <c r="F67" s="97">
        <v>0</v>
      </c>
      <c r="G67" s="97">
        <v>0</v>
      </c>
      <c r="H67" s="97">
        <v>0</v>
      </c>
      <c r="I67" s="97">
        <v>0</v>
      </c>
      <c r="J67" s="97">
        <v>0</v>
      </c>
      <c r="K67" s="97">
        <v>0</v>
      </c>
      <c r="L67" s="97">
        <v>0</v>
      </c>
      <c r="M67" s="97">
        <v>0</v>
      </c>
      <c r="N67" s="97">
        <v>0</v>
      </c>
      <c r="O67" s="97">
        <v>0</v>
      </c>
      <c r="P67" s="97">
        <v>0</v>
      </c>
      <c r="Q67" s="103">
        <f t="shared" si="4"/>
        <v>0</v>
      </c>
      <c r="S67" s="35"/>
      <c r="T67" s="40">
        <f t="shared" si="5"/>
        <v>-1</v>
      </c>
    </row>
    <row r="68" spans="1:20" s="3" customFormat="1" ht="24.95" hidden="1" customHeight="1">
      <c r="A68" s="271" t="s">
        <v>572</v>
      </c>
      <c r="B68" s="3" t="s">
        <v>712</v>
      </c>
      <c r="D68" s="26" t="s">
        <v>231</v>
      </c>
      <c r="E68" s="97">
        <v>0</v>
      </c>
      <c r="F68" s="97">
        <v>0</v>
      </c>
      <c r="G68" s="97">
        <v>0</v>
      </c>
      <c r="H68" s="97">
        <v>0</v>
      </c>
      <c r="I68" s="97">
        <v>0</v>
      </c>
      <c r="J68" s="97">
        <v>0</v>
      </c>
      <c r="K68" s="97">
        <v>0</v>
      </c>
      <c r="L68" s="97">
        <v>0</v>
      </c>
      <c r="M68" s="97">
        <v>0</v>
      </c>
      <c r="N68" s="97">
        <v>0</v>
      </c>
      <c r="O68" s="97">
        <v>0</v>
      </c>
      <c r="P68" s="97">
        <v>0</v>
      </c>
      <c r="Q68" s="103">
        <f t="shared" si="4"/>
        <v>0</v>
      </c>
      <c r="S68" s="35"/>
      <c r="T68" s="40">
        <f t="shared" si="5"/>
        <v>-1</v>
      </c>
    </row>
    <row r="69" spans="1:20" s="3" customFormat="1" ht="24.95" hidden="1" customHeight="1">
      <c r="A69" s="271" t="s">
        <v>574</v>
      </c>
      <c r="B69" s="3" t="s">
        <v>712</v>
      </c>
      <c r="D69" s="26" t="s">
        <v>233</v>
      </c>
      <c r="E69" s="97">
        <v>0</v>
      </c>
      <c r="F69" s="97">
        <v>0</v>
      </c>
      <c r="G69" s="97">
        <v>0</v>
      </c>
      <c r="H69" s="97">
        <v>0</v>
      </c>
      <c r="I69" s="97">
        <v>0</v>
      </c>
      <c r="J69" s="97">
        <v>0</v>
      </c>
      <c r="K69" s="97">
        <v>0</v>
      </c>
      <c r="L69" s="97">
        <v>0</v>
      </c>
      <c r="M69" s="97">
        <v>0</v>
      </c>
      <c r="N69" s="97">
        <v>0</v>
      </c>
      <c r="O69" s="97">
        <v>0</v>
      </c>
      <c r="P69" s="97">
        <v>0</v>
      </c>
      <c r="Q69" s="103">
        <f t="shared" si="4"/>
        <v>0</v>
      </c>
      <c r="S69" s="35"/>
      <c r="T69" s="40">
        <f t="shared" si="5"/>
        <v>-1</v>
      </c>
    </row>
    <row r="70" spans="1:20" s="3" customFormat="1" ht="24.95" hidden="1" customHeight="1">
      <c r="A70" s="271" t="s">
        <v>434</v>
      </c>
      <c r="B70" s="3" t="s">
        <v>712</v>
      </c>
      <c r="D70" s="26" t="s">
        <v>435</v>
      </c>
      <c r="E70" s="97">
        <v>0</v>
      </c>
      <c r="F70" s="97">
        <v>0</v>
      </c>
      <c r="G70" s="97">
        <v>0</v>
      </c>
      <c r="H70" s="97">
        <v>0</v>
      </c>
      <c r="I70" s="97">
        <v>0</v>
      </c>
      <c r="J70" s="97">
        <v>0</v>
      </c>
      <c r="K70" s="97">
        <v>0</v>
      </c>
      <c r="L70" s="97">
        <v>0</v>
      </c>
      <c r="M70" s="97">
        <v>0</v>
      </c>
      <c r="N70" s="97">
        <v>0</v>
      </c>
      <c r="O70" s="97">
        <v>0</v>
      </c>
      <c r="P70" s="97">
        <v>0</v>
      </c>
      <c r="Q70" s="103">
        <f t="shared" si="4"/>
        <v>0</v>
      </c>
      <c r="S70" s="35"/>
      <c r="T70" s="40">
        <f t="shared" si="5"/>
        <v>-1</v>
      </c>
    </row>
    <row r="71" spans="1:20" ht="26.25" hidden="1" customHeight="1">
      <c r="A71" s="5" t="s">
        <v>576</v>
      </c>
      <c r="B71" s="3" t="s">
        <v>712</v>
      </c>
      <c r="D71" s="26" t="s">
        <v>235</v>
      </c>
      <c r="E71" s="97">
        <v>0</v>
      </c>
      <c r="F71" s="97">
        <v>0</v>
      </c>
      <c r="G71" s="97">
        <v>0</v>
      </c>
      <c r="H71" s="97">
        <v>0</v>
      </c>
      <c r="I71" s="97">
        <v>0</v>
      </c>
      <c r="J71" s="97">
        <v>0</v>
      </c>
      <c r="K71" s="97">
        <v>0</v>
      </c>
      <c r="L71" s="97">
        <v>0</v>
      </c>
      <c r="M71" s="97">
        <v>0</v>
      </c>
      <c r="N71" s="97">
        <v>0</v>
      </c>
      <c r="O71" s="97">
        <v>0</v>
      </c>
      <c r="P71" s="97">
        <v>0</v>
      </c>
      <c r="Q71" s="103">
        <f t="shared" si="4"/>
        <v>0</v>
      </c>
      <c r="S71" s="35"/>
      <c r="T71" s="40">
        <f t="shared" si="5"/>
        <v>-1</v>
      </c>
    </row>
    <row r="72" spans="1:20" ht="26.25" hidden="1" customHeight="1">
      <c r="A72" s="5" t="s">
        <v>578</v>
      </c>
      <c r="B72" s="3" t="s">
        <v>712</v>
      </c>
      <c r="D72" s="26" t="s">
        <v>237</v>
      </c>
      <c r="E72" s="97">
        <v>0</v>
      </c>
      <c r="F72" s="97">
        <v>0</v>
      </c>
      <c r="G72" s="97">
        <v>0</v>
      </c>
      <c r="H72" s="97">
        <v>0</v>
      </c>
      <c r="I72" s="97">
        <v>0</v>
      </c>
      <c r="J72" s="97">
        <v>0</v>
      </c>
      <c r="K72" s="97">
        <v>0</v>
      </c>
      <c r="L72" s="97">
        <v>0</v>
      </c>
      <c r="M72" s="97">
        <v>0</v>
      </c>
      <c r="N72" s="97">
        <v>0</v>
      </c>
      <c r="O72" s="97">
        <v>0</v>
      </c>
      <c r="P72" s="97">
        <v>0</v>
      </c>
      <c r="Q72" s="103">
        <f t="shared" si="4"/>
        <v>0</v>
      </c>
      <c r="S72" s="35"/>
      <c r="T72" s="40">
        <f t="shared" si="5"/>
        <v>-1</v>
      </c>
    </row>
    <row r="73" spans="1:20" ht="26.25" hidden="1" customHeight="1">
      <c r="A73" s="5" t="s">
        <v>580</v>
      </c>
      <c r="B73" s="3" t="s">
        <v>712</v>
      </c>
      <c r="D73" s="26" t="s">
        <v>239</v>
      </c>
      <c r="E73" s="97">
        <v>0</v>
      </c>
      <c r="F73" s="97">
        <v>0</v>
      </c>
      <c r="G73" s="97">
        <v>0</v>
      </c>
      <c r="H73" s="97">
        <v>0</v>
      </c>
      <c r="I73" s="97">
        <v>0</v>
      </c>
      <c r="J73" s="97">
        <v>0</v>
      </c>
      <c r="K73" s="97">
        <v>0</v>
      </c>
      <c r="L73" s="97">
        <v>0</v>
      </c>
      <c r="M73" s="97">
        <v>0</v>
      </c>
      <c r="N73" s="97">
        <v>0</v>
      </c>
      <c r="O73" s="97">
        <v>0</v>
      </c>
      <c r="P73" s="97">
        <v>0</v>
      </c>
      <c r="Q73" s="103">
        <f t="shared" si="4"/>
        <v>0</v>
      </c>
      <c r="S73" s="35"/>
      <c r="T73" s="40">
        <f t="shared" si="5"/>
        <v>-1</v>
      </c>
    </row>
    <row r="74" spans="1:20" ht="26.25" hidden="1" customHeight="1">
      <c r="A74" s="5" t="s">
        <v>582</v>
      </c>
      <c r="B74" s="3" t="s">
        <v>712</v>
      </c>
      <c r="D74" s="26" t="s">
        <v>241</v>
      </c>
      <c r="E74" s="97">
        <v>0</v>
      </c>
      <c r="F74" s="97">
        <v>0</v>
      </c>
      <c r="G74" s="97">
        <v>0</v>
      </c>
      <c r="H74" s="97">
        <v>0</v>
      </c>
      <c r="I74" s="97">
        <v>0</v>
      </c>
      <c r="J74" s="97">
        <v>0</v>
      </c>
      <c r="K74" s="97">
        <v>0</v>
      </c>
      <c r="L74" s="97">
        <v>0</v>
      </c>
      <c r="M74" s="97">
        <v>0</v>
      </c>
      <c r="N74" s="97">
        <v>0</v>
      </c>
      <c r="O74" s="97">
        <v>0</v>
      </c>
      <c r="P74" s="97">
        <v>0</v>
      </c>
      <c r="Q74" s="103">
        <f t="shared" si="4"/>
        <v>0</v>
      </c>
      <c r="S74" s="35"/>
      <c r="T74" s="40">
        <f t="shared" si="5"/>
        <v>-1</v>
      </c>
    </row>
    <row r="75" spans="1:20" ht="26.25" hidden="1" customHeight="1">
      <c r="A75" s="5" t="s">
        <v>584</v>
      </c>
      <c r="B75" s="3" t="s">
        <v>712</v>
      </c>
      <c r="D75" s="26" t="s">
        <v>243</v>
      </c>
      <c r="E75" s="97">
        <v>0</v>
      </c>
      <c r="F75" s="97">
        <v>0</v>
      </c>
      <c r="G75" s="97">
        <v>0</v>
      </c>
      <c r="H75" s="97">
        <v>0</v>
      </c>
      <c r="I75" s="97">
        <v>0</v>
      </c>
      <c r="J75" s="97">
        <v>0</v>
      </c>
      <c r="K75" s="97">
        <v>0</v>
      </c>
      <c r="L75" s="97">
        <v>0</v>
      </c>
      <c r="M75" s="97">
        <v>0</v>
      </c>
      <c r="N75" s="97">
        <v>0</v>
      </c>
      <c r="O75" s="97">
        <v>0</v>
      </c>
      <c r="P75" s="97">
        <v>0</v>
      </c>
      <c r="Q75" s="103">
        <f t="shared" si="4"/>
        <v>0</v>
      </c>
      <c r="S75" s="35"/>
      <c r="T75" s="40">
        <f t="shared" si="5"/>
        <v>-1</v>
      </c>
    </row>
    <row r="76" spans="1:20" ht="26.25" hidden="1" customHeight="1">
      <c r="A76" s="5" t="s">
        <v>586</v>
      </c>
      <c r="B76" s="3" t="s">
        <v>712</v>
      </c>
      <c r="D76" s="26" t="s">
        <v>245</v>
      </c>
      <c r="E76" s="97">
        <v>0</v>
      </c>
      <c r="F76" s="97">
        <v>0</v>
      </c>
      <c r="G76" s="97">
        <v>0</v>
      </c>
      <c r="H76" s="97">
        <v>0</v>
      </c>
      <c r="I76" s="97">
        <v>0</v>
      </c>
      <c r="J76" s="97">
        <v>0</v>
      </c>
      <c r="K76" s="97">
        <v>0</v>
      </c>
      <c r="L76" s="97">
        <v>0</v>
      </c>
      <c r="M76" s="97">
        <v>0</v>
      </c>
      <c r="N76" s="97">
        <v>0</v>
      </c>
      <c r="O76" s="97">
        <v>0</v>
      </c>
      <c r="P76" s="97">
        <v>0</v>
      </c>
      <c r="Q76" s="103">
        <f t="shared" si="4"/>
        <v>0</v>
      </c>
      <c r="S76" s="35"/>
      <c r="T76" s="40">
        <f t="shared" si="5"/>
        <v>-1</v>
      </c>
    </row>
    <row r="77" spans="1:20" ht="26.25" hidden="1" customHeight="1">
      <c r="A77" s="5" t="s">
        <v>588</v>
      </c>
      <c r="B77" s="3" t="s">
        <v>712</v>
      </c>
      <c r="D77" s="26" t="s">
        <v>247</v>
      </c>
      <c r="E77" s="97">
        <v>0</v>
      </c>
      <c r="F77" s="97">
        <v>0</v>
      </c>
      <c r="G77" s="97">
        <v>0</v>
      </c>
      <c r="H77" s="97">
        <v>0</v>
      </c>
      <c r="I77" s="97">
        <v>0</v>
      </c>
      <c r="J77" s="97">
        <v>0</v>
      </c>
      <c r="K77" s="97">
        <v>0</v>
      </c>
      <c r="L77" s="97">
        <v>0</v>
      </c>
      <c r="M77" s="97">
        <v>0</v>
      </c>
      <c r="N77" s="97">
        <v>0</v>
      </c>
      <c r="O77" s="97">
        <v>0</v>
      </c>
      <c r="P77" s="97">
        <v>0</v>
      </c>
      <c r="Q77" s="103">
        <f t="shared" si="4"/>
        <v>0</v>
      </c>
      <c r="S77" s="35"/>
      <c r="T77" s="40">
        <f t="shared" si="5"/>
        <v>-1</v>
      </c>
    </row>
    <row r="78" spans="1:20" ht="26.25" hidden="1" customHeight="1">
      <c r="A78" s="5" t="s">
        <v>590</v>
      </c>
      <c r="B78" s="3" t="s">
        <v>712</v>
      </c>
      <c r="D78" s="26" t="s">
        <v>249</v>
      </c>
      <c r="E78" s="97">
        <v>0</v>
      </c>
      <c r="F78" s="97">
        <v>0</v>
      </c>
      <c r="G78" s="97">
        <v>0</v>
      </c>
      <c r="H78" s="97">
        <v>0</v>
      </c>
      <c r="I78" s="97">
        <v>0</v>
      </c>
      <c r="J78" s="97">
        <v>0</v>
      </c>
      <c r="K78" s="97">
        <v>0</v>
      </c>
      <c r="L78" s="97">
        <v>0</v>
      </c>
      <c r="M78" s="97">
        <v>0</v>
      </c>
      <c r="N78" s="97">
        <v>0</v>
      </c>
      <c r="O78" s="97">
        <v>0</v>
      </c>
      <c r="P78" s="97">
        <v>0</v>
      </c>
      <c r="Q78" s="103">
        <f t="shared" si="4"/>
        <v>0</v>
      </c>
      <c r="S78" s="35"/>
      <c r="T78" s="40">
        <f t="shared" si="5"/>
        <v>-1</v>
      </c>
    </row>
    <row r="79" spans="1:20" ht="26.25" hidden="1" customHeight="1">
      <c r="A79" s="5" t="s">
        <v>592</v>
      </c>
      <c r="B79" s="3" t="s">
        <v>712</v>
      </c>
      <c r="D79" s="26" t="s">
        <v>251</v>
      </c>
      <c r="E79" s="97">
        <v>0</v>
      </c>
      <c r="F79" s="97">
        <v>0</v>
      </c>
      <c r="G79" s="97">
        <v>0</v>
      </c>
      <c r="H79" s="97">
        <v>0</v>
      </c>
      <c r="I79" s="97">
        <v>0</v>
      </c>
      <c r="J79" s="97">
        <v>0</v>
      </c>
      <c r="K79" s="97">
        <v>0</v>
      </c>
      <c r="L79" s="97">
        <v>0</v>
      </c>
      <c r="M79" s="97">
        <v>0</v>
      </c>
      <c r="N79" s="97">
        <v>0</v>
      </c>
      <c r="O79" s="97">
        <v>0</v>
      </c>
      <c r="P79" s="97">
        <v>0</v>
      </c>
      <c r="Q79" s="103">
        <f t="shared" si="4"/>
        <v>0</v>
      </c>
      <c r="S79" s="35"/>
      <c r="T79" s="40">
        <f t="shared" si="5"/>
        <v>-1</v>
      </c>
    </row>
    <row r="80" spans="1:20" ht="26.25" hidden="1" customHeight="1">
      <c r="A80" s="5" t="s">
        <v>594</v>
      </c>
      <c r="B80" s="3" t="s">
        <v>712</v>
      </c>
      <c r="D80" s="26" t="s">
        <v>253</v>
      </c>
      <c r="E80" s="97">
        <v>0</v>
      </c>
      <c r="F80" s="97">
        <v>0</v>
      </c>
      <c r="G80" s="97">
        <v>0</v>
      </c>
      <c r="H80" s="97">
        <v>0</v>
      </c>
      <c r="I80" s="97">
        <v>0</v>
      </c>
      <c r="J80" s="97">
        <v>0</v>
      </c>
      <c r="K80" s="97">
        <v>0</v>
      </c>
      <c r="L80" s="97">
        <v>0</v>
      </c>
      <c r="M80" s="97">
        <v>0</v>
      </c>
      <c r="N80" s="97">
        <v>0</v>
      </c>
      <c r="O80" s="97">
        <v>0</v>
      </c>
      <c r="P80" s="97">
        <v>0</v>
      </c>
      <c r="Q80" s="103">
        <f t="shared" si="4"/>
        <v>0</v>
      </c>
      <c r="S80" s="35"/>
      <c r="T80" s="40">
        <f t="shared" si="5"/>
        <v>-1</v>
      </c>
    </row>
    <row r="81" spans="1:20" ht="26.25" customHeight="1">
      <c r="A81" s="5" t="s">
        <v>596</v>
      </c>
      <c r="B81" s="3" t="s">
        <v>712</v>
      </c>
      <c r="D81" s="26" t="s">
        <v>255</v>
      </c>
      <c r="E81" s="97">
        <v>0</v>
      </c>
      <c r="F81" s="97">
        <v>0</v>
      </c>
      <c r="G81" s="97">
        <v>0</v>
      </c>
      <c r="H81" s="97">
        <v>0</v>
      </c>
      <c r="I81" s="97">
        <v>0</v>
      </c>
      <c r="J81" s="97">
        <v>0</v>
      </c>
      <c r="K81" s="97">
        <v>0</v>
      </c>
      <c r="L81" s="97">
        <v>0</v>
      </c>
      <c r="M81" s="97">
        <v>0</v>
      </c>
      <c r="N81" s="97">
        <v>0</v>
      </c>
      <c r="O81" s="97">
        <v>0</v>
      </c>
      <c r="P81" s="97">
        <v>0</v>
      </c>
      <c r="Q81" s="103">
        <f t="shared" si="4"/>
        <v>0</v>
      </c>
      <c r="S81" s="35"/>
      <c r="T81" s="40">
        <f t="shared" si="5"/>
        <v>-1</v>
      </c>
    </row>
    <row r="82" spans="1:20" ht="26.25" hidden="1" customHeight="1">
      <c r="A82" s="5" t="s">
        <v>598</v>
      </c>
      <c r="B82" s="3" t="s">
        <v>712</v>
      </c>
      <c r="D82" s="26" t="s">
        <v>257</v>
      </c>
      <c r="E82" s="97">
        <v>0</v>
      </c>
      <c r="F82" s="97">
        <v>0</v>
      </c>
      <c r="G82" s="97">
        <v>0</v>
      </c>
      <c r="H82" s="97">
        <v>0</v>
      </c>
      <c r="I82" s="97">
        <v>0</v>
      </c>
      <c r="J82" s="97">
        <v>0</v>
      </c>
      <c r="K82" s="97">
        <v>0</v>
      </c>
      <c r="L82" s="97">
        <v>0</v>
      </c>
      <c r="M82" s="97">
        <v>0</v>
      </c>
      <c r="N82" s="97">
        <v>0</v>
      </c>
      <c r="O82" s="97">
        <v>0</v>
      </c>
      <c r="P82" s="97">
        <v>0</v>
      </c>
      <c r="Q82" s="103">
        <f t="shared" si="4"/>
        <v>0</v>
      </c>
      <c r="S82" s="35"/>
      <c r="T82" s="40">
        <f t="shared" si="5"/>
        <v>-1</v>
      </c>
    </row>
    <row r="83" spans="1:20" ht="26.25" hidden="1" customHeight="1">
      <c r="A83" s="5" t="s">
        <v>600</v>
      </c>
      <c r="B83" s="3" t="s">
        <v>712</v>
      </c>
      <c r="D83" s="26" t="s">
        <v>259</v>
      </c>
      <c r="E83" s="97">
        <v>0</v>
      </c>
      <c r="F83" s="97">
        <v>0</v>
      </c>
      <c r="G83" s="97">
        <v>0</v>
      </c>
      <c r="H83" s="97">
        <v>0</v>
      </c>
      <c r="I83" s="97">
        <v>0</v>
      </c>
      <c r="J83" s="97">
        <v>0</v>
      </c>
      <c r="K83" s="97">
        <v>0</v>
      </c>
      <c r="L83" s="97">
        <v>0</v>
      </c>
      <c r="M83" s="97">
        <v>0</v>
      </c>
      <c r="N83" s="97">
        <v>0</v>
      </c>
      <c r="O83" s="97">
        <v>0</v>
      </c>
      <c r="P83" s="97">
        <v>0</v>
      </c>
      <c r="Q83" s="103">
        <f t="shared" si="4"/>
        <v>0</v>
      </c>
      <c r="S83" s="35"/>
      <c r="T83" s="40">
        <f t="shared" si="5"/>
        <v>-1</v>
      </c>
    </row>
    <row r="84" spans="1:20" ht="26.25" hidden="1" customHeight="1">
      <c r="A84" s="5" t="s">
        <v>602</v>
      </c>
      <c r="B84" s="3" t="s">
        <v>712</v>
      </c>
      <c r="D84" s="26" t="s">
        <v>261</v>
      </c>
      <c r="E84" s="97">
        <v>0</v>
      </c>
      <c r="F84" s="97">
        <v>0</v>
      </c>
      <c r="G84" s="97">
        <v>0</v>
      </c>
      <c r="H84" s="97">
        <v>0</v>
      </c>
      <c r="I84" s="97">
        <v>0</v>
      </c>
      <c r="J84" s="97">
        <v>0</v>
      </c>
      <c r="K84" s="97">
        <v>0</v>
      </c>
      <c r="L84" s="97">
        <v>0</v>
      </c>
      <c r="M84" s="97">
        <v>0</v>
      </c>
      <c r="N84" s="97">
        <v>0</v>
      </c>
      <c r="O84" s="97">
        <v>0</v>
      </c>
      <c r="P84" s="97">
        <v>0</v>
      </c>
      <c r="Q84" s="103">
        <f t="shared" si="4"/>
        <v>0</v>
      </c>
      <c r="S84" s="35"/>
      <c r="T84" s="40">
        <f t="shared" si="5"/>
        <v>-1</v>
      </c>
    </row>
    <row r="85" spans="1:20" ht="26.25" hidden="1" customHeight="1">
      <c r="A85" s="5" t="s">
        <v>604</v>
      </c>
      <c r="B85" s="3" t="s">
        <v>712</v>
      </c>
      <c r="D85" s="26" t="s">
        <v>263</v>
      </c>
      <c r="E85" s="97">
        <v>0</v>
      </c>
      <c r="F85" s="97">
        <v>0</v>
      </c>
      <c r="G85" s="97">
        <v>0</v>
      </c>
      <c r="H85" s="97">
        <v>0</v>
      </c>
      <c r="I85" s="97">
        <v>0</v>
      </c>
      <c r="J85" s="97">
        <v>0</v>
      </c>
      <c r="K85" s="97">
        <v>0</v>
      </c>
      <c r="L85" s="97">
        <v>0</v>
      </c>
      <c r="M85" s="97">
        <v>0</v>
      </c>
      <c r="N85" s="97">
        <v>0</v>
      </c>
      <c r="O85" s="97">
        <v>0</v>
      </c>
      <c r="P85" s="97">
        <v>0</v>
      </c>
      <c r="Q85" s="103">
        <f t="shared" si="4"/>
        <v>0</v>
      </c>
      <c r="S85" s="35"/>
      <c r="T85" s="40">
        <f t="shared" si="5"/>
        <v>-1</v>
      </c>
    </row>
    <row r="86" spans="1:20" ht="26.25" hidden="1" customHeight="1">
      <c r="A86" s="5" t="s">
        <v>606</v>
      </c>
      <c r="B86" s="3" t="s">
        <v>712</v>
      </c>
      <c r="D86" s="26" t="s">
        <v>265</v>
      </c>
      <c r="E86" s="97">
        <v>0</v>
      </c>
      <c r="F86" s="97">
        <v>0</v>
      </c>
      <c r="G86" s="97">
        <v>0</v>
      </c>
      <c r="H86" s="97">
        <v>0</v>
      </c>
      <c r="I86" s="97">
        <v>0</v>
      </c>
      <c r="J86" s="97">
        <v>0</v>
      </c>
      <c r="K86" s="97">
        <v>0</v>
      </c>
      <c r="L86" s="97">
        <v>0</v>
      </c>
      <c r="M86" s="97">
        <v>0</v>
      </c>
      <c r="N86" s="97">
        <v>0</v>
      </c>
      <c r="O86" s="97">
        <v>0</v>
      </c>
      <c r="P86" s="97">
        <v>0</v>
      </c>
      <c r="Q86" s="103">
        <f t="shared" si="4"/>
        <v>0</v>
      </c>
      <c r="S86" s="35"/>
      <c r="T86" s="40">
        <f t="shared" si="5"/>
        <v>-1</v>
      </c>
    </row>
    <row r="87" spans="1:20" ht="26.25" hidden="1" customHeight="1">
      <c r="A87" s="5" t="s">
        <v>608</v>
      </c>
      <c r="B87" s="3" t="s">
        <v>712</v>
      </c>
      <c r="D87" s="26" t="s">
        <v>267</v>
      </c>
      <c r="E87" s="97">
        <v>0</v>
      </c>
      <c r="F87" s="97">
        <v>0</v>
      </c>
      <c r="G87" s="97">
        <v>0</v>
      </c>
      <c r="H87" s="97">
        <v>0</v>
      </c>
      <c r="I87" s="97">
        <v>0</v>
      </c>
      <c r="J87" s="97">
        <v>0</v>
      </c>
      <c r="K87" s="97">
        <v>0</v>
      </c>
      <c r="L87" s="97">
        <v>0</v>
      </c>
      <c r="M87" s="97">
        <v>0</v>
      </c>
      <c r="N87" s="97">
        <v>0</v>
      </c>
      <c r="O87" s="97">
        <v>0</v>
      </c>
      <c r="P87" s="97">
        <v>0</v>
      </c>
      <c r="Q87" s="103">
        <f t="shared" si="4"/>
        <v>0</v>
      </c>
      <c r="S87" s="35"/>
      <c r="T87" s="40">
        <f t="shared" si="5"/>
        <v>-1</v>
      </c>
    </row>
    <row r="88" spans="1:20" ht="26.25" hidden="1" customHeight="1">
      <c r="A88" s="5" t="s">
        <v>268</v>
      </c>
      <c r="B88" s="3" t="s">
        <v>712</v>
      </c>
      <c r="D88" s="26" t="s">
        <v>269</v>
      </c>
      <c r="E88" s="97">
        <v>0</v>
      </c>
      <c r="F88" s="97">
        <v>0</v>
      </c>
      <c r="G88" s="97">
        <v>0</v>
      </c>
      <c r="H88" s="97">
        <v>0</v>
      </c>
      <c r="I88" s="97">
        <v>0</v>
      </c>
      <c r="J88" s="97">
        <v>0</v>
      </c>
      <c r="K88" s="97">
        <v>0</v>
      </c>
      <c r="L88" s="97">
        <v>0</v>
      </c>
      <c r="M88" s="97">
        <v>0</v>
      </c>
      <c r="N88" s="97">
        <v>0</v>
      </c>
      <c r="O88" s="97">
        <v>0</v>
      </c>
      <c r="P88" s="97">
        <v>0</v>
      </c>
      <c r="Q88" s="103">
        <f t="shared" ref="Q88:Q90" si="6">SUM(E88:P88)</f>
        <v>0</v>
      </c>
      <c r="S88" s="35"/>
      <c r="T88" s="40">
        <f t="shared" si="5"/>
        <v>-1</v>
      </c>
    </row>
    <row r="89" spans="1:20" ht="26.25" hidden="1" customHeight="1">
      <c r="A89" s="5" t="s">
        <v>270</v>
      </c>
      <c r="B89" s="3" t="s">
        <v>712</v>
      </c>
      <c r="D89" s="26" t="s">
        <v>271</v>
      </c>
      <c r="E89" s="97">
        <v>0</v>
      </c>
      <c r="F89" s="97">
        <v>0</v>
      </c>
      <c r="G89" s="97">
        <v>0</v>
      </c>
      <c r="H89" s="97">
        <v>0</v>
      </c>
      <c r="I89" s="97">
        <v>0</v>
      </c>
      <c r="J89" s="97">
        <v>0</v>
      </c>
      <c r="K89" s="97">
        <v>0</v>
      </c>
      <c r="L89" s="97">
        <v>0</v>
      </c>
      <c r="M89" s="97">
        <v>0</v>
      </c>
      <c r="N89" s="97">
        <v>0</v>
      </c>
      <c r="O89" s="97">
        <v>0</v>
      </c>
      <c r="P89" s="97">
        <v>0</v>
      </c>
      <c r="Q89" s="103">
        <f t="shared" si="6"/>
        <v>0</v>
      </c>
      <c r="S89" s="35"/>
      <c r="T89" s="40">
        <f t="shared" si="5"/>
        <v>-1</v>
      </c>
    </row>
    <row r="90" spans="1:20" ht="26.25" customHeight="1">
      <c r="A90" s="5" t="s">
        <v>611</v>
      </c>
      <c r="B90" s="3" t="s">
        <v>712</v>
      </c>
      <c r="D90" s="26" t="s">
        <v>273</v>
      </c>
      <c r="E90" s="97">
        <v>0</v>
      </c>
      <c r="F90" s="97">
        <v>0</v>
      </c>
      <c r="G90" s="97">
        <v>0</v>
      </c>
      <c r="H90" s="97">
        <v>0</v>
      </c>
      <c r="I90" s="97">
        <v>0</v>
      </c>
      <c r="J90" s="97">
        <v>0</v>
      </c>
      <c r="K90" s="97">
        <v>0</v>
      </c>
      <c r="L90" s="97">
        <v>0</v>
      </c>
      <c r="M90" s="97">
        <v>0</v>
      </c>
      <c r="N90" s="97">
        <v>0</v>
      </c>
      <c r="O90" s="97">
        <v>0</v>
      </c>
      <c r="P90" s="97">
        <v>0</v>
      </c>
      <c r="Q90" s="103">
        <f t="shared" si="6"/>
        <v>0</v>
      </c>
      <c r="R90" s="39" t="e">
        <f>Q90/$Q$14</f>
        <v>#DIV/0!</v>
      </c>
      <c r="S90" s="35"/>
      <c r="T90" s="40">
        <f t="shared" si="5"/>
        <v>-1</v>
      </c>
    </row>
    <row r="91" spans="1:20" ht="26.25" customHeight="1">
      <c r="D91" s="21" t="s">
        <v>774</v>
      </c>
      <c r="E91" s="98">
        <f>SUM(E23:E90)</f>
        <v>0</v>
      </c>
      <c r="F91" s="98">
        <f t="shared" ref="F91:Q91" si="7">SUM(F23:F90)</f>
        <v>0</v>
      </c>
      <c r="G91" s="98">
        <f t="shared" si="7"/>
        <v>0</v>
      </c>
      <c r="H91" s="98">
        <f t="shared" si="7"/>
        <v>0</v>
      </c>
      <c r="I91" s="98">
        <f t="shared" si="7"/>
        <v>0</v>
      </c>
      <c r="J91" s="98">
        <f t="shared" si="7"/>
        <v>0</v>
      </c>
      <c r="K91" s="98">
        <f t="shared" si="7"/>
        <v>0</v>
      </c>
      <c r="L91" s="98">
        <f t="shared" si="7"/>
        <v>0</v>
      </c>
      <c r="M91" s="98">
        <f t="shared" si="7"/>
        <v>0</v>
      </c>
      <c r="N91" s="98">
        <f t="shared" si="7"/>
        <v>0</v>
      </c>
      <c r="O91" s="98">
        <f t="shared" si="7"/>
        <v>0</v>
      </c>
      <c r="P91" s="98">
        <f t="shared" si="7"/>
        <v>0</v>
      </c>
      <c r="Q91" s="98">
        <f t="shared" si="7"/>
        <v>0</v>
      </c>
      <c r="R91" s="39" t="e">
        <f>Q91/$Q$14</f>
        <v>#DIV/0!</v>
      </c>
      <c r="S91" s="35"/>
      <c r="T91" s="40">
        <f t="shared" si="5"/>
        <v>-1</v>
      </c>
    </row>
    <row r="92" spans="1:20" ht="26.25" customHeight="1">
      <c r="D92" s="21" t="s">
        <v>775</v>
      </c>
      <c r="E92" s="98">
        <f>E14-E18-E20-E91</f>
        <v>0</v>
      </c>
      <c r="F92" s="98">
        <f t="shared" ref="F92:P92" si="8">F14-F18-F20-F91</f>
        <v>0</v>
      </c>
      <c r="G92" s="98">
        <f t="shared" si="8"/>
        <v>0</v>
      </c>
      <c r="H92" s="98">
        <f t="shared" si="8"/>
        <v>0</v>
      </c>
      <c r="I92" s="98">
        <f t="shared" si="8"/>
        <v>0</v>
      </c>
      <c r="J92" s="98">
        <f t="shared" si="8"/>
        <v>0</v>
      </c>
      <c r="K92" s="98">
        <f t="shared" si="8"/>
        <v>0</v>
      </c>
      <c r="L92" s="98">
        <f t="shared" si="8"/>
        <v>0</v>
      </c>
      <c r="M92" s="98">
        <f t="shared" si="8"/>
        <v>0</v>
      </c>
      <c r="N92" s="98">
        <f t="shared" si="8"/>
        <v>0</v>
      </c>
      <c r="O92" s="98">
        <f t="shared" si="8"/>
        <v>0</v>
      </c>
      <c r="P92" s="98">
        <f t="shared" si="8"/>
        <v>0</v>
      </c>
      <c r="Q92" s="98">
        <f t="shared" ref="Q92" si="9">Q14-Q18-Q20-Q91</f>
        <v>0</v>
      </c>
      <c r="R92" s="39" t="e">
        <f>Q92/$Q$14</f>
        <v>#DIV/0!</v>
      </c>
      <c r="S92" s="35"/>
      <c r="T92" s="40">
        <f t="shared" ref="T92:T94" si="10">IF(Q92-S92=0,0,(Q92-S92)/S92)</f>
        <v>0</v>
      </c>
    </row>
    <row r="93" spans="1:20" ht="26.25" customHeight="1">
      <c r="A93" s="5" t="s">
        <v>776</v>
      </c>
      <c r="B93" s="3" t="s">
        <v>712</v>
      </c>
      <c r="D93" s="21" t="s">
        <v>351</v>
      </c>
      <c r="E93" s="97"/>
      <c r="F93" s="97"/>
      <c r="G93" s="97"/>
      <c r="H93" s="97"/>
      <c r="I93" s="97"/>
      <c r="J93" s="97"/>
      <c r="K93" s="97"/>
      <c r="L93" s="97"/>
      <c r="M93" s="97"/>
      <c r="N93" s="97"/>
      <c r="O93" s="97"/>
      <c r="P93" s="97"/>
      <c r="Q93" s="97"/>
      <c r="S93" s="35"/>
      <c r="T93" s="40"/>
    </row>
    <row r="94" spans="1:20" ht="26.25" customHeight="1">
      <c r="E94" s="105" t="e">
        <f>E92/E14</f>
        <v>#DIV/0!</v>
      </c>
      <c r="F94" s="105" t="e">
        <f t="shared" ref="F94:Q94" si="11">F92/F14</f>
        <v>#DIV/0!</v>
      </c>
      <c r="G94" s="105" t="e">
        <f t="shared" si="11"/>
        <v>#DIV/0!</v>
      </c>
      <c r="H94" s="105" t="e">
        <f t="shared" si="11"/>
        <v>#DIV/0!</v>
      </c>
      <c r="I94" s="105" t="e">
        <f t="shared" si="11"/>
        <v>#DIV/0!</v>
      </c>
      <c r="J94" s="105" t="e">
        <f t="shared" si="11"/>
        <v>#DIV/0!</v>
      </c>
      <c r="K94" s="105" t="e">
        <f t="shared" si="11"/>
        <v>#DIV/0!</v>
      </c>
      <c r="L94" s="105" t="e">
        <f t="shared" si="11"/>
        <v>#DIV/0!</v>
      </c>
      <c r="M94" s="105" t="e">
        <f t="shared" si="11"/>
        <v>#DIV/0!</v>
      </c>
      <c r="N94" s="105" t="e">
        <f t="shared" si="11"/>
        <v>#DIV/0!</v>
      </c>
      <c r="O94" s="105" t="e">
        <f t="shared" si="11"/>
        <v>#DIV/0!</v>
      </c>
      <c r="P94" s="105" t="e">
        <f t="shared" si="11"/>
        <v>#DIV/0!</v>
      </c>
      <c r="Q94" s="105" t="e">
        <f t="shared" si="11"/>
        <v>#DIV/0!</v>
      </c>
      <c r="S94" s="115"/>
      <c r="T94" s="40" t="e">
        <f t="shared" si="10"/>
        <v>#DIV/0!</v>
      </c>
    </row>
    <row r="95" spans="1:20" ht="26.25" hidden="1" customHeight="1">
      <c r="D95" s="21" t="s">
        <v>777</v>
      </c>
      <c r="E95" s="72"/>
      <c r="F95" s="106"/>
      <c r="G95" s="72"/>
      <c r="H95" s="107"/>
      <c r="I95" s="72"/>
      <c r="J95" s="106"/>
      <c r="K95" s="72"/>
      <c r="L95" s="109"/>
      <c r="M95" s="72"/>
      <c r="N95" s="106"/>
      <c r="O95" s="110"/>
      <c r="P95" s="110"/>
      <c r="Q95" s="110"/>
      <c r="S95" s="35">
        <f>'[5]DYT Galleria-molly'!$Q95</f>
        <v>0</v>
      </c>
      <c r="T95" s="40">
        <f t="shared" ref="T95:T128" si="12">IF(Q95-S95=0,0,(Q95-S95)/S95)</f>
        <v>0</v>
      </c>
    </row>
    <row r="96" spans="1:20" ht="26.25" hidden="1" customHeight="1">
      <c r="D96" s="21" t="s">
        <v>778</v>
      </c>
      <c r="E96" s="72"/>
      <c r="F96" s="106"/>
      <c r="G96" s="72"/>
      <c r="H96" s="107"/>
      <c r="I96" s="72"/>
      <c r="J96" s="106"/>
      <c r="K96" s="72"/>
      <c r="L96" s="109"/>
      <c r="M96" s="72"/>
      <c r="N96" s="106"/>
      <c r="O96" s="110"/>
      <c r="P96" s="110"/>
      <c r="Q96" s="110"/>
      <c r="S96" s="35">
        <f>'[5]DYT Galleria-molly'!$Q96</f>
        <v>0</v>
      </c>
      <c r="T96" s="40">
        <f t="shared" si="12"/>
        <v>0</v>
      </c>
    </row>
    <row r="97" spans="1:20" ht="26.25" hidden="1" customHeight="1">
      <c r="A97" s="5" t="s">
        <v>295</v>
      </c>
      <c r="B97" s="3" t="s">
        <v>712</v>
      </c>
      <c r="D97" s="26" t="s">
        <v>779</v>
      </c>
      <c r="E97" s="97">
        <v>0</v>
      </c>
      <c r="F97" s="97">
        <v>0</v>
      </c>
      <c r="G97" s="97">
        <v>0</v>
      </c>
      <c r="H97" s="97">
        <v>0</v>
      </c>
      <c r="I97" s="97">
        <v>0</v>
      </c>
      <c r="J97" s="97">
        <v>0</v>
      </c>
      <c r="K97" s="97">
        <v>0</v>
      </c>
      <c r="L97" s="97">
        <v>0</v>
      </c>
      <c r="M97" s="97">
        <v>0</v>
      </c>
      <c r="N97" s="97">
        <v>0</v>
      </c>
      <c r="O97" s="97">
        <v>0</v>
      </c>
      <c r="P97" s="97">
        <v>0</v>
      </c>
      <c r="Q97" s="103">
        <f>SUM(E97:P97)</f>
        <v>0</v>
      </c>
      <c r="S97" s="35">
        <f>'[5]DYT Galleria-molly'!$Q97</f>
        <v>0</v>
      </c>
      <c r="T97" s="40">
        <f t="shared" si="12"/>
        <v>0</v>
      </c>
    </row>
    <row r="98" spans="1:20" ht="26.25" hidden="1" customHeight="1">
      <c r="A98" s="5" t="s">
        <v>298</v>
      </c>
      <c r="B98" s="3" t="s">
        <v>712</v>
      </c>
      <c r="D98" s="26" t="s">
        <v>780</v>
      </c>
      <c r="E98" s="108">
        <v>0</v>
      </c>
      <c r="F98" s="108">
        <v>0</v>
      </c>
      <c r="G98" s="108">
        <v>0</v>
      </c>
      <c r="H98" s="108">
        <v>0</v>
      </c>
      <c r="I98" s="108">
        <v>0</v>
      </c>
      <c r="J98" s="108">
        <v>0</v>
      </c>
      <c r="K98" s="108">
        <v>0</v>
      </c>
      <c r="L98" s="108">
        <v>0</v>
      </c>
      <c r="M98" s="108">
        <v>0</v>
      </c>
      <c r="N98" s="108">
        <v>0</v>
      </c>
      <c r="O98" s="108">
        <v>0</v>
      </c>
      <c r="P98" s="108">
        <v>0</v>
      </c>
      <c r="Q98" s="111">
        <f>SUM(E98:P98)</f>
        <v>0</v>
      </c>
      <c r="S98" s="35">
        <f>'[5]DYT Galleria-molly'!$Q98</f>
        <v>0</v>
      </c>
      <c r="T98" s="40">
        <f t="shared" si="12"/>
        <v>0</v>
      </c>
    </row>
    <row r="99" spans="1:20" ht="26.25" hidden="1" customHeight="1">
      <c r="D99" s="21" t="s">
        <v>781</v>
      </c>
      <c r="E99" s="99">
        <f>SUM(E97:E98)</f>
        <v>0</v>
      </c>
      <c r="F99" s="99">
        <f t="shared" ref="F99:Q99" si="13">SUM(F97:F98)</f>
        <v>0</v>
      </c>
      <c r="G99" s="99">
        <f t="shared" si="13"/>
        <v>0</v>
      </c>
      <c r="H99" s="99">
        <f t="shared" si="13"/>
        <v>0</v>
      </c>
      <c r="I99" s="99">
        <f t="shared" si="13"/>
        <v>0</v>
      </c>
      <c r="J99" s="99">
        <f t="shared" si="13"/>
        <v>0</v>
      </c>
      <c r="K99" s="99">
        <f t="shared" si="13"/>
        <v>0</v>
      </c>
      <c r="L99" s="99">
        <f t="shared" si="13"/>
        <v>0</v>
      </c>
      <c r="M99" s="99">
        <f t="shared" si="13"/>
        <v>0</v>
      </c>
      <c r="N99" s="99">
        <f t="shared" si="13"/>
        <v>0</v>
      </c>
      <c r="O99" s="99">
        <f t="shared" si="13"/>
        <v>0</v>
      </c>
      <c r="P99" s="99">
        <f t="shared" si="13"/>
        <v>0</v>
      </c>
      <c r="Q99" s="99">
        <f t="shared" si="13"/>
        <v>0</v>
      </c>
      <c r="S99" s="35">
        <f>'[5]DYT Galleria-molly'!$Q99</f>
        <v>0</v>
      </c>
      <c r="T99" s="40">
        <f t="shared" si="12"/>
        <v>0</v>
      </c>
    </row>
    <row r="100" spans="1:20" ht="26.25" hidden="1" customHeight="1">
      <c r="E100" s="72"/>
      <c r="F100" s="106"/>
      <c r="G100" s="72"/>
      <c r="H100" s="107"/>
      <c r="I100" s="72"/>
      <c r="J100" s="106"/>
      <c r="K100" s="72"/>
      <c r="L100" s="109"/>
      <c r="M100" s="72"/>
      <c r="N100" s="106"/>
      <c r="O100" s="110"/>
      <c r="P100" s="110"/>
      <c r="Q100" s="110"/>
      <c r="S100" s="35">
        <f>'[5]DYT Galleria-molly'!$Q100</f>
        <v>0</v>
      </c>
      <c r="T100" s="40">
        <f t="shared" si="12"/>
        <v>0</v>
      </c>
    </row>
    <row r="101" spans="1:20" ht="26.25" hidden="1" customHeight="1">
      <c r="A101" s="5" t="s">
        <v>619</v>
      </c>
      <c r="B101" s="3" t="s">
        <v>712</v>
      </c>
      <c r="D101" s="26" t="s">
        <v>782</v>
      </c>
      <c r="E101" s="97">
        <v>0</v>
      </c>
      <c r="F101" s="97">
        <v>0</v>
      </c>
      <c r="G101" s="97">
        <v>0</v>
      </c>
      <c r="H101" s="97">
        <v>0</v>
      </c>
      <c r="I101" s="97">
        <v>0</v>
      </c>
      <c r="J101" s="97">
        <v>0</v>
      </c>
      <c r="K101" s="97">
        <v>0</v>
      </c>
      <c r="L101" s="97">
        <v>0</v>
      </c>
      <c r="M101" s="97">
        <v>0</v>
      </c>
      <c r="N101" s="97">
        <v>0</v>
      </c>
      <c r="O101" s="97">
        <v>0</v>
      </c>
      <c r="P101" s="97">
        <v>0</v>
      </c>
      <c r="Q101" s="103">
        <f>SUM(E101:P101)</f>
        <v>0</v>
      </c>
      <c r="S101" s="35">
        <f>'[5]DYT Galleria-molly'!$Q101</f>
        <v>0</v>
      </c>
      <c r="T101" s="40">
        <f t="shared" si="12"/>
        <v>0</v>
      </c>
    </row>
    <row r="102" spans="1:20" ht="26.25" hidden="1" customHeight="1">
      <c r="A102" s="5" t="s">
        <v>308</v>
      </c>
      <c r="B102" s="3" t="s">
        <v>712</v>
      </c>
      <c r="D102" s="26" t="s">
        <v>783</v>
      </c>
      <c r="E102" s="97">
        <v>0</v>
      </c>
      <c r="F102" s="97">
        <v>0</v>
      </c>
      <c r="G102" s="97">
        <v>0</v>
      </c>
      <c r="H102" s="97">
        <v>0</v>
      </c>
      <c r="I102" s="97">
        <v>0</v>
      </c>
      <c r="J102" s="97">
        <v>0</v>
      </c>
      <c r="K102" s="97">
        <v>0</v>
      </c>
      <c r="L102" s="97">
        <v>0</v>
      </c>
      <c r="M102" s="97">
        <v>0</v>
      </c>
      <c r="N102" s="97">
        <v>0</v>
      </c>
      <c r="O102" s="97">
        <v>0</v>
      </c>
      <c r="P102" s="97">
        <v>0</v>
      </c>
      <c r="Q102" s="103">
        <f t="shared" ref="Q102:Q105" si="14">SUM(E102:P102)</f>
        <v>0</v>
      </c>
      <c r="S102" s="35">
        <f>'[5]DYT Galleria-molly'!$Q102</f>
        <v>0</v>
      </c>
      <c r="T102" s="40">
        <f t="shared" si="12"/>
        <v>0</v>
      </c>
    </row>
    <row r="103" spans="1:20" ht="26.25" hidden="1" customHeight="1">
      <c r="A103" s="5" t="s">
        <v>620</v>
      </c>
      <c r="B103" s="3" t="s">
        <v>712</v>
      </c>
      <c r="D103" s="26" t="s">
        <v>784</v>
      </c>
      <c r="E103" s="97">
        <v>0</v>
      </c>
      <c r="F103" s="97">
        <v>0</v>
      </c>
      <c r="G103" s="97">
        <v>0</v>
      </c>
      <c r="H103" s="97">
        <v>0</v>
      </c>
      <c r="I103" s="97">
        <v>0</v>
      </c>
      <c r="J103" s="97">
        <v>0</v>
      </c>
      <c r="K103" s="97">
        <v>0</v>
      </c>
      <c r="L103" s="97">
        <v>0</v>
      </c>
      <c r="M103" s="97">
        <v>0</v>
      </c>
      <c r="N103" s="97">
        <v>0</v>
      </c>
      <c r="O103" s="97">
        <v>0</v>
      </c>
      <c r="P103" s="97">
        <v>0</v>
      </c>
      <c r="Q103" s="103">
        <f t="shared" si="14"/>
        <v>0</v>
      </c>
      <c r="S103" s="35">
        <f>'[5]DYT Galleria-molly'!$Q103</f>
        <v>0</v>
      </c>
      <c r="T103" s="40">
        <f t="shared" si="12"/>
        <v>0</v>
      </c>
    </row>
    <row r="104" spans="1:20" ht="26.25" hidden="1" customHeight="1">
      <c r="A104" s="5" t="s">
        <v>621</v>
      </c>
      <c r="B104" s="3" t="s">
        <v>712</v>
      </c>
      <c r="D104" s="26" t="s">
        <v>785</v>
      </c>
      <c r="E104" s="97">
        <v>0</v>
      </c>
      <c r="F104" s="97">
        <v>0</v>
      </c>
      <c r="G104" s="97">
        <v>0</v>
      </c>
      <c r="H104" s="97">
        <v>0</v>
      </c>
      <c r="I104" s="97">
        <v>0</v>
      </c>
      <c r="J104" s="97">
        <v>0</v>
      </c>
      <c r="K104" s="97">
        <v>0</v>
      </c>
      <c r="L104" s="97">
        <v>0</v>
      </c>
      <c r="M104" s="97">
        <v>0</v>
      </c>
      <c r="N104" s="97">
        <v>0</v>
      </c>
      <c r="O104" s="97">
        <v>0</v>
      </c>
      <c r="P104" s="97">
        <v>0</v>
      </c>
      <c r="Q104" s="103">
        <f t="shared" si="14"/>
        <v>0</v>
      </c>
      <c r="S104" s="35">
        <f>'[5]DYT Galleria-molly'!$Q104</f>
        <v>0</v>
      </c>
      <c r="T104" s="40">
        <f t="shared" si="12"/>
        <v>0</v>
      </c>
    </row>
    <row r="105" spans="1:20" ht="26.25" hidden="1" customHeight="1">
      <c r="A105" s="5" t="s">
        <v>622</v>
      </c>
      <c r="B105" s="3" t="s">
        <v>712</v>
      </c>
      <c r="D105" s="26" t="s">
        <v>786</v>
      </c>
      <c r="E105" s="108">
        <v>0</v>
      </c>
      <c r="F105" s="108">
        <v>0</v>
      </c>
      <c r="G105" s="108">
        <v>0</v>
      </c>
      <c r="H105" s="108">
        <v>0</v>
      </c>
      <c r="I105" s="108">
        <v>0</v>
      </c>
      <c r="J105" s="108">
        <v>0</v>
      </c>
      <c r="K105" s="108">
        <v>0</v>
      </c>
      <c r="L105" s="108">
        <v>0</v>
      </c>
      <c r="M105" s="108">
        <v>0</v>
      </c>
      <c r="N105" s="108">
        <v>0</v>
      </c>
      <c r="O105" s="108">
        <v>0</v>
      </c>
      <c r="P105" s="108">
        <v>0</v>
      </c>
      <c r="Q105" s="111">
        <f t="shared" si="14"/>
        <v>0</v>
      </c>
      <c r="S105" s="35">
        <f>'[5]DYT Galleria-molly'!$Q105</f>
        <v>0</v>
      </c>
      <c r="T105" s="40">
        <f t="shared" si="12"/>
        <v>0</v>
      </c>
    </row>
    <row r="106" spans="1:20" ht="26.25" hidden="1" customHeight="1">
      <c r="D106" s="21" t="s">
        <v>787</v>
      </c>
      <c r="E106" s="99">
        <f>SUM(E101:E105)</f>
        <v>0</v>
      </c>
      <c r="F106" s="99">
        <f t="shared" ref="F106:Q106" si="15">SUM(F101:F105)</f>
        <v>0</v>
      </c>
      <c r="G106" s="99">
        <f t="shared" si="15"/>
        <v>0</v>
      </c>
      <c r="H106" s="99">
        <f t="shared" si="15"/>
        <v>0</v>
      </c>
      <c r="I106" s="99">
        <f t="shared" si="15"/>
        <v>0</v>
      </c>
      <c r="J106" s="99">
        <f t="shared" si="15"/>
        <v>0</v>
      </c>
      <c r="K106" s="99">
        <f t="shared" si="15"/>
        <v>0</v>
      </c>
      <c r="L106" s="99">
        <f t="shared" si="15"/>
        <v>0</v>
      </c>
      <c r="M106" s="99">
        <f t="shared" si="15"/>
        <v>0</v>
      </c>
      <c r="N106" s="99">
        <f t="shared" si="15"/>
        <v>0</v>
      </c>
      <c r="O106" s="99">
        <f t="shared" si="15"/>
        <v>0</v>
      </c>
      <c r="P106" s="99">
        <f t="shared" si="15"/>
        <v>0</v>
      </c>
      <c r="Q106" s="99">
        <f t="shared" si="15"/>
        <v>0</v>
      </c>
      <c r="S106" s="35">
        <f>'[5]DYT Galleria-molly'!$Q106</f>
        <v>0</v>
      </c>
      <c r="T106" s="40">
        <f t="shared" si="12"/>
        <v>0</v>
      </c>
    </row>
    <row r="107" spans="1:20" ht="26.25" hidden="1" customHeight="1">
      <c r="E107" s="72"/>
      <c r="F107" s="106"/>
      <c r="G107" s="72"/>
      <c r="H107" s="107"/>
      <c r="I107" s="72"/>
      <c r="J107" s="106"/>
      <c r="K107" s="72"/>
      <c r="L107" s="109"/>
      <c r="M107" s="72"/>
      <c r="N107" s="106"/>
      <c r="O107" s="110"/>
      <c r="P107" s="110"/>
      <c r="Q107" s="110"/>
      <c r="S107" s="35">
        <f>'[5]DYT Galleria-molly'!$Q107</f>
        <v>0</v>
      </c>
      <c r="T107" s="40">
        <f t="shared" si="12"/>
        <v>0</v>
      </c>
    </row>
    <row r="108" spans="1:20" ht="26.25" hidden="1" customHeight="1">
      <c r="A108" s="5" t="s">
        <v>625</v>
      </c>
      <c r="B108" s="3" t="s">
        <v>712</v>
      </c>
      <c r="D108" s="26" t="s">
        <v>788</v>
      </c>
      <c r="E108" s="97">
        <v>0</v>
      </c>
      <c r="F108" s="97">
        <v>0</v>
      </c>
      <c r="G108" s="97">
        <v>0</v>
      </c>
      <c r="H108" s="97">
        <v>0</v>
      </c>
      <c r="I108" s="97">
        <v>0</v>
      </c>
      <c r="J108" s="97">
        <v>0</v>
      </c>
      <c r="K108" s="97">
        <v>0</v>
      </c>
      <c r="L108" s="97">
        <v>0</v>
      </c>
      <c r="M108" s="97">
        <v>0</v>
      </c>
      <c r="N108" s="97">
        <v>0</v>
      </c>
      <c r="O108" s="97">
        <v>0</v>
      </c>
      <c r="P108" s="97">
        <v>0</v>
      </c>
      <c r="Q108" s="120">
        <f>SUM(E108:P108)</f>
        <v>0</v>
      </c>
      <c r="S108" s="35">
        <f>'[5]DYT Galleria-molly'!$Q108</f>
        <v>0</v>
      </c>
      <c r="T108" s="40">
        <f t="shared" si="12"/>
        <v>0</v>
      </c>
    </row>
    <row r="109" spans="1:20" ht="26.25" hidden="1" customHeight="1">
      <c r="A109" s="5" t="s">
        <v>626</v>
      </c>
      <c r="B109" s="3" t="s">
        <v>712</v>
      </c>
      <c r="D109" s="26" t="s">
        <v>789</v>
      </c>
      <c r="E109" s="97">
        <v>0</v>
      </c>
      <c r="F109" s="97">
        <v>0</v>
      </c>
      <c r="G109" s="97">
        <v>0</v>
      </c>
      <c r="H109" s="97">
        <v>0</v>
      </c>
      <c r="I109" s="97">
        <v>0</v>
      </c>
      <c r="J109" s="97">
        <v>0</v>
      </c>
      <c r="K109" s="97">
        <v>0</v>
      </c>
      <c r="L109" s="97">
        <v>0</v>
      </c>
      <c r="M109" s="97">
        <v>0</v>
      </c>
      <c r="N109" s="97">
        <v>0</v>
      </c>
      <c r="O109" s="97">
        <v>0</v>
      </c>
      <c r="P109" s="97">
        <v>0</v>
      </c>
      <c r="Q109" s="120">
        <f t="shared" ref="Q109:Q115" si="16">SUM(E109:P109)</f>
        <v>0</v>
      </c>
      <c r="S109" s="35">
        <f>'[5]DYT Galleria-molly'!$Q109</f>
        <v>0</v>
      </c>
      <c r="T109" s="40">
        <f t="shared" si="12"/>
        <v>0</v>
      </c>
    </row>
    <row r="110" spans="1:20" ht="26.25" hidden="1" customHeight="1">
      <c r="A110" s="5" t="s">
        <v>627</v>
      </c>
      <c r="B110" s="3" t="s">
        <v>712</v>
      </c>
      <c r="D110" s="26" t="s">
        <v>790</v>
      </c>
      <c r="E110" s="97">
        <v>0</v>
      </c>
      <c r="F110" s="97">
        <v>0</v>
      </c>
      <c r="G110" s="97">
        <v>0</v>
      </c>
      <c r="H110" s="97">
        <v>0</v>
      </c>
      <c r="I110" s="97">
        <v>0</v>
      </c>
      <c r="J110" s="97">
        <v>0</v>
      </c>
      <c r="K110" s="97">
        <v>0</v>
      </c>
      <c r="L110" s="97">
        <v>0</v>
      </c>
      <c r="M110" s="97">
        <v>0</v>
      </c>
      <c r="N110" s="97">
        <v>0</v>
      </c>
      <c r="O110" s="97">
        <v>0</v>
      </c>
      <c r="P110" s="97">
        <v>0</v>
      </c>
      <c r="Q110" s="120">
        <f t="shared" si="16"/>
        <v>0</v>
      </c>
      <c r="S110" s="35">
        <f>'[5]DYT Galleria-molly'!$Q110</f>
        <v>0</v>
      </c>
      <c r="T110" s="40">
        <f t="shared" si="12"/>
        <v>0</v>
      </c>
    </row>
    <row r="111" spans="1:20" ht="26.25" hidden="1" customHeight="1">
      <c r="A111" s="5" t="s">
        <v>628</v>
      </c>
      <c r="B111" s="3" t="s">
        <v>712</v>
      </c>
      <c r="D111" s="26" t="s">
        <v>791</v>
      </c>
      <c r="E111" s="97">
        <v>0</v>
      </c>
      <c r="F111" s="97">
        <v>0</v>
      </c>
      <c r="G111" s="97">
        <v>0</v>
      </c>
      <c r="H111" s="97">
        <v>0</v>
      </c>
      <c r="I111" s="97">
        <v>0</v>
      </c>
      <c r="J111" s="97">
        <v>0</v>
      </c>
      <c r="K111" s="97">
        <v>0</v>
      </c>
      <c r="L111" s="97">
        <v>0</v>
      </c>
      <c r="M111" s="97">
        <v>0</v>
      </c>
      <c r="N111" s="97">
        <v>0</v>
      </c>
      <c r="O111" s="97">
        <v>0</v>
      </c>
      <c r="P111" s="97">
        <v>0</v>
      </c>
      <c r="Q111" s="120">
        <f t="shared" si="16"/>
        <v>0</v>
      </c>
      <c r="S111" s="35">
        <f>'[5]DYT Galleria-molly'!$Q111</f>
        <v>0</v>
      </c>
      <c r="T111" s="40">
        <f t="shared" si="12"/>
        <v>0</v>
      </c>
    </row>
    <row r="112" spans="1:20" ht="26.25" hidden="1" customHeight="1">
      <c r="A112" s="5" t="s">
        <v>629</v>
      </c>
      <c r="B112" s="3" t="s">
        <v>712</v>
      </c>
      <c r="D112" s="26" t="s">
        <v>792</v>
      </c>
      <c r="E112" s="97">
        <v>0</v>
      </c>
      <c r="F112" s="97">
        <v>0</v>
      </c>
      <c r="G112" s="97">
        <v>0</v>
      </c>
      <c r="H112" s="97">
        <v>0</v>
      </c>
      <c r="I112" s="97">
        <v>0</v>
      </c>
      <c r="J112" s="97">
        <v>0</v>
      </c>
      <c r="K112" s="97">
        <v>0</v>
      </c>
      <c r="L112" s="97">
        <v>0</v>
      </c>
      <c r="M112" s="97">
        <v>0</v>
      </c>
      <c r="N112" s="97">
        <v>0</v>
      </c>
      <c r="O112" s="97">
        <v>0</v>
      </c>
      <c r="P112" s="97">
        <v>0</v>
      </c>
      <c r="Q112" s="120">
        <f t="shared" si="16"/>
        <v>0</v>
      </c>
      <c r="S112" s="35">
        <f>'[5]DYT Galleria-molly'!$Q112</f>
        <v>0</v>
      </c>
      <c r="T112" s="40">
        <f t="shared" si="12"/>
        <v>0</v>
      </c>
    </row>
    <row r="113" spans="1:20" ht="26.25" hidden="1" customHeight="1">
      <c r="A113" s="5" t="s">
        <v>630</v>
      </c>
      <c r="B113" s="3" t="s">
        <v>712</v>
      </c>
      <c r="D113" s="26" t="s">
        <v>793</v>
      </c>
      <c r="E113" s="97">
        <v>0</v>
      </c>
      <c r="F113" s="97">
        <v>0</v>
      </c>
      <c r="G113" s="97">
        <v>0</v>
      </c>
      <c r="H113" s="97">
        <v>0</v>
      </c>
      <c r="I113" s="97">
        <v>0</v>
      </c>
      <c r="J113" s="97">
        <v>0</v>
      </c>
      <c r="K113" s="97">
        <v>0</v>
      </c>
      <c r="L113" s="97">
        <v>0</v>
      </c>
      <c r="M113" s="97">
        <v>0</v>
      </c>
      <c r="N113" s="97">
        <v>0</v>
      </c>
      <c r="O113" s="97">
        <v>0</v>
      </c>
      <c r="P113" s="97">
        <v>0</v>
      </c>
      <c r="Q113" s="120">
        <f t="shared" si="16"/>
        <v>0</v>
      </c>
      <c r="S113" s="35">
        <f>'[5]DYT Galleria-molly'!$Q113</f>
        <v>0</v>
      </c>
      <c r="T113" s="40">
        <f t="shared" si="12"/>
        <v>0</v>
      </c>
    </row>
    <row r="114" spans="1:20" ht="26.25" hidden="1" customHeight="1">
      <c r="A114" s="5" t="s">
        <v>631</v>
      </c>
      <c r="B114" s="3" t="s">
        <v>712</v>
      </c>
      <c r="D114" s="26" t="s">
        <v>794</v>
      </c>
      <c r="E114" s="97">
        <v>0</v>
      </c>
      <c r="F114" s="97">
        <v>0</v>
      </c>
      <c r="G114" s="97">
        <v>0</v>
      </c>
      <c r="H114" s="97">
        <v>0</v>
      </c>
      <c r="I114" s="97">
        <v>0</v>
      </c>
      <c r="J114" s="97">
        <v>0</v>
      </c>
      <c r="K114" s="97">
        <v>0</v>
      </c>
      <c r="L114" s="97">
        <v>0</v>
      </c>
      <c r="M114" s="97">
        <v>0</v>
      </c>
      <c r="N114" s="97">
        <v>0</v>
      </c>
      <c r="O114" s="97">
        <v>0</v>
      </c>
      <c r="P114" s="97">
        <v>0</v>
      </c>
      <c r="Q114" s="120">
        <f t="shared" si="16"/>
        <v>0</v>
      </c>
      <c r="S114" s="35">
        <f>'[5]DYT Galleria-molly'!$Q114</f>
        <v>0</v>
      </c>
      <c r="T114" s="40">
        <f t="shared" si="12"/>
        <v>0</v>
      </c>
    </row>
    <row r="115" spans="1:20" ht="26.25" hidden="1" customHeight="1">
      <c r="A115" s="5" t="s">
        <v>632</v>
      </c>
      <c r="B115" s="3" t="s">
        <v>712</v>
      </c>
      <c r="D115" s="26" t="s">
        <v>795</v>
      </c>
      <c r="E115" s="108">
        <v>0</v>
      </c>
      <c r="F115" s="108">
        <v>0</v>
      </c>
      <c r="G115" s="108">
        <v>0</v>
      </c>
      <c r="H115" s="108">
        <v>0</v>
      </c>
      <c r="I115" s="108">
        <v>0</v>
      </c>
      <c r="J115" s="108">
        <v>0</v>
      </c>
      <c r="K115" s="108">
        <v>0</v>
      </c>
      <c r="L115" s="108">
        <v>0</v>
      </c>
      <c r="M115" s="108">
        <v>0</v>
      </c>
      <c r="N115" s="108">
        <v>0</v>
      </c>
      <c r="O115" s="108">
        <v>0</v>
      </c>
      <c r="P115" s="108">
        <v>0</v>
      </c>
      <c r="Q115" s="111">
        <f t="shared" si="16"/>
        <v>0</v>
      </c>
      <c r="S115" s="35">
        <f>'[5]DYT Galleria-molly'!$Q115</f>
        <v>0</v>
      </c>
      <c r="T115" s="40">
        <f t="shared" si="12"/>
        <v>0</v>
      </c>
    </row>
    <row r="116" spans="1:20" ht="26.25" hidden="1" customHeight="1">
      <c r="D116" s="21" t="s">
        <v>796</v>
      </c>
      <c r="E116" s="99">
        <f>SUM(E108:E115)</f>
        <v>0</v>
      </c>
      <c r="F116" s="99">
        <f t="shared" ref="F116:Q116" si="17">SUM(F108:F115)</f>
        <v>0</v>
      </c>
      <c r="G116" s="99">
        <f t="shared" si="17"/>
        <v>0</v>
      </c>
      <c r="H116" s="99">
        <f t="shared" si="17"/>
        <v>0</v>
      </c>
      <c r="I116" s="99">
        <f t="shared" si="17"/>
        <v>0</v>
      </c>
      <c r="J116" s="99">
        <f t="shared" si="17"/>
        <v>0</v>
      </c>
      <c r="K116" s="99">
        <f t="shared" si="17"/>
        <v>0</v>
      </c>
      <c r="L116" s="99">
        <f t="shared" si="17"/>
        <v>0</v>
      </c>
      <c r="M116" s="99">
        <f t="shared" si="17"/>
        <v>0</v>
      </c>
      <c r="N116" s="99">
        <f t="shared" si="17"/>
        <v>0</v>
      </c>
      <c r="O116" s="99">
        <f t="shared" si="17"/>
        <v>0</v>
      </c>
      <c r="P116" s="99">
        <f t="shared" si="17"/>
        <v>0</v>
      </c>
      <c r="Q116" s="99">
        <f t="shared" si="17"/>
        <v>0</v>
      </c>
      <c r="S116" s="35">
        <f>'[5]DYT Galleria-molly'!$Q116</f>
        <v>0</v>
      </c>
      <c r="T116" s="40">
        <f t="shared" si="12"/>
        <v>0</v>
      </c>
    </row>
    <row r="117" spans="1:20" ht="26.25" hidden="1" customHeight="1">
      <c r="E117" s="72"/>
      <c r="F117" s="106"/>
      <c r="G117" s="72"/>
      <c r="H117" s="107"/>
      <c r="I117" s="72"/>
      <c r="J117" s="106"/>
      <c r="K117" s="72"/>
      <c r="L117" s="109"/>
      <c r="M117" s="72"/>
      <c r="N117" s="106"/>
      <c r="O117" s="110"/>
      <c r="P117" s="110"/>
      <c r="Q117" s="110"/>
      <c r="S117" s="35">
        <f>'[5]DYT Galleria-molly'!$Q117</f>
        <v>0</v>
      </c>
      <c r="T117" s="40">
        <f t="shared" si="12"/>
        <v>0</v>
      </c>
    </row>
    <row r="118" spans="1:20" ht="26.25" hidden="1" customHeight="1">
      <c r="A118" s="5" t="s">
        <v>633</v>
      </c>
      <c r="B118" s="3" t="s">
        <v>712</v>
      </c>
      <c r="D118" s="26" t="s">
        <v>797</v>
      </c>
      <c r="E118" s="97">
        <v>0</v>
      </c>
      <c r="F118" s="97">
        <v>0</v>
      </c>
      <c r="G118" s="97">
        <v>0</v>
      </c>
      <c r="H118" s="97">
        <v>0</v>
      </c>
      <c r="I118" s="97">
        <v>0</v>
      </c>
      <c r="J118" s="97">
        <v>0</v>
      </c>
      <c r="K118" s="97">
        <v>0</v>
      </c>
      <c r="L118" s="97">
        <v>0</v>
      </c>
      <c r="M118" s="97">
        <v>0</v>
      </c>
      <c r="N118" s="97">
        <v>0</v>
      </c>
      <c r="O118" s="97">
        <v>0</v>
      </c>
      <c r="P118" s="97">
        <v>0</v>
      </c>
      <c r="Q118" s="103">
        <f>SUM(E118:P118)</f>
        <v>0</v>
      </c>
      <c r="S118" s="35">
        <f>'[5]DYT Galleria-molly'!$Q118</f>
        <v>0</v>
      </c>
      <c r="T118" s="40">
        <f t="shared" si="12"/>
        <v>0</v>
      </c>
    </row>
    <row r="119" spans="1:20" ht="26.25" hidden="1" customHeight="1">
      <c r="A119" s="5" t="s">
        <v>634</v>
      </c>
      <c r="B119" s="3" t="s">
        <v>712</v>
      </c>
      <c r="D119" s="26" t="s">
        <v>798</v>
      </c>
      <c r="E119" s="97">
        <v>0</v>
      </c>
      <c r="F119" s="97">
        <v>0</v>
      </c>
      <c r="G119" s="97">
        <v>0</v>
      </c>
      <c r="H119" s="97">
        <v>0</v>
      </c>
      <c r="I119" s="97">
        <v>0</v>
      </c>
      <c r="J119" s="97">
        <v>0</v>
      </c>
      <c r="K119" s="97">
        <v>0</v>
      </c>
      <c r="L119" s="97">
        <v>0</v>
      </c>
      <c r="M119" s="97">
        <v>0</v>
      </c>
      <c r="N119" s="97">
        <v>0</v>
      </c>
      <c r="O119" s="97">
        <v>0</v>
      </c>
      <c r="P119" s="97">
        <v>0</v>
      </c>
      <c r="Q119" s="103">
        <f t="shared" ref="Q119:Q122" si="18">SUM(E119:P119)</f>
        <v>0</v>
      </c>
      <c r="S119" s="35">
        <f>'[5]DYT Galleria-molly'!$Q119</f>
        <v>0</v>
      </c>
      <c r="T119" s="40">
        <f t="shared" si="12"/>
        <v>0</v>
      </c>
    </row>
    <row r="120" spans="1:20" ht="26.25" hidden="1" customHeight="1">
      <c r="A120" s="5" t="s">
        <v>635</v>
      </c>
      <c r="B120" s="3" t="s">
        <v>712</v>
      </c>
      <c r="D120" s="26" t="s">
        <v>799</v>
      </c>
      <c r="E120" s="97">
        <v>0</v>
      </c>
      <c r="F120" s="97">
        <v>0</v>
      </c>
      <c r="G120" s="97">
        <v>0</v>
      </c>
      <c r="H120" s="97">
        <v>0</v>
      </c>
      <c r="I120" s="97">
        <v>0</v>
      </c>
      <c r="J120" s="97">
        <v>0</v>
      </c>
      <c r="K120" s="97">
        <v>0</v>
      </c>
      <c r="L120" s="97">
        <v>0</v>
      </c>
      <c r="M120" s="97">
        <v>0</v>
      </c>
      <c r="N120" s="97">
        <v>0</v>
      </c>
      <c r="O120" s="97">
        <v>0</v>
      </c>
      <c r="P120" s="97">
        <v>0</v>
      </c>
      <c r="Q120" s="103">
        <f t="shared" si="18"/>
        <v>0</v>
      </c>
      <c r="S120" s="35">
        <f>'[5]DYT Galleria-molly'!$Q120</f>
        <v>0</v>
      </c>
      <c r="T120" s="40">
        <f t="shared" si="12"/>
        <v>0</v>
      </c>
    </row>
    <row r="121" spans="1:20" ht="26.25" hidden="1" customHeight="1">
      <c r="A121" s="5" t="s">
        <v>636</v>
      </c>
      <c r="B121" s="3" t="s">
        <v>712</v>
      </c>
      <c r="D121" s="26" t="s">
        <v>800</v>
      </c>
      <c r="E121" s="97">
        <v>0</v>
      </c>
      <c r="F121" s="97">
        <v>0</v>
      </c>
      <c r="G121" s="97">
        <v>0</v>
      </c>
      <c r="H121" s="97">
        <v>0</v>
      </c>
      <c r="I121" s="97">
        <v>0</v>
      </c>
      <c r="J121" s="97">
        <v>0</v>
      </c>
      <c r="K121" s="97">
        <v>0</v>
      </c>
      <c r="L121" s="97">
        <v>0</v>
      </c>
      <c r="M121" s="97">
        <v>0</v>
      </c>
      <c r="N121" s="97">
        <v>0</v>
      </c>
      <c r="O121" s="97">
        <v>0</v>
      </c>
      <c r="P121" s="97">
        <v>0</v>
      </c>
      <c r="Q121" s="103">
        <f t="shared" si="18"/>
        <v>0</v>
      </c>
      <c r="S121" s="35">
        <f>'[5]DYT Galleria-molly'!$Q121</f>
        <v>0</v>
      </c>
      <c r="T121" s="40">
        <f t="shared" si="12"/>
        <v>0</v>
      </c>
    </row>
    <row r="122" spans="1:20" ht="26.25" hidden="1" customHeight="1">
      <c r="A122" s="5" t="s">
        <v>637</v>
      </c>
      <c r="B122" s="3" t="s">
        <v>712</v>
      </c>
      <c r="D122" s="26" t="s">
        <v>801</v>
      </c>
      <c r="E122" s="97">
        <v>0</v>
      </c>
      <c r="F122" s="97">
        <v>0</v>
      </c>
      <c r="G122" s="97">
        <v>0</v>
      </c>
      <c r="H122" s="97">
        <v>0</v>
      </c>
      <c r="I122" s="97">
        <v>0</v>
      </c>
      <c r="J122" s="97">
        <v>0</v>
      </c>
      <c r="K122" s="97">
        <v>0</v>
      </c>
      <c r="L122" s="97">
        <v>0</v>
      </c>
      <c r="M122" s="97">
        <v>0</v>
      </c>
      <c r="N122" s="97">
        <v>0</v>
      </c>
      <c r="O122" s="97">
        <v>0</v>
      </c>
      <c r="P122" s="97">
        <v>0</v>
      </c>
      <c r="Q122" s="103">
        <f t="shared" si="18"/>
        <v>0</v>
      </c>
      <c r="S122" s="35">
        <f>'[5]DYT Galleria-molly'!$Q122</f>
        <v>0</v>
      </c>
      <c r="T122" s="40">
        <f t="shared" si="12"/>
        <v>0</v>
      </c>
    </row>
    <row r="123" spans="1:20" ht="26.25" hidden="1" customHeight="1">
      <c r="A123" s="5" t="s">
        <v>344</v>
      </c>
      <c r="B123" s="3" t="s">
        <v>712</v>
      </c>
      <c r="D123" s="26" t="s">
        <v>802</v>
      </c>
      <c r="E123" s="97">
        <v>0</v>
      </c>
      <c r="F123" s="97">
        <v>0</v>
      </c>
      <c r="G123" s="97">
        <v>0</v>
      </c>
      <c r="H123" s="97">
        <v>0</v>
      </c>
      <c r="I123" s="97">
        <v>0</v>
      </c>
      <c r="J123" s="97">
        <v>0</v>
      </c>
      <c r="K123" s="97">
        <v>0</v>
      </c>
      <c r="L123" s="97">
        <v>0</v>
      </c>
      <c r="M123" s="97">
        <v>0</v>
      </c>
      <c r="N123" s="97">
        <v>0</v>
      </c>
      <c r="O123" s="97">
        <v>0</v>
      </c>
      <c r="P123" s="97">
        <v>0</v>
      </c>
      <c r="Q123" s="97">
        <f t="shared" ref="Q123:Q124" si="19">SUM(E123:P123)</f>
        <v>0</v>
      </c>
      <c r="S123" s="35">
        <f>'[5]DYT Galleria-molly'!$Q123</f>
        <v>0</v>
      </c>
      <c r="T123" s="40">
        <f t="shared" si="12"/>
        <v>0</v>
      </c>
    </row>
    <row r="124" spans="1:20" ht="26.25" hidden="1" customHeight="1">
      <c r="A124" s="5" t="s">
        <v>640</v>
      </c>
      <c r="B124" s="3" t="s">
        <v>712</v>
      </c>
      <c r="D124" s="26" t="s">
        <v>803</v>
      </c>
      <c r="E124" s="97">
        <v>0</v>
      </c>
      <c r="F124" s="97">
        <v>0</v>
      </c>
      <c r="G124" s="97">
        <v>0</v>
      </c>
      <c r="H124" s="97">
        <v>0</v>
      </c>
      <c r="I124" s="97">
        <v>0</v>
      </c>
      <c r="J124" s="97">
        <v>0</v>
      </c>
      <c r="K124" s="97">
        <v>0</v>
      </c>
      <c r="L124" s="97">
        <v>0</v>
      </c>
      <c r="M124" s="97">
        <v>0</v>
      </c>
      <c r="N124" s="97">
        <v>0</v>
      </c>
      <c r="O124" s="97">
        <v>0</v>
      </c>
      <c r="P124" s="97">
        <v>0</v>
      </c>
      <c r="Q124" s="97">
        <f t="shared" si="19"/>
        <v>0</v>
      </c>
      <c r="S124" s="35">
        <f>'[5]DYT Galleria-molly'!$Q124</f>
        <v>0</v>
      </c>
      <c r="T124" s="40">
        <f t="shared" si="12"/>
        <v>0</v>
      </c>
    </row>
    <row r="125" spans="1:20" ht="26.25" hidden="1" customHeight="1">
      <c r="D125" s="26" t="s">
        <v>804</v>
      </c>
      <c r="E125" s="119">
        <f>SUM(E118:E124)</f>
        <v>0</v>
      </c>
      <c r="F125" s="119">
        <f t="shared" ref="F125:Q125" si="20">SUM(F118:F124)</f>
        <v>0</v>
      </c>
      <c r="G125" s="119">
        <f t="shared" si="20"/>
        <v>0</v>
      </c>
      <c r="H125" s="119">
        <f t="shared" si="20"/>
        <v>0</v>
      </c>
      <c r="I125" s="119">
        <f t="shared" si="20"/>
        <v>0</v>
      </c>
      <c r="J125" s="119">
        <f t="shared" si="20"/>
        <v>0</v>
      </c>
      <c r="K125" s="119">
        <f t="shared" si="20"/>
        <v>0</v>
      </c>
      <c r="L125" s="119">
        <f t="shared" si="20"/>
        <v>0</v>
      </c>
      <c r="M125" s="119">
        <f t="shared" si="20"/>
        <v>0</v>
      </c>
      <c r="N125" s="119">
        <f t="shared" si="20"/>
        <v>0</v>
      </c>
      <c r="O125" s="119">
        <f t="shared" si="20"/>
        <v>0</v>
      </c>
      <c r="P125" s="119">
        <f t="shared" si="20"/>
        <v>0</v>
      </c>
      <c r="Q125" s="119">
        <f t="shared" si="20"/>
        <v>0</v>
      </c>
      <c r="S125" s="35">
        <f>'[5]DYT Galleria-molly'!$Q125</f>
        <v>0</v>
      </c>
      <c r="T125" s="40">
        <f t="shared" si="12"/>
        <v>0</v>
      </c>
    </row>
    <row r="126" spans="1:20" ht="26.25" hidden="1" customHeight="1">
      <c r="D126" s="21" t="s">
        <v>805</v>
      </c>
      <c r="E126" s="99">
        <f>E99+E106+E116+E125</f>
        <v>0</v>
      </c>
      <c r="F126" s="99">
        <f t="shared" ref="F126:Q126" si="21">F99+F106+F116+F125</f>
        <v>0</v>
      </c>
      <c r="G126" s="99">
        <f t="shared" si="21"/>
        <v>0</v>
      </c>
      <c r="H126" s="99">
        <f t="shared" si="21"/>
        <v>0</v>
      </c>
      <c r="I126" s="99">
        <f t="shared" si="21"/>
        <v>0</v>
      </c>
      <c r="J126" s="99">
        <f t="shared" si="21"/>
        <v>0</v>
      </c>
      <c r="K126" s="99">
        <f t="shared" si="21"/>
        <v>0</v>
      </c>
      <c r="L126" s="99">
        <f t="shared" si="21"/>
        <v>0</v>
      </c>
      <c r="M126" s="99">
        <f t="shared" si="21"/>
        <v>0</v>
      </c>
      <c r="N126" s="99">
        <f t="shared" si="21"/>
        <v>0</v>
      </c>
      <c r="O126" s="99">
        <f t="shared" si="21"/>
        <v>0</v>
      </c>
      <c r="P126" s="99">
        <f t="shared" si="21"/>
        <v>0</v>
      </c>
      <c r="Q126" s="99">
        <f t="shared" si="21"/>
        <v>0</v>
      </c>
      <c r="S126" s="35">
        <f>'[5]DYT Galleria-molly'!$Q126</f>
        <v>0</v>
      </c>
      <c r="T126" s="40">
        <f t="shared" si="12"/>
        <v>0</v>
      </c>
    </row>
    <row r="127" spans="1:20" ht="26.25" hidden="1" customHeight="1">
      <c r="D127" s="21"/>
      <c r="E127" s="72"/>
      <c r="F127" s="106"/>
      <c r="G127" s="72"/>
      <c r="H127" s="107"/>
      <c r="I127" s="72"/>
      <c r="J127" s="106"/>
      <c r="K127" s="72"/>
      <c r="L127" s="109"/>
      <c r="M127" s="72"/>
      <c r="N127" s="106"/>
      <c r="O127" s="110"/>
      <c r="P127" s="110"/>
      <c r="Q127" s="110"/>
      <c r="S127" s="35">
        <f>'[5]DYT Galleria-molly'!$Q127</f>
        <v>0</v>
      </c>
      <c r="T127" s="40">
        <f t="shared" si="12"/>
        <v>0</v>
      </c>
    </row>
    <row r="128" spans="1:20" ht="26.25" hidden="1" customHeight="1">
      <c r="A128" s="5" t="s">
        <v>105</v>
      </c>
      <c r="B128" s="3" t="s">
        <v>712</v>
      </c>
      <c r="D128" s="21" t="s">
        <v>806</v>
      </c>
      <c r="E128" s="99">
        <v>0</v>
      </c>
      <c r="F128" s="99">
        <v>0</v>
      </c>
      <c r="G128" s="99">
        <v>0</v>
      </c>
      <c r="H128" s="99">
        <v>0</v>
      </c>
      <c r="I128" s="99">
        <v>0</v>
      </c>
      <c r="J128" s="99">
        <v>0</v>
      </c>
      <c r="K128" s="99">
        <v>0</v>
      </c>
      <c r="L128" s="99">
        <v>0</v>
      </c>
      <c r="M128" s="99">
        <v>0</v>
      </c>
      <c r="N128" s="99">
        <v>0</v>
      </c>
      <c r="O128" s="99">
        <v>0</v>
      </c>
      <c r="P128" s="99">
        <v>0</v>
      </c>
      <c r="Q128" s="99"/>
      <c r="S128" s="35">
        <f>'[5]DYT Galleria-molly'!$Q128</f>
        <v>0</v>
      </c>
      <c r="T128" s="40">
        <f t="shared" si="12"/>
        <v>0</v>
      </c>
    </row>
  </sheetData>
  <phoneticPr fontId="57" type="noConversion"/>
  <dataValidations count="6">
    <dataValidation type="textLength" errorStyle="information" allowBlank="1" showInputMessage="1" showErrorMessage="1" error="XLBVal:6=3239.86_x000d__x000a_" sqref="E21:P22 E18:P19">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28280_x000d__x000a_" sqref="Q16">
      <formula1>0</formula1>
      <formula2>300</formula2>
    </dataValidation>
    <dataValidation type="textLength" errorStyle="information" allowBlank="1" showInputMessage="1" showErrorMessage="1" error="XLBVal:2=0_x000d__x000a_" sqref="E20:P20 E93:I93 K93:Q93 E128:Q128 Q17:Q91 E16:P17 E12:Q13 E23:P91 E118:Q125 E108:Q116 E101:Q105 E97:Q98">
      <formula1>0</formula1>
      <formula2>300</formula2>
    </dataValidation>
    <dataValidation type="textLength" errorStyle="information" allowBlank="1" showInputMessage="1" showErrorMessage="1" error="XLBVal:6=0_x000d__x000a_" sqref="J93">
      <formula1>0</formula1>
      <formula2>300</formula2>
    </dataValidation>
    <dataValidation type="textLength" errorStyle="information" allowBlank="1" showInputMessage="1" showErrorMessage="1" error="XLBVal:6=6688509.16_x000d__x000a_" sqref="E14:Q15">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7"/>
  <dimension ref="A1:T153"/>
  <sheetViews>
    <sheetView topLeftCell="D1" zoomScale="50" zoomScaleNormal="50" zoomScaleSheetLayoutView="40" workbookViewId="0">
      <pane xSplit="1" ySplit="10" topLeftCell="E11" activePane="bottomRight" state="frozen"/>
      <selection pane="topRight"/>
      <selection pane="bottomLeft"/>
      <selection pane="bottomRight" activeCell="H33" sqref="H33"/>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82.5" style="6" customWidth="1" collapsed="1"/>
    <col min="5" max="5" width="22.5" style="7" customWidth="1"/>
    <col min="6" max="6" width="22.5" style="89" customWidth="1"/>
    <col min="7" max="7" width="22.5" style="7" customWidth="1"/>
    <col min="8" max="8" width="22.5" style="6" customWidth="1"/>
    <col min="9" max="9" width="22.5" style="7" customWidth="1"/>
    <col min="10" max="10" width="22.5" style="89" customWidth="1"/>
    <col min="11" max="11" width="22.5" style="7" customWidth="1"/>
    <col min="12" max="12" width="22.5" style="90" customWidth="1"/>
    <col min="13" max="13" width="22.5" style="7" customWidth="1"/>
    <col min="14" max="14" width="22.5" style="89" customWidth="1"/>
    <col min="15" max="16" width="22.5" style="5" customWidth="1"/>
    <col min="17" max="17" width="25.5" style="5" customWidth="1"/>
    <col min="18" max="18" width="11.5" style="5" customWidth="1"/>
    <col min="19" max="19" width="22.5" style="8" customWidth="1"/>
    <col min="20" max="20" width="22.5" style="5"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854</v>
      </c>
      <c r="E6" s="13"/>
      <c r="F6" s="93"/>
      <c r="G6" s="13"/>
      <c r="H6" s="94"/>
      <c r="I6" s="13"/>
      <c r="J6" s="93"/>
      <c r="K6" s="13"/>
      <c r="L6" s="101"/>
      <c r="M6" s="13"/>
      <c r="N6" s="93"/>
      <c r="S6" s="33"/>
    </row>
    <row r="7" spans="1:20" s="2" customFormat="1" ht="24.95" customHeight="1">
      <c r="D7" s="15" t="str">
        <f>Summary!D7</f>
        <v>2025</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2020</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51" t="s">
        <v>855</v>
      </c>
      <c r="B12" s="3" t="s">
        <v>720</v>
      </c>
      <c r="C12" s="49">
        <v>3401</v>
      </c>
      <c r="D12" s="3" t="s">
        <v>856</v>
      </c>
      <c r="E12" s="27"/>
      <c r="F12" s="27"/>
      <c r="G12" s="27"/>
      <c r="H12" s="27"/>
      <c r="I12" s="27"/>
      <c r="J12" s="27"/>
      <c r="K12" s="27"/>
      <c r="L12" s="27"/>
      <c r="M12" s="27"/>
      <c r="N12" s="27"/>
      <c r="O12" s="27"/>
      <c r="P12" s="27"/>
      <c r="Q12" s="27">
        <f>SUM(E12:P12)</f>
        <v>0</v>
      </c>
      <c r="S12" s="35"/>
      <c r="T12" s="40">
        <f>IF(Q12-S12=0,0,(Q12-S12)/S12)</f>
        <v>0</v>
      </c>
    </row>
    <row r="13" spans="1:20" s="3" customFormat="1" ht="24.95" customHeight="1">
      <c r="A13" s="51" t="s">
        <v>719</v>
      </c>
      <c r="B13" s="3" t="s">
        <v>720</v>
      </c>
      <c r="C13" s="49"/>
      <c r="D13" s="26" t="s">
        <v>857</v>
      </c>
      <c r="E13" s="27"/>
      <c r="F13" s="27"/>
      <c r="G13" s="27"/>
      <c r="H13" s="27"/>
      <c r="I13" s="27"/>
      <c r="J13" s="27"/>
      <c r="K13" s="27"/>
      <c r="L13" s="27"/>
      <c r="M13" s="27"/>
      <c r="N13" s="27"/>
      <c r="O13" s="27"/>
      <c r="P13" s="27"/>
      <c r="Q13" s="27">
        <f>SUM(E13:P13)</f>
        <v>0</v>
      </c>
      <c r="S13" s="35"/>
      <c r="T13" s="40">
        <f t="shared" ref="T13:T42" si="0">IF(Q13-S13=0,0,(Q13-S13)/S13)</f>
        <v>0</v>
      </c>
    </row>
    <row r="14" spans="1:20" s="3" customFormat="1" ht="24.95" customHeight="1">
      <c r="A14" s="51">
        <v>38108100</v>
      </c>
      <c r="B14" s="3" t="s">
        <v>720</v>
      </c>
      <c r="C14" s="49"/>
      <c r="D14" s="26" t="s">
        <v>858</v>
      </c>
      <c r="E14" s="27"/>
      <c r="F14" s="27"/>
      <c r="G14" s="27"/>
      <c r="H14" s="27"/>
      <c r="I14" s="27"/>
      <c r="J14" s="27"/>
      <c r="K14" s="27"/>
      <c r="L14" s="27"/>
      <c r="M14" s="27"/>
      <c r="N14" s="27"/>
      <c r="O14" s="27"/>
      <c r="P14" s="27"/>
      <c r="Q14" s="27">
        <f>SUM(E14:P14)</f>
        <v>0</v>
      </c>
      <c r="S14" s="35"/>
      <c r="T14" s="40">
        <f>IF(S14&lt;&gt;0,(Q14-S14)/S14,1)</f>
        <v>1</v>
      </c>
    </row>
    <row r="15" spans="1:20" s="3" customFormat="1" ht="24.95" customHeight="1">
      <c r="D15" s="21" t="s">
        <v>671</v>
      </c>
      <c r="E15" s="30">
        <f t="shared" ref="E15:Q15" si="1">SUM(E12:E14)</f>
        <v>0</v>
      </c>
      <c r="F15" s="30">
        <f t="shared" si="1"/>
        <v>0</v>
      </c>
      <c r="G15" s="30">
        <f t="shared" si="1"/>
        <v>0</v>
      </c>
      <c r="H15" s="30">
        <f t="shared" si="1"/>
        <v>0</v>
      </c>
      <c r="I15" s="30">
        <f t="shared" si="1"/>
        <v>0</v>
      </c>
      <c r="J15" s="30">
        <f t="shared" si="1"/>
        <v>0</v>
      </c>
      <c r="K15" s="30">
        <f t="shared" si="1"/>
        <v>0</v>
      </c>
      <c r="L15" s="30">
        <f t="shared" si="1"/>
        <v>0</v>
      </c>
      <c r="M15" s="30">
        <f t="shared" si="1"/>
        <v>0</v>
      </c>
      <c r="N15" s="30">
        <f t="shared" si="1"/>
        <v>0</v>
      </c>
      <c r="O15" s="30">
        <f t="shared" si="1"/>
        <v>0</v>
      </c>
      <c r="P15" s="30">
        <f t="shared" si="1"/>
        <v>0</v>
      </c>
      <c r="Q15" s="30">
        <f t="shared" si="1"/>
        <v>0</v>
      </c>
      <c r="S15" s="35"/>
      <c r="T15" s="40">
        <f t="shared" si="0"/>
        <v>0</v>
      </c>
    </row>
    <row r="16" spans="1:20" s="3" customFormat="1" ht="24.95" customHeight="1">
      <c r="D16" s="21"/>
      <c r="E16" s="82"/>
      <c r="F16" s="82"/>
      <c r="G16" s="82"/>
      <c r="H16" s="82"/>
      <c r="I16" s="82"/>
      <c r="J16" s="82"/>
      <c r="K16" s="82"/>
      <c r="L16" s="82"/>
      <c r="M16" s="82"/>
      <c r="N16" s="82"/>
      <c r="O16" s="82"/>
      <c r="P16" s="82"/>
      <c r="Q16" s="82"/>
      <c r="S16" s="35"/>
      <c r="T16" s="40"/>
    </row>
    <row r="17" spans="1:20" s="3" customFormat="1" ht="24.95" customHeight="1">
      <c r="D17" s="21" t="s">
        <v>423</v>
      </c>
      <c r="E17" s="27"/>
      <c r="F17" s="96"/>
      <c r="G17" s="27"/>
      <c r="H17" s="96"/>
      <c r="I17" s="27"/>
      <c r="J17" s="96"/>
      <c r="K17" s="27"/>
      <c r="L17" s="96"/>
      <c r="M17" s="27"/>
      <c r="N17" s="96"/>
      <c r="O17" s="103"/>
      <c r="P17" s="103"/>
      <c r="Q17" s="103"/>
      <c r="S17" s="35"/>
      <c r="T17" s="40"/>
    </row>
    <row r="18" spans="1:20" s="3" customFormat="1" ht="24.95" hidden="1" customHeight="1">
      <c r="A18" s="3" t="s">
        <v>765</v>
      </c>
      <c r="B18" s="3" t="s">
        <v>720</v>
      </c>
      <c r="C18" s="49">
        <v>3401</v>
      </c>
      <c r="D18" s="26" t="s">
        <v>767</v>
      </c>
      <c r="E18" s="97">
        <v>0</v>
      </c>
      <c r="F18" s="97">
        <v>0</v>
      </c>
      <c r="G18" s="97">
        <v>0</v>
      </c>
      <c r="H18" s="97">
        <v>0</v>
      </c>
      <c r="I18" s="97">
        <v>0</v>
      </c>
      <c r="J18" s="97">
        <v>0</v>
      </c>
      <c r="K18" s="97">
        <v>0</v>
      </c>
      <c r="L18" s="97">
        <v>0</v>
      </c>
      <c r="M18" s="97">
        <v>0</v>
      </c>
      <c r="N18" s="97">
        <v>0</v>
      </c>
      <c r="O18" s="97">
        <v>0</v>
      </c>
      <c r="P18" s="97">
        <v>0</v>
      </c>
      <c r="Q18" s="103">
        <f>SUM(E18:P18)</f>
        <v>0</v>
      </c>
      <c r="S18" s="35"/>
      <c r="T18" s="40">
        <f t="shared" si="0"/>
        <v>0</v>
      </c>
    </row>
    <row r="19" spans="1:20" s="3" customFormat="1" ht="24.95" hidden="1" customHeight="1">
      <c r="A19" s="3" t="s">
        <v>765</v>
      </c>
      <c r="B19" s="3" t="s">
        <v>720</v>
      </c>
      <c r="C19" s="49"/>
      <c r="D19" s="26" t="s">
        <v>736</v>
      </c>
      <c r="E19" s="97">
        <v>0</v>
      </c>
      <c r="F19" s="97">
        <v>0</v>
      </c>
      <c r="G19" s="97">
        <v>0</v>
      </c>
      <c r="H19" s="97">
        <v>0</v>
      </c>
      <c r="I19" s="97">
        <v>0</v>
      </c>
      <c r="J19" s="97">
        <v>0</v>
      </c>
      <c r="K19" s="97">
        <v>0</v>
      </c>
      <c r="L19" s="97">
        <v>0</v>
      </c>
      <c r="M19" s="97">
        <v>0</v>
      </c>
      <c r="N19" s="97">
        <v>0</v>
      </c>
      <c r="O19" s="97">
        <v>0</v>
      </c>
      <c r="P19" s="97">
        <v>0</v>
      </c>
      <c r="Q19" s="103">
        <f t="shared" ref="Q19:Q33" si="2">SUM(E19:P19)</f>
        <v>0</v>
      </c>
      <c r="S19" s="35"/>
      <c r="T19" s="40">
        <f t="shared" si="0"/>
        <v>0</v>
      </c>
    </row>
    <row r="20" spans="1:20" s="3" customFormat="1" ht="24.95" hidden="1" customHeight="1">
      <c r="A20" s="3" t="s">
        <v>765</v>
      </c>
      <c r="B20" s="3" t="s">
        <v>720</v>
      </c>
      <c r="C20" s="49"/>
      <c r="D20" s="26" t="s">
        <v>738</v>
      </c>
      <c r="E20" s="97">
        <v>0</v>
      </c>
      <c r="F20" s="97">
        <v>0</v>
      </c>
      <c r="G20" s="97">
        <v>0</v>
      </c>
      <c r="H20" s="97">
        <v>0</v>
      </c>
      <c r="I20" s="97">
        <v>0</v>
      </c>
      <c r="J20" s="97">
        <v>0</v>
      </c>
      <c r="K20" s="97">
        <v>0</v>
      </c>
      <c r="L20" s="97">
        <v>0</v>
      </c>
      <c r="M20" s="97">
        <v>0</v>
      </c>
      <c r="N20" s="97">
        <v>0</v>
      </c>
      <c r="O20" s="97">
        <v>0</v>
      </c>
      <c r="P20" s="97">
        <v>0</v>
      </c>
      <c r="Q20" s="103">
        <f t="shared" si="2"/>
        <v>0</v>
      </c>
      <c r="S20" s="35"/>
      <c r="T20" s="40">
        <f t="shared" si="0"/>
        <v>0</v>
      </c>
    </row>
    <row r="21" spans="1:20" s="3" customFormat="1" ht="24.95" hidden="1" customHeight="1">
      <c r="A21" s="3" t="s">
        <v>765</v>
      </c>
      <c r="B21" s="3" t="s">
        <v>720</v>
      </c>
      <c r="C21" s="49"/>
      <c r="D21" s="78" t="s">
        <v>740</v>
      </c>
      <c r="E21" s="97">
        <v>0</v>
      </c>
      <c r="F21" s="97">
        <v>0</v>
      </c>
      <c r="G21" s="97">
        <v>0</v>
      </c>
      <c r="H21" s="97">
        <v>0</v>
      </c>
      <c r="I21" s="97">
        <v>0</v>
      </c>
      <c r="J21" s="97">
        <v>0</v>
      </c>
      <c r="K21" s="97">
        <v>0</v>
      </c>
      <c r="L21" s="97">
        <v>0</v>
      </c>
      <c r="M21" s="97">
        <v>0</v>
      </c>
      <c r="N21" s="97">
        <v>0</v>
      </c>
      <c r="O21" s="97">
        <v>0</v>
      </c>
      <c r="P21" s="97">
        <v>0</v>
      </c>
      <c r="Q21" s="103">
        <f t="shared" si="2"/>
        <v>0</v>
      </c>
      <c r="S21" s="35"/>
      <c r="T21" s="40">
        <f t="shared" si="0"/>
        <v>0</v>
      </c>
    </row>
    <row r="22" spans="1:20" s="3" customFormat="1" ht="24.95" hidden="1" customHeight="1">
      <c r="A22" s="3" t="s">
        <v>765</v>
      </c>
      <c r="B22" s="3" t="s">
        <v>720</v>
      </c>
      <c r="C22" s="49"/>
      <c r="D22" s="26" t="s">
        <v>768</v>
      </c>
      <c r="E22" s="97">
        <v>0</v>
      </c>
      <c r="F22" s="97">
        <v>0</v>
      </c>
      <c r="G22" s="97">
        <v>0</v>
      </c>
      <c r="H22" s="97">
        <v>0</v>
      </c>
      <c r="I22" s="97">
        <v>0</v>
      </c>
      <c r="J22" s="97">
        <v>0</v>
      </c>
      <c r="K22" s="97">
        <v>0</v>
      </c>
      <c r="L22" s="97">
        <v>0</v>
      </c>
      <c r="M22" s="97">
        <v>0</v>
      </c>
      <c r="N22" s="97">
        <v>0</v>
      </c>
      <c r="O22" s="97">
        <v>0</v>
      </c>
      <c r="P22" s="97">
        <v>0</v>
      </c>
      <c r="Q22" s="103">
        <f t="shared" si="2"/>
        <v>0</v>
      </c>
      <c r="S22" s="35"/>
      <c r="T22" s="40">
        <f t="shared" si="0"/>
        <v>0</v>
      </c>
    </row>
    <row r="23" spans="1:20" s="3" customFormat="1" ht="24.95" hidden="1" customHeight="1">
      <c r="A23" s="3" t="s">
        <v>765</v>
      </c>
      <c r="B23" s="3" t="s">
        <v>720</v>
      </c>
      <c r="C23" s="49"/>
      <c r="D23" s="26" t="s">
        <v>744</v>
      </c>
      <c r="E23" s="97">
        <v>0</v>
      </c>
      <c r="F23" s="97">
        <v>0</v>
      </c>
      <c r="G23" s="97">
        <v>0</v>
      </c>
      <c r="H23" s="97">
        <v>0</v>
      </c>
      <c r="I23" s="97">
        <v>0</v>
      </c>
      <c r="J23" s="97">
        <v>0</v>
      </c>
      <c r="K23" s="97">
        <v>0</v>
      </c>
      <c r="L23" s="97">
        <v>0</v>
      </c>
      <c r="M23" s="97">
        <v>0</v>
      </c>
      <c r="N23" s="97">
        <v>0</v>
      </c>
      <c r="O23" s="97">
        <v>0</v>
      </c>
      <c r="P23" s="97">
        <v>0</v>
      </c>
      <c r="Q23" s="103">
        <f t="shared" si="2"/>
        <v>0</v>
      </c>
      <c r="S23" s="35"/>
      <c r="T23" s="40">
        <f t="shared" si="0"/>
        <v>0</v>
      </c>
    </row>
    <row r="24" spans="1:20" s="3" customFormat="1" ht="24.95" hidden="1" customHeight="1">
      <c r="A24" s="3" t="s">
        <v>765</v>
      </c>
      <c r="B24" s="3" t="s">
        <v>720</v>
      </c>
      <c r="C24" s="49"/>
      <c r="D24" s="26" t="s">
        <v>746</v>
      </c>
      <c r="E24" s="97">
        <v>0</v>
      </c>
      <c r="F24" s="97">
        <v>0</v>
      </c>
      <c r="G24" s="97">
        <v>0</v>
      </c>
      <c r="H24" s="97">
        <v>0</v>
      </c>
      <c r="I24" s="97">
        <v>0</v>
      </c>
      <c r="J24" s="97">
        <v>0</v>
      </c>
      <c r="K24" s="97">
        <v>0</v>
      </c>
      <c r="L24" s="97">
        <v>0</v>
      </c>
      <c r="M24" s="97">
        <v>0</v>
      </c>
      <c r="N24" s="97">
        <v>0</v>
      </c>
      <c r="O24" s="97">
        <v>0</v>
      </c>
      <c r="P24" s="97">
        <v>0</v>
      </c>
      <c r="Q24" s="103">
        <f t="shared" si="2"/>
        <v>0</v>
      </c>
      <c r="S24" s="35"/>
      <c r="T24" s="40">
        <f t="shared" si="0"/>
        <v>0</v>
      </c>
    </row>
    <row r="25" spans="1:20" s="3" customFormat="1" ht="24.95" hidden="1" customHeight="1">
      <c r="A25" s="3" t="s">
        <v>765</v>
      </c>
      <c r="B25" s="3" t="s">
        <v>720</v>
      </c>
      <c r="C25" s="49"/>
      <c r="D25" s="26" t="s">
        <v>748</v>
      </c>
      <c r="E25" s="97">
        <v>0</v>
      </c>
      <c r="F25" s="97">
        <v>0</v>
      </c>
      <c r="G25" s="97">
        <v>0</v>
      </c>
      <c r="H25" s="97">
        <v>0</v>
      </c>
      <c r="I25" s="97">
        <v>0</v>
      </c>
      <c r="J25" s="97">
        <v>0</v>
      </c>
      <c r="K25" s="97">
        <v>0</v>
      </c>
      <c r="L25" s="97">
        <v>0</v>
      </c>
      <c r="M25" s="97">
        <v>0</v>
      </c>
      <c r="N25" s="97">
        <v>0</v>
      </c>
      <c r="O25" s="97">
        <v>0</v>
      </c>
      <c r="P25" s="97">
        <v>0</v>
      </c>
      <c r="Q25" s="103">
        <f t="shared" si="2"/>
        <v>0</v>
      </c>
      <c r="S25" s="35"/>
      <c r="T25" s="40">
        <f t="shared" si="0"/>
        <v>0</v>
      </c>
    </row>
    <row r="26" spans="1:20" s="3" customFormat="1" ht="24.95" hidden="1" customHeight="1">
      <c r="A26" s="3" t="s">
        <v>765</v>
      </c>
      <c r="B26" s="3" t="s">
        <v>720</v>
      </c>
      <c r="C26" s="49"/>
      <c r="D26" s="26" t="s">
        <v>750</v>
      </c>
      <c r="E26" s="97">
        <v>0</v>
      </c>
      <c r="F26" s="97">
        <v>0</v>
      </c>
      <c r="G26" s="97">
        <v>0</v>
      </c>
      <c r="H26" s="97">
        <v>0</v>
      </c>
      <c r="I26" s="97">
        <v>0</v>
      </c>
      <c r="J26" s="97">
        <v>0</v>
      </c>
      <c r="K26" s="97">
        <v>0</v>
      </c>
      <c r="L26" s="97">
        <v>0</v>
      </c>
      <c r="M26" s="97">
        <v>0</v>
      </c>
      <c r="N26" s="97">
        <v>0</v>
      </c>
      <c r="O26" s="97">
        <v>0</v>
      </c>
      <c r="P26" s="97">
        <v>0</v>
      </c>
      <c r="Q26" s="103">
        <f t="shared" si="2"/>
        <v>0</v>
      </c>
      <c r="S26" s="35"/>
      <c r="T26" s="40">
        <f t="shared" si="0"/>
        <v>0</v>
      </c>
    </row>
    <row r="27" spans="1:20" s="3" customFormat="1" ht="24.95" hidden="1" customHeight="1">
      <c r="A27" s="3" t="s">
        <v>765</v>
      </c>
      <c r="B27" s="3" t="s">
        <v>720</v>
      </c>
      <c r="C27" s="49"/>
      <c r="D27" s="26" t="s">
        <v>752</v>
      </c>
      <c r="E27" s="97">
        <v>0</v>
      </c>
      <c r="F27" s="97">
        <v>0</v>
      </c>
      <c r="G27" s="97">
        <v>0</v>
      </c>
      <c r="H27" s="97">
        <v>0</v>
      </c>
      <c r="I27" s="97">
        <v>0</v>
      </c>
      <c r="J27" s="97">
        <v>0</v>
      </c>
      <c r="K27" s="97">
        <v>0</v>
      </c>
      <c r="L27" s="97">
        <v>0</v>
      </c>
      <c r="M27" s="97">
        <v>0</v>
      </c>
      <c r="N27" s="97">
        <v>0</v>
      </c>
      <c r="O27" s="97">
        <v>0</v>
      </c>
      <c r="P27" s="97">
        <v>0</v>
      </c>
      <c r="Q27" s="103">
        <f t="shared" si="2"/>
        <v>0</v>
      </c>
      <c r="S27" s="35"/>
      <c r="T27" s="40">
        <f t="shared" si="0"/>
        <v>0</v>
      </c>
    </row>
    <row r="28" spans="1:20" s="3" customFormat="1" ht="24.95" hidden="1" customHeight="1">
      <c r="A28" s="3" t="s">
        <v>765</v>
      </c>
      <c r="B28" s="3" t="s">
        <v>720</v>
      </c>
      <c r="C28" s="49"/>
      <c r="D28" s="26" t="s">
        <v>769</v>
      </c>
      <c r="E28" s="97">
        <v>0</v>
      </c>
      <c r="F28" s="97">
        <v>0</v>
      </c>
      <c r="G28" s="97">
        <v>0</v>
      </c>
      <c r="H28" s="97">
        <v>0</v>
      </c>
      <c r="I28" s="97">
        <v>0</v>
      </c>
      <c r="J28" s="97">
        <v>0</v>
      </c>
      <c r="K28" s="97">
        <v>0</v>
      </c>
      <c r="L28" s="97">
        <v>0</v>
      </c>
      <c r="M28" s="97">
        <v>0</v>
      </c>
      <c r="N28" s="97">
        <v>0</v>
      </c>
      <c r="O28" s="97">
        <v>0</v>
      </c>
      <c r="P28" s="97">
        <v>0</v>
      </c>
      <c r="Q28" s="103">
        <f t="shared" si="2"/>
        <v>0</v>
      </c>
      <c r="S28" s="35"/>
      <c r="T28" s="40">
        <f t="shared" si="0"/>
        <v>0</v>
      </c>
    </row>
    <row r="29" spans="1:20" s="3" customFormat="1" ht="24.95" hidden="1" customHeight="1">
      <c r="A29" s="3" t="s">
        <v>765</v>
      </c>
      <c r="B29" s="3" t="s">
        <v>720</v>
      </c>
      <c r="C29" s="49"/>
      <c r="D29" s="26" t="s">
        <v>754</v>
      </c>
      <c r="E29" s="97">
        <v>0</v>
      </c>
      <c r="F29" s="97">
        <v>0</v>
      </c>
      <c r="G29" s="97">
        <v>0</v>
      </c>
      <c r="H29" s="97">
        <v>0</v>
      </c>
      <c r="I29" s="97">
        <v>0</v>
      </c>
      <c r="J29" s="97">
        <v>0</v>
      </c>
      <c r="K29" s="97">
        <v>0</v>
      </c>
      <c r="L29" s="97">
        <v>0</v>
      </c>
      <c r="M29" s="97">
        <v>0</v>
      </c>
      <c r="N29" s="97">
        <v>0</v>
      </c>
      <c r="O29" s="97">
        <v>0</v>
      </c>
      <c r="P29" s="97">
        <v>0</v>
      </c>
      <c r="Q29" s="103">
        <f t="shared" si="2"/>
        <v>0</v>
      </c>
      <c r="S29" s="35"/>
      <c r="T29" s="40">
        <f t="shared" si="0"/>
        <v>0</v>
      </c>
    </row>
    <row r="30" spans="1:20" s="3" customFormat="1" ht="24.95" hidden="1" customHeight="1">
      <c r="A30" s="3" t="s">
        <v>765</v>
      </c>
      <c r="B30" s="3" t="s">
        <v>720</v>
      </c>
      <c r="C30" s="49"/>
      <c r="D30" s="26" t="s">
        <v>756</v>
      </c>
      <c r="E30" s="97">
        <v>0</v>
      </c>
      <c r="F30" s="97">
        <v>0</v>
      </c>
      <c r="G30" s="97">
        <v>0</v>
      </c>
      <c r="H30" s="97">
        <v>0</v>
      </c>
      <c r="I30" s="97">
        <v>0</v>
      </c>
      <c r="J30" s="97">
        <v>0</v>
      </c>
      <c r="K30" s="97">
        <v>0</v>
      </c>
      <c r="L30" s="97">
        <v>0</v>
      </c>
      <c r="M30" s="97">
        <v>0</v>
      </c>
      <c r="N30" s="97">
        <v>0</v>
      </c>
      <c r="O30" s="97">
        <v>0</v>
      </c>
      <c r="P30" s="97">
        <v>0</v>
      </c>
      <c r="Q30" s="103">
        <f t="shared" si="2"/>
        <v>0</v>
      </c>
      <c r="S30" s="35"/>
      <c r="T30" s="40">
        <f t="shared" si="0"/>
        <v>0</v>
      </c>
    </row>
    <row r="31" spans="1:20" s="3" customFormat="1" ht="24.95" hidden="1" customHeight="1">
      <c r="A31" s="3" t="s">
        <v>765</v>
      </c>
      <c r="B31" s="3" t="s">
        <v>720</v>
      </c>
      <c r="C31" s="49"/>
      <c r="D31" s="26" t="s">
        <v>758</v>
      </c>
      <c r="E31" s="97">
        <v>0</v>
      </c>
      <c r="F31" s="97">
        <v>0</v>
      </c>
      <c r="G31" s="97">
        <v>0</v>
      </c>
      <c r="H31" s="97">
        <v>0</v>
      </c>
      <c r="I31" s="97">
        <v>0</v>
      </c>
      <c r="J31" s="97">
        <v>0</v>
      </c>
      <c r="K31" s="97">
        <v>0</v>
      </c>
      <c r="L31" s="97">
        <v>0</v>
      </c>
      <c r="M31" s="97">
        <v>0</v>
      </c>
      <c r="N31" s="97">
        <v>0</v>
      </c>
      <c r="O31" s="97">
        <v>0</v>
      </c>
      <c r="P31" s="97">
        <v>0</v>
      </c>
      <c r="Q31" s="103">
        <f t="shared" si="2"/>
        <v>0</v>
      </c>
      <c r="S31" s="35"/>
      <c r="T31" s="40">
        <f t="shared" si="0"/>
        <v>0</v>
      </c>
    </row>
    <row r="32" spans="1:20" s="3" customFormat="1" ht="24.95" hidden="1" customHeight="1">
      <c r="A32" s="3" t="s">
        <v>765</v>
      </c>
      <c r="B32" s="3" t="s">
        <v>720</v>
      </c>
      <c r="C32" s="49"/>
      <c r="D32" s="26" t="s">
        <v>760</v>
      </c>
      <c r="E32" s="97">
        <v>0</v>
      </c>
      <c r="F32" s="97">
        <v>0</v>
      </c>
      <c r="G32" s="97">
        <v>0</v>
      </c>
      <c r="H32" s="97">
        <v>0</v>
      </c>
      <c r="I32" s="97">
        <v>0</v>
      </c>
      <c r="J32" s="97">
        <v>0</v>
      </c>
      <c r="K32" s="97">
        <v>0</v>
      </c>
      <c r="L32" s="97">
        <v>0</v>
      </c>
      <c r="M32" s="97">
        <v>0</v>
      </c>
      <c r="N32" s="97">
        <v>0</v>
      </c>
      <c r="O32" s="97">
        <v>0</v>
      </c>
      <c r="P32" s="97">
        <v>0</v>
      </c>
      <c r="Q32" s="103">
        <f t="shared" si="2"/>
        <v>0</v>
      </c>
      <c r="S32" s="35"/>
      <c r="T32" s="40">
        <f t="shared" si="0"/>
        <v>0</v>
      </c>
    </row>
    <row r="33" spans="1:20" s="3" customFormat="1" ht="24.95" customHeight="1">
      <c r="A33" s="3" t="s">
        <v>765</v>
      </c>
      <c r="B33" s="3" t="s">
        <v>720</v>
      </c>
      <c r="D33" s="26" t="s">
        <v>762</v>
      </c>
      <c r="E33" s="97">
        <v>0</v>
      </c>
      <c r="F33" s="97">
        <v>0</v>
      </c>
      <c r="G33" s="97">
        <v>0</v>
      </c>
      <c r="H33" s="97">
        <v>0</v>
      </c>
      <c r="I33" s="97">
        <v>0</v>
      </c>
      <c r="J33" s="97">
        <v>0</v>
      </c>
      <c r="K33" s="97">
        <v>0</v>
      </c>
      <c r="L33" s="97">
        <v>0</v>
      </c>
      <c r="M33" s="97">
        <v>0</v>
      </c>
      <c r="N33" s="97">
        <v>0</v>
      </c>
      <c r="O33" s="97">
        <v>0</v>
      </c>
      <c r="P33" s="97">
        <v>0</v>
      </c>
      <c r="Q33" s="103">
        <f t="shared" si="2"/>
        <v>0</v>
      </c>
      <c r="S33" s="35"/>
      <c r="T33" s="40">
        <f>-IF(Q33-S33=0,0,(Q33-S33)/S33)</f>
        <v>0</v>
      </c>
    </row>
    <row r="34" spans="1:20" s="19" customFormat="1" ht="24.95" customHeight="1">
      <c r="A34" s="3" t="s">
        <v>770</v>
      </c>
      <c r="B34" s="3" t="s">
        <v>720</v>
      </c>
      <c r="C34" s="3"/>
      <c r="D34" s="21" t="s">
        <v>771</v>
      </c>
      <c r="E34" s="98">
        <f>SUM(E18:E33)</f>
        <v>0</v>
      </c>
      <c r="F34" s="98">
        <f t="shared" ref="F34:Q34" si="3">SUM(F18:F33)</f>
        <v>0</v>
      </c>
      <c r="G34" s="98">
        <f t="shared" si="3"/>
        <v>0</v>
      </c>
      <c r="H34" s="98">
        <f t="shared" si="3"/>
        <v>0</v>
      </c>
      <c r="I34" s="98">
        <f t="shared" si="3"/>
        <v>0</v>
      </c>
      <c r="J34" s="98">
        <f t="shared" si="3"/>
        <v>0</v>
      </c>
      <c r="K34" s="98">
        <f t="shared" si="3"/>
        <v>0</v>
      </c>
      <c r="L34" s="98">
        <f t="shared" si="3"/>
        <v>0</v>
      </c>
      <c r="M34" s="98">
        <f t="shared" si="3"/>
        <v>0</v>
      </c>
      <c r="N34" s="98">
        <f t="shared" si="3"/>
        <v>0</v>
      </c>
      <c r="O34" s="98">
        <f t="shared" si="3"/>
        <v>0</v>
      </c>
      <c r="P34" s="98">
        <f t="shared" si="3"/>
        <v>0</v>
      </c>
      <c r="Q34" s="98">
        <f t="shared" si="3"/>
        <v>0</v>
      </c>
      <c r="R34" s="3"/>
      <c r="S34" s="35"/>
      <c r="T34" s="40">
        <f t="shared" ref="T34:T35" si="4">-IF(Q34-S34=0,0,(Q34-S34)/S34)</f>
        <v>0</v>
      </c>
    </row>
    <row r="35" spans="1:20" s="19" customFormat="1" ht="24.95" customHeight="1">
      <c r="A35" s="19" t="s">
        <v>482</v>
      </c>
      <c r="B35" s="3" t="s">
        <v>720</v>
      </c>
      <c r="D35" s="19" t="s">
        <v>772</v>
      </c>
      <c r="E35" s="99">
        <f>E141</f>
        <v>0</v>
      </c>
      <c r="F35" s="99">
        <f t="shared" ref="F35:P35" si="5">F141</f>
        <v>0</v>
      </c>
      <c r="G35" s="99">
        <f t="shared" si="5"/>
        <v>0</v>
      </c>
      <c r="H35" s="99">
        <f t="shared" si="5"/>
        <v>0</v>
      </c>
      <c r="I35" s="99">
        <f t="shared" si="5"/>
        <v>0</v>
      </c>
      <c r="J35" s="99">
        <f t="shared" si="5"/>
        <v>0</v>
      </c>
      <c r="K35" s="99">
        <f t="shared" si="5"/>
        <v>0</v>
      </c>
      <c r="L35" s="99">
        <f t="shared" si="5"/>
        <v>0</v>
      </c>
      <c r="M35" s="99">
        <f t="shared" si="5"/>
        <v>0</v>
      </c>
      <c r="N35" s="99">
        <f t="shared" si="5"/>
        <v>0</v>
      </c>
      <c r="O35" s="99">
        <f t="shared" si="5"/>
        <v>0</v>
      </c>
      <c r="P35" s="99">
        <f t="shared" si="5"/>
        <v>0</v>
      </c>
      <c r="Q35" s="104">
        <f>SUM(E35:P35)</f>
        <v>0</v>
      </c>
      <c r="R35" s="39" t="e">
        <f>Q35/$Q$15</f>
        <v>#DIV/0!</v>
      </c>
      <c r="S35" s="35"/>
      <c r="T35" s="40">
        <f t="shared" si="4"/>
        <v>0</v>
      </c>
    </row>
    <row r="36" spans="1:20" s="19" customFormat="1" ht="24.95" customHeight="1">
      <c r="D36" s="26"/>
      <c r="E36" s="99"/>
      <c r="F36" s="99"/>
      <c r="G36" s="99"/>
      <c r="H36" s="99"/>
      <c r="I36" s="99"/>
      <c r="J36" s="99"/>
      <c r="K36" s="99"/>
      <c r="L36" s="99"/>
      <c r="M36" s="99"/>
      <c r="N36" s="99"/>
      <c r="O36" s="99"/>
      <c r="P36" s="99"/>
      <c r="Q36" s="103"/>
      <c r="R36" s="3"/>
      <c r="S36" s="35"/>
      <c r="T36" s="40"/>
    </row>
    <row r="37" spans="1:20" s="19" customFormat="1" ht="24.95" customHeight="1">
      <c r="D37" s="21" t="s">
        <v>773</v>
      </c>
      <c r="E37" s="99"/>
      <c r="F37" s="99"/>
      <c r="G37" s="99"/>
      <c r="H37" s="99"/>
      <c r="I37" s="99"/>
      <c r="J37" s="99"/>
      <c r="K37" s="99"/>
      <c r="L37" s="99"/>
      <c r="M37" s="99"/>
      <c r="N37" s="99"/>
      <c r="O37" s="99"/>
      <c r="P37" s="99"/>
      <c r="Q37" s="103"/>
      <c r="R37" s="3"/>
      <c r="S37" s="35"/>
      <c r="T37" s="40"/>
    </row>
    <row r="38" spans="1:20" s="19" customFormat="1" ht="24.95" hidden="1" customHeight="1">
      <c r="A38" s="19" t="s">
        <v>484</v>
      </c>
      <c r="B38" s="3" t="s">
        <v>720</v>
      </c>
      <c r="D38" s="26" t="s">
        <v>141</v>
      </c>
      <c r="E38" s="97">
        <v>0</v>
      </c>
      <c r="F38" s="97">
        <v>0</v>
      </c>
      <c r="G38" s="97">
        <v>0</v>
      </c>
      <c r="H38" s="97">
        <v>0</v>
      </c>
      <c r="I38" s="97">
        <v>0</v>
      </c>
      <c r="J38" s="97">
        <v>0</v>
      </c>
      <c r="K38" s="97">
        <v>0</v>
      </c>
      <c r="L38" s="97">
        <v>0</v>
      </c>
      <c r="M38" s="97">
        <v>0</v>
      </c>
      <c r="N38" s="97">
        <v>0</v>
      </c>
      <c r="O38" s="97">
        <v>0</v>
      </c>
      <c r="P38" s="97">
        <v>0</v>
      </c>
      <c r="Q38" s="103">
        <f>SUM(E38:P38)</f>
        <v>0</v>
      </c>
      <c r="R38" s="3"/>
      <c r="S38" s="35"/>
      <c r="T38" s="40">
        <f t="shared" si="0"/>
        <v>0</v>
      </c>
    </row>
    <row r="39" spans="1:20" s="19" customFormat="1" ht="24.95" hidden="1" customHeight="1">
      <c r="A39" s="19" t="s">
        <v>486</v>
      </c>
      <c r="B39" s="3" t="s">
        <v>720</v>
      </c>
      <c r="D39" s="26" t="s">
        <v>143</v>
      </c>
      <c r="E39" s="97">
        <v>0</v>
      </c>
      <c r="F39" s="97">
        <v>0</v>
      </c>
      <c r="G39" s="97">
        <v>0</v>
      </c>
      <c r="H39" s="97">
        <v>0</v>
      </c>
      <c r="I39" s="97">
        <v>0</v>
      </c>
      <c r="J39" s="97">
        <v>0</v>
      </c>
      <c r="K39" s="97">
        <v>0</v>
      </c>
      <c r="L39" s="97">
        <v>0</v>
      </c>
      <c r="M39" s="97">
        <v>0</v>
      </c>
      <c r="N39" s="97">
        <v>0</v>
      </c>
      <c r="O39" s="97">
        <v>0</v>
      </c>
      <c r="P39" s="97">
        <v>0</v>
      </c>
      <c r="Q39" s="103">
        <f t="shared" ref="Q39:Q102" si="6">SUM(E39:P39)</f>
        <v>0</v>
      </c>
      <c r="R39" s="3"/>
      <c r="S39" s="35"/>
      <c r="T39" s="40">
        <f t="shared" si="0"/>
        <v>0</v>
      </c>
    </row>
    <row r="40" spans="1:20" s="19" customFormat="1" ht="24.95" hidden="1" customHeight="1">
      <c r="A40" s="19" t="s">
        <v>488</v>
      </c>
      <c r="B40" s="3" t="s">
        <v>720</v>
      </c>
      <c r="D40" s="26" t="s">
        <v>145</v>
      </c>
      <c r="E40" s="97">
        <v>0</v>
      </c>
      <c r="F40" s="97">
        <v>0</v>
      </c>
      <c r="G40" s="97">
        <v>0</v>
      </c>
      <c r="H40" s="97">
        <v>0</v>
      </c>
      <c r="I40" s="97">
        <v>0</v>
      </c>
      <c r="J40" s="97">
        <v>0</v>
      </c>
      <c r="K40" s="97">
        <v>0</v>
      </c>
      <c r="L40" s="97">
        <v>0</v>
      </c>
      <c r="M40" s="97">
        <v>0</v>
      </c>
      <c r="N40" s="97">
        <v>0</v>
      </c>
      <c r="O40" s="97">
        <v>0</v>
      </c>
      <c r="P40" s="97">
        <v>0</v>
      </c>
      <c r="Q40" s="103">
        <f t="shared" si="6"/>
        <v>0</v>
      </c>
      <c r="R40" s="3"/>
      <c r="S40" s="35"/>
      <c r="T40" s="40">
        <f t="shared" si="0"/>
        <v>0</v>
      </c>
    </row>
    <row r="41" spans="1:20" s="19" customFormat="1" ht="24.95" hidden="1" customHeight="1">
      <c r="A41" s="19" t="s">
        <v>490</v>
      </c>
      <c r="B41" s="3" t="s">
        <v>720</v>
      </c>
      <c r="D41" s="26" t="s">
        <v>147</v>
      </c>
      <c r="E41" s="97">
        <v>0</v>
      </c>
      <c r="F41" s="97">
        <v>0</v>
      </c>
      <c r="G41" s="97">
        <v>0</v>
      </c>
      <c r="H41" s="97">
        <v>0</v>
      </c>
      <c r="I41" s="97">
        <v>0</v>
      </c>
      <c r="J41" s="97">
        <v>0</v>
      </c>
      <c r="K41" s="97">
        <v>0</v>
      </c>
      <c r="L41" s="97">
        <v>0</v>
      </c>
      <c r="M41" s="97">
        <v>0</v>
      </c>
      <c r="N41" s="97">
        <v>0</v>
      </c>
      <c r="O41" s="97">
        <v>0</v>
      </c>
      <c r="P41" s="97">
        <v>0</v>
      </c>
      <c r="Q41" s="103">
        <f t="shared" si="6"/>
        <v>0</v>
      </c>
      <c r="R41" s="3"/>
      <c r="S41" s="35"/>
      <c r="T41" s="40">
        <f t="shared" si="0"/>
        <v>0</v>
      </c>
    </row>
    <row r="42" spans="1:20" s="19" customFormat="1" ht="24.95" hidden="1" customHeight="1">
      <c r="A42" s="19" t="s">
        <v>492</v>
      </c>
      <c r="B42" s="3" t="s">
        <v>720</v>
      </c>
      <c r="D42" s="26" t="s">
        <v>149</v>
      </c>
      <c r="E42" s="97">
        <v>0</v>
      </c>
      <c r="F42" s="97">
        <v>0</v>
      </c>
      <c r="G42" s="97">
        <v>0</v>
      </c>
      <c r="H42" s="97">
        <v>0</v>
      </c>
      <c r="I42" s="97">
        <v>0</v>
      </c>
      <c r="J42" s="97">
        <v>0</v>
      </c>
      <c r="K42" s="97">
        <v>0</v>
      </c>
      <c r="L42" s="97">
        <v>0</v>
      </c>
      <c r="M42" s="97">
        <v>0</v>
      </c>
      <c r="N42" s="97">
        <v>0</v>
      </c>
      <c r="O42" s="97">
        <v>0</v>
      </c>
      <c r="P42" s="97">
        <v>0</v>
      </c>
      <c r="Q42" s="103">
        <f t="shared" si="6"/>
        <v>0</v>
      </c>
      <c r="R42" s="3"/>
      <c r="S42" s="35"/>
      <c r="T42" s="40">
        <f t="shared" si="0"/>
        <v>0</v>
      </c>
    </row>
    <row r="43" spans="1:20" s="19" customFormat="1" ht="24.95" customHeight="1">
      <c r="A43" s="19" t="s">
        <v>494</v>
      </c>
      <c r="B43" s="3" t="s">
        <v>720</v>
      </c>
      <c r="D43" s="26" t="s">
        <v>151</v>
      </c>
      <c r="E43" s="97"/>
      <c r="F43" s="97"/>
      <c r="G43" s="97"/>
      <c r="H43" s="97"/>
      <c r="I43" s="97"/>
      <c r="J43" s="97"/>
      <c r="K43" s="97"/>
      <c r="L43" s="97"/>
      <c r="M43" s="97"/>
      <c r="N43" s="97"/>
      <c r="O43" s="97"/>
      <c r="P43" s="97"/>
      <c r="Q43" s="103">
        <f t="shared" si="6"/>
        <v>0</v>
      </c>
      <c r="R43" s="39" t="e">
        <f t="shared" ref="R43:R53" si="7">Q43/$Q$15</f>
        <v>#DIV/0!</v>
      </c>
      <c r="S43" s="35"/>
      <c r="T43" s="40">
        <f>-IF(S43&lt;&gt;0,(Q43-S43)/S43,1)</f>
        <v>-1</v>
      </c>
    </row>
    <row r="44" spans="1:20" s="19" customFormat="1" ht="24.95" hidden="1" customHeight="1">
      <c r="A44" s="19" t="s">
        <v>496</v>
      </c>
      <c r="B44" s="3" t="s">
        <v>720</v>
      </c>
      <c r="D44" s="26" t="s">
        <v>153</v>
      </c>
      <c r="E44" s="97"/>
      <c r="F44" s="97"/>
      <c r="G44" s="97"/>
      <c r="H44" s="97"/>
      <c r="I44" s="97"/>
      <c r="J44" s="97"/>
      <c r="K44" s="97"/>
      <c r="L44" s="97"/>
      <c r="M44" s="97"/>
      <c r="N44" s="97"/>
      <c r="O44" s="97"/>
      <c r="P44" s="97"/>
      <c r="Q44" s="103">
        <f t="shared" si="6"/>
        <v>0</v>
      </c>
      <c r="R44" s="39" t="e">
        <f t="shared" si="7"/>
        <v>#DIV/0!</v>
      </c>
      <c r="S44" s="35"/>
      <c r="T44" s="40">
        <f t="shared" ref="T44:T106" si="8">-IF(S44&lt;&gt;0,(Q44-S44)/S44,1)</f>
        <v>-1</v>
      </c>
    </row>
    <row r="45" spans="1:20" s="19" customFormat="1" ht="24.95" hidden="1" customHeight="1">
      <c r="A45" s="19" t="s">
        <v>498</v>
      </c>
      <c r="B45" s="3" t="s">
        <v>720</v>
      </c>
      <c r="D45" s="26" t="s">
        <v>155</v>
      </c>
      <c r="E45" s="97"/>
      <c r="F45" s="97"/>
      <c r="G45" s="97"/>
      <c r="H45" s="97"/>
      <c r="I45" s="97"/>
      <c r="J45" s="97"/>
      <c r="K45" s="97"/>
      <c r="L45" s="97"/>
      <c r="M45" s="97"/>
      <c r="N45" s="97"/>
      <c r="O45" s="97"/>
      <c r="P45" s="97"/>
      <c r="Q45" s="103">
        <f t="shared" si="6"/>
        <v>0</v>
      </c>
      <c r="R45" s="39" t="e">
        <f t="shared" si="7"/>
        <v>#DIV/0!</v>
      </c>
      <c r="S45" s="35"/>
      <c r="T45" s="40">
        <f t="shared" si="8"/>
        <v>-1</v>
      </c>
    </row>
    <row r="46" spans="1:20" s="19" customFormat="1" ht="24.95" customHeight="1">
      <c r="A46" s="19" t="s">
        <v>500</v>
      </c>
      <c r="B46" s="3" t="s">
        <v>720</v>
      </c>
      <c r="D46" s="26" t="s">
        <v>157</v>
      </c>
      <c r="E46" s="97"/>
      <c r="F46" s="97"/>
      <c r="G46" s="97"/>
      <c r="H46" s="97"/>
      <c r="I46" s="97"/>
      <c r="J46" s="97"/>
      <c r="K46" s="97"/>
      <c r="L46" s="97"/>
      <c r="M46" s="97"/>
      <c r="N46" s="97"/>
      <c r="O46" s="97"/>
      <c r="P46" s="97"/>
      <c r="Q46" s="103">
        <f t="shared" si="6"/>
        <v>0</v>
      </c>
      <c r="R46" s="39" t="e">
        <f t="shared" si="7"/>
        <v>#DIV/0!</v>
      </c>
      <c r="S46" s="35"/>
      <c r="T46" s="40">
        <f t="shared" si="8"/>
        <v>-1</v>
      </c>
    </row>
    <row r="47" spans="1:20" s="19" customFormat="1" ht="24.95" hidden="1" customHeight="1">
      <c r="A47" s="19" t="s">
        <v>502</v>
      </c>
      <c r="B47" s="3" t="s">
        <v>720</v>
      </c>
      <c r="D47" s="26" t="s">
        <v>159</v>
      </c>
      <c r="E47" s="97"/>
      <c r="F47" s="97"/>
      <c r="G47" s="97"/>
      <c r="H47" s="97"/>
      <c r="I47" s="97"/>
      <c r="J47" s="97"/>
      <c r="K47" s="97"/>
      <c r="L47" s="97"/>
      <c r="M47" s="97"/>
      <c r="N47" s="97"/>
      <c r="O47" s="97"/>
      <c r="P47" s="97"/>
      <c r="Q47" s="103">
        <f t="shared" si="6"/>
        <v>0</v>
      </c>
      <c r="R47" s="39" t="e">
        <f t="shared" si="7"/>
        <v>#DIV/0!</v>
      </c>
      <c r="S47" s="35"/>
      <c r="T47" s="40">
        <f t="shared" si="8"/>
        <v>-1</v>
      </c>
    </row>
    <row r="48" spans="1:20" s="19" customFormat="1" ht="24.95" hidden="1" customHeight="1">
      <c r="A48" s="19" t="s">
        <v>504</v>
      </c>
      <c r="B48" s="3" t="s">
        <v>720</v>
      </c>
      <c r="D48" s="26" t="s">
        <v>161</v>
      </c>
      <c r="E48" s="97"/>
      <c r="F48" s="97"/>
      <c r="G48" s="97"/>
      <c r="H48" s="97"/>
      <c r="I48" s="97"/>
      <c r="J48" s="97"/>
      <c r="K48" s="97"/>
      <c r="L48" s="97"/>
      <c r="M48" s="97"/>
      <c r="N48" s="97"/>
      <c r="O48" s="97"/>
      <c r="P48" s="97"/>
      <c r="Q48" s="103">
        <f t="shared" si="6"/>
        <v>0</v>
      </c>
      <c r="R48" s="39" t="e">
        <f t="shared" si="7"/>
        <v>#DIV/0!</v>
      </c>
      <c r="S48" s="35"/>
      <c r="T48" s="40">
        <f t="shared" si="8"/>
        <v>-1</v>
      </c>
    </row>
    <row r="49" spans="1:20" s="19" customFormat="1" ht="24.95" hidden="1" customHeight="1">
      <c r="A49" s="19" t="s">
        <v>506</v>
      </c>
      <c r="B49" s="3" t="s">
        <v>720</v>
      </c>
      <c r="D49" s="26" t="s">
        <v>163</v>
      </c>
      <c r="E49" s="97"/>
      <c r="F49" s="97"/>
      <c r="G49" s="97"/>
      <c r="H49" s="97"/>
      <c r="I49" s="97"/>
      <c r="J49" s="97"/>
      <c r="K49" s="97"/>
      <c r="L49" s="97"/>
      <c r="M49" s="97"/>
      <c r="N49" s="97"/>
      <c r="O49" s="97"/>
      <c r="P49" s="97"/>
      <c r="Q49" s="103">
        <f t="shared" si="6"/>
        <v>0</v>
      </c>
      <c r="R49" s="39" t="e">
        <f t="shared" si="7"/>
        <v>#DIV/0!</v>
      </c>
      <c r="S49" s="35"/>
      <c r="T49" s="40">
        <f t="shared" si="8"/>
        <v>-1</v>
      </c>
    </row>
    <row r="50" spans="1:20" s="19" customFormat="1" ht="24.95" hidden="1" customHeight="1">
      <c r="A50" s="19" t="s">
        <v>508</v>
      </c>
      <c r="B50" s="3" t="s">
        <v>720</v>
      </c>
      <c r="D50" s="26" t="s">
        <v>165</v>
      </c>
      <c r="E50" s="97"/>
      <c r="F50" s="97"/>
      <c r="G50" s="97"/>
      <c r="H50" s="97"/>
      <c r="I50" s="97"/>
      <c r="J50" s="97"/>
      <c r="K50" s="97"/>
      <c r="L50" s="97"/>
      <c r="M50" s="97"/>
      <c r="N50" s="97"/>
      <c r="O50" s="97"/>
      <c r="P50" s="97"/>
      <c r="Q50" s="103">
        <f t="shared" si="6"/>
        <v>0</v>
      </c>
      <c r="R50" s="39" t="e">
        <f t="shared" si="7"/>
        <v>#DIV/0!</v>
      </c>
      <c r="S50" s="35"/>
      <c r="T50" s="40">
        <f t="shared" si="8"/>
        <v>-1</v>
      </c>
    </row>
    <row r="51" spans="1:20" s="19" customFormat="1" ht="24.95" hidden="1" customHeight="1">
      <c r="A51" s="19" t="s">
        <v>510</v>
      </c>
      <c r="B51" s="3" t="s">
        <v>720</v>
      </c>
      <c r="D51" s="26" t="s">
        <v>167</v>
      </c>
      <c r="E51" s="97"/>
      <c r="F51" s="97"/>
      <c r="G51" s="97"/>
      <c r="H51" s="97"/>
      <c r="I51" s="97"/>
      <c r="J51" s="97"/>
      <c r="K51" s="97"/>
      <c r="L51" s="97"/>
      <c r="M51" s="97"/>
      <c r="N51" s="97"/>
      <c r="O51" s="97"/>
      <c r="P51" s="97"/>
      <c r="Q51" s="103">
        <f t="shared" si="6"/>
        <v>0</v>
      </c>
      <c r="R51" s="39" t="e">
        <f t="shared" si="7"/>
        <v>#DIV/0!</v>
      </c>
      <c r="S51" s="35"/>
      <c r="T51" s="40">
        <f t="shared" si="8"/>
        <v>-1</v>
      </c>
    </row>
    <row r="52" spans="1:20" s="3" customFormat="1" ht="24.95" hidden="1" customHeight="1">
      <c r="A52" s="3" t="s">
        <v>512</v>
      </c>
      <c r="B52" s="3" t="s">
        <v>720</v>
      </c>
      <c r="D52" s="26" t="s">
        <v>169</v>
      </c>
      <c r="E52" s="97"/>
      <c r="F52" s="97"/>
      <c r="G52" s="97"/>
      <c r="H52" s="97"/>
      <c r="I52" s="97"/>
      <c r="J52" s="97"/>
      <c r="K52" s="97"/>
      <c r="L52" s="97"/>
      <c r="M52" s="97"/>
      <c r="N52" s="97"/>
      <c r="O52" s="97"/>
      <c r="P52" s="97"/>
      <c r="Q52" s="103">
        <f t="shared" si="6"/>
        <v>0</v>
      </c>
      <c r="R52" s="39" t="e">
        <f t="shared" si="7"/>
        <v>#DIV/0!</v>
      </c>
      <c r="S52" s="35"/>
      <c r="T52" s="40">
        <f t="shared" si="8"/>
        <v>-1</v>
      </c>
    </row>
    <row r="53" spans="1:20" s="3" customFormat="1" ht="24.95" customHeight="1">
      <c r="A53" s="3" t="s">
        <v>513</v>
      </c>
      <c r="B53" s="3" t="s">
        <v>720</v>
      </c>
      <c r="D53" s="26" t="s">
        <v>171</v>
      </c>
      <c r="E53" s="97"/>
      <c r="F53" s="97"/>
      <c r="G53" s="97"/>
      <c r="H53" s="97"/>
      <c r="I53" s="97"/>
      <c r="J53" s="97"/>
      <c r="K53" s="97"/>
      <c r="L53" s="97"/>
      <c r="M53" s="97"/>
      <c r="N53" s="97"/>
      <c r="O53" s="97"/>
      <c r="P53" s="97"/>
      <c r="Q53" s="103">
        <f t="shared" si="6"/>
        <v>0</v>
      </c>
      <c r="R53" s="39" t="e">
        <f t="shared" si="7"/>
        <v>#DIV/0!</v>
      </c>
      <c r="S53" s="35"/>
      <c r="T53" s="40">
        <f t="shared" si="8"/>
        <v>-1</v>
      </c>
    </row>
    <row r="54" spans="1:20" s="3" customFormat="1" ht="24.95" hidden="1" customHeight="1">
      <c r="A54" s="271" t="s">
        <v>514</v>
      </c>
      <c r="B54" s="3" t="s">
        <v>720</v>
      </c>
      <c r="D54" s="26" t="s">
        <v>173</v>
      </c>
      <c r="E54" s="97"/>
      <c r="F54" s="97"/>
      <c r="G54" s="97"/>
      <c r="H54" s="97"/>
      <c r="I54" s="97"/>
      <c r="J54" s="97"/>
      <c r="K54" s="97"/>
      <c r="L54" s="97"/>
      <c r="M54" s="97"/>
      <c r="N54" s="97"/>
      <c r="O54" s="97"/>
      <c r="P54" s="97"/>
      <c r="Q54" s="103">
        <f t="shared" si="6"/>
        <v>0</v>
      </c>
      <c r="S54" s="35"/>
      <c r="T54" s="40">
        <f t="shared" si="8"/>
        <v>-1</v>
      </c>
    </row>
    <row r="55" spans="1:20" s="3" customFormat="1" ht="24.95" hidden="1" customHeight="1">
      <c r="A55" s="271" t="s">
        <v>516</v>
      </c>
      <c r="B55" s="3" t="s">
        <v>720</v>
      </c>
      <c r="D55" s="26" t="s">
        <v>175</v>
      </c>
      <c r="E55" s="97"/>
      <c r="F55" s="97"/>
      <c r="G55" s="97"/>
      <c r="H55" s="97"/>
      <c r="I55" s="97"/>
      <c r="J55" s="97"/>
      <c r="K55" s="97"/>
      <c r="L55" s="97"/>
      <c r="M55" s="97"/>
      <c r="N55" s="97"/>
      <c r="O55" s="97"/>
      <c r="P55" s="97"/>
      <c r="Q55" s="103">
        <f t="shared" si="6"/>
        <v>0</v>
      </c>
      <c r="S55" s="35"/>
      <c r="T55" s="40">
        <f t="shared" si="8"/>
        <v>-1</v>
      </c>
    </row>
    <row r="56" spans="1:20" s="3" customFormat="1" ht="24.95" hidden="1" customHeight="1">
      <c r="A56" s="3" t="s">
        <v>518</v>
      </c>
      <c r="B56" s="3" t="s">
        <v>720</v>
      </c>
      <c r="D56" s="26" t="s">
        <v>177</v>
      </c>
      <c r="E56" s="97"/>
      <c r="F56" s="97"/>
      <c r="G56" s="97"/>
      <c r="H56" s="97"/>
      <c r="I56" s="97"/>
      <c r="J56" s="97"/>
      <c r="K56" s="97"/>
      <c r="L56" s="97"/>
      <c r="M56" s="97"/>
      <c r="N56" s="97"/>
      <c r="O56" s="97"/>
      <c r="P56" s="97"/>
      <c r="Q56" s="103">
        <f t="shared" si="6"/>
        <v>0</v>
      </c>
      <c r="S56" s="35"/>
      <c r="T56" s="40">
        <f t="shared" si="8"/>
        <v>-1</v>
      </c>
    </row>
    <row r="57" spans="1:20" s="3" customFormat="1" ht="24.95" hidden="1" customHeight="1">
      <c r="A57" s="3" t="s">
        <v>520</v>
      </c>
      <c r="B57" s="3" t="s">
        <v>720</v>
      </c>
      <c r="D57" s="26" t="s">
        <v>179</v>
      </c>
      <c r="E57" s="97"/>
      <c r="F57" s="97"/>
      <c r="G57" s="97"/>
      <c r="H57" s="97"/>
      <c r="I57" s="97"/>
      <c r="J57" s="97"/>
      <c r="K57" s="97"/>
      <c r="L57" s="97"/>
      <c r="M57" s="97"/>
      <c r="N57" s="97"/>
      <c r="O57" s="97"/>
      <c r="P57" s="97"/>
      <c r="Q57" s="103">
        <f t="shared" si="6"/>
        <v>0</v>
      </c>
      <c r="S57" s="35"/>
      <c r="T57" s="40">
        <f t="shared" si="8"/>
        <v>-1</v>
      </c>
    </row>
    <row r="58" spans="1:20" s="3" customFormat="1" ht="24.95" customHeight="1">
      <c r="A58" s="271" t="s">
        <v>522</v>
      </c>
      <c r="B58" s="3" t="s">
        <v>720</v>
      </c>
      <c r="D58" s="26" t="s">
        <v>181</v>
      </c>
      <c r="E58" s="97"/>
      <c r="F58" s="97"/>
      <c r="G58" s="97"/>
      <c r="H58" s="97"/>
      <c r="I58" s="97"/>
      <c r="J58" s="97"/>
      <c r="K58" s="97"/>
      <c r="L58" s="97"/>
      <c r="M58" s="97"/>
      <c r="N58" s="97"/>
      <c r="O58" s="97"/>
      <c r="P58" s="97"/>
      <c r="Q58" s="103">
        <f t="shared" si="6"/>
        <v>0</v>
      </c>
      <c r="R58" s="39" t="e">
        <f t="shared" ref="R58:R107" si="9">Q58/$Q$15</f>
        <v>#DIV/0!</v>
      </c>
      <c r="S58" s="35"/>
      <c r="T58" s="40">
        <f t="shared" si="8"/>
        <v>-1</v>
      </c>
    </row>
    <row r="59" spans="1:20" s="3" customFormat="1" ht="24.95" hidden="1" customHeight="1">
      <c r="A59" s="54" t="s">
        <v>524</v>
      </c>
      <c r="B59" s="3" t="s">
        <v>720</v>
      </c>
      <c r="D59" s="26" t="s">
        <v>183</v>
      </c>
      <c r="E59" s="97"/>
      <c r="F59" s="97"/>
      <c r="G59" s="97"/>
      <c r="H59" s="97"/>
      <c r="I59" s="97"/>
      <c r="J59" s="97"/>
      <c r="K59" s="97"/>
      <c r="L59" s="97"/>
      <c r="M59" s="97"/>
      <c r="N59" s="97"/>
      <c r="O59" s="97"/>
      <c r="P59" s="97"/>
      <c r="Q59" s="103">
        <f t="shared" si="6"/>
        <v>0</v>
      </c>
      <c r="R59" s="39" t="e">
        <f t="shared" si="9"/>
        <v>#DIV/0!</v>
      </c>
      <c r="S59" s="35"/>
      <c r="T59" s="40">
        <f t="shared" si="8"/>
        <v>-1</v>
      </c>
    </row>
    <row r="60" spans="1:20" s="3" customFormat="1" ht="24.95" hidden="1" customHeight="1">
      <c r="A60" s="271" t="s">
        <v>526</v>
      </c>
      <c r="B60" s="3" t="s">
        <v>720</v>
      </c>
      <c r="D60" s="26" t="s">
        <v>185</v>
      </c>
      <c r="E60" s="97"/>
      <c r="F60" s="97"/>
      <c r="G60" s="97"/>
      <c r="H60" s="97"/>
      <c r="I60" s="97"/>
      <c r="J60" s="97"/>
      <c r="K60" s="97"/>
      <c r="L60" s="97"/>
      <c r="M60" s="97"/>
      <c r="N60" s="97"/>
      <c r="O60" s="97"/>
      <c r="P60" s="97"/>
      <c r="Q60" s="103">
        <f t="shared" si="6"/>
        <v>0</v>
      </c>
      <c r="R60" s="39" t="e">
        <f t="shared" si="9"/>
        <v>#DIV/0!</v>
      </c>
      <c r="S60" s="35"/>
      <c r="T60" s="40">
        <f t="shared" si="8"/>
        <v>-1</v>
      </c>
    </row>
    <row r="61" spans="1:20" s="3" customFormat="1" ht="24.95" hidden="1" customHeight="1">
      <c r="A61" s="271" t="s">
        <v>528</v>
      </c>
      <c r="B61" s="3" t="s">
        <v>720</v>
      </c>
      <c r="D61" s="26" t="s">
        <v>187</v>
      </c>
      <c r="E61" s="97"/>
      <c r="F61" s="97"/>
      <c r="G61" s="97"/>
      <c r="H61" s="97"/>
      <c r="I61" s="97"/>
      <c r="J61" s="97"/>
      <c r="K61" s="97"/>
      <c r="L61" s="97"/>
      <c r="M61" s="97"/>
      <c r="N61" s="97"/>
      <c r="O61" s="97"/>
      <c r="P61" s="97"/>
      <c r="Q61" s="103">
        <f t="shared" si="6"/>
        <v>0</v>
      </c>
      <c r="R61" s="39" t="e">
        <f t="shared" si="9"/>
        <v>#DIV/0!</v>
      </c>
      <c r="S61" s="35"/>
      <c r="T61" s="40">
        <f t="shared" si="8"/>
        <v>-1</v>
      </c>
    </row>
    <row r="62" spans="1:20" s="3" customFormat="1" ht="24.95" hidden="1" customHeight="1">
      <c r="A62" s="271" t="s">
        <v>530</v>
      </c>
      <c r="B62" s="3" t="s">
        <v>720</v>
      </c>
      <c r="D62" s="26" t="s">
        <v>189</v>
      </c>
      <c r="E62" s="97"/>
      <c r="F62" s="97"/>
      <c r="G62" s="97"/>
      <c r="H62" s="97"/>
      <c r="I62" s="97"/>
      <c r="J62" s="97"/>
      <c r="K62" s="97"/>
      <c r="L62" s="97"/>
      <c r="M62" s="97"/>
      <c r="N62" s="97"/>
      <c r="O62" s="97"/>
      <c r="P62" s="97"/>
      <c r="Q62" s="103">
        <f t="shared" si="6"/>
        <v>0</v>
      </c>
      <c r="R62" s="39" t="e">
        <f t="shared" si="9"/>
        <v>#DIV/0!</v>
      </c>
      <c r="S62" s="35"/>
      <c r="T62" s="40">
        <f t="shared" si="8"/>
        <v>-1</v>
      </c>
    </row>
    <row r="63" spans="1:20" s="19" customFormat="1" ht="24.95" hidden="1" customHeight="1">
      <c r="A63" s="271" t="s">
        <v>532</v>
      </c>
      <c r="B63" s="3" t="s">
        <v>720</v>
      </c>
      <c r="D63" s="26" t="s">
        <v>191</v>
      </c>
      <c r="E63" s="97"/>
      <c r="F63" s="97"/>
      <c r="G63" s="97"/>
      <c r="H63" s="97"/>
      <c r="I63" s="97"/>
      <c r="J63" s="97"/>
      <c r="K63" s="97"/>
      <c r="L63" s="97"/>
      <c r="M63" s="97"/>
      <c r="N63" s="97"/>
      <c r="O63" s="97"/>
      <c r="P63" s="97"/>
      <c r="Q63" s="103">
        <f t="shared" si="6"/>
        <v>0</v>
      </c>
      <c r="R63" s="39" t="e">
        <f t="shared" si="9"/>
        <v>#DIV/0!</v>
      </c>
      <c r="S63" s="35"/>
      <c r="T63" s="40">
        <f t="shared" si="8"/>
        <v>-1</v>
      </c>
    </row>
    <row r="64" spans="1:20" s="3" customFormat="1" ht="24.95" hidden="1" customHeight="1">
      <c r="A64" s="50" t="s">
        <v>534</v>
      </c>
      <c r="B64" s="3" t="s">
        <v>720</v>
      </c>
      <c r="D64" s="26" t="s">
        <v>193</v>
      </c>
      <c r="E64" s="97"/>
      <c r="F64" s="97"/>
      <c r="G64" s="97"/>
      <c r="H64" s="97"/>
      <c r="I64" s="97"/>
      <c r="J64" s="97"/>
      <c r="K64" s="97"/>
      <c r="L64" s="97"/>
      <c r="M64" s="97"/>
      <c r="N64" s="97"/>
      <c r="O64" s="97"/>
      <c r="P64" s="97"/>
      <c r="Q64" s="103">
        <f t="shared" si="6"/>
        <v>0</v>
      </c>
      <c r="R64" s="39" t="e">
        <f t="shared" si="9"/>
        <v>#DIV/0!</v>
      </c>
      <c r="S64" s="35"/>
      <c r="T64" s="40">
        <f t="shared" si="8"/>
        <v>-1</v>
      </c>
    </row>
    <row r="65" spans="1:20" s="3" customFormat="1" ht="24.95" hidden="1" customHeight="1">
      <c r="A65" s="271" t="s">
        <v>536</v>
      </c>
      <c r="B65" s="3" t="s">
        <v>720</v>
      </c>
      <c r="D65" s="26" t="s">
        <v>195</v>
      </c>
      <c r="E65" s="97"/>
      <c r="F65" s="97"/>
      <c r="G65" s="97"/>
      <c r="H65" s="97"/>
      <c r="I65" s="97"/>
      <c r="J65" s="97"/>
      <c r="K65" s="97"/>
      <c r="L65" s="97"/>
      <c r="M65" s="97"/>
      <c r="N65" s="97"/>
      <c r="O65" s="97"/>
      <c r="P65" s="97"/>
      <c r="Q65" s="103">
        <f t="shared" si="6"/>
        <v>0</v>
      </c>
      <c r="R65" s="39" t="e">
        <f t="shared" si="9"/>
        <v>#DIV/0!</v>
      </c>
      <c r="S65" s="35"/>
      <c r="T65" s="40">
        <f t="shared" si="8"/>
        <v>-1</v>
      </c>
    </row>
    <row r="66" spans="1:20" s="3" customFormat="1" ht="24.95" customHeight="1">
      <c r="A66" s="271" t="s">
        <v>538</v>
      </c>
      <c r="B66" s="3" t="s">
        <v>720</v>
      </c>
      <c r="D66" s="26" t="s">
        <v>197</v>
      </c>
      <c r="E66" s="97"/>
      <c r="F66" s="97"/>
      <c r="G66" s="97"/>
      <c r="H66" s="97"/>
      <c r="I66" s="97"/>
      <c r="J66" s="97"/>
      <c r="K66" s="97"/>
      <c r="L66" s="97"/>
      <c r="M66" s="97"/>
      <c r="N66" s="97"/>
      <c r="O66" s="97"/>
      <c r="P66" s="97"/>
      <c r="Q66" s="103">
        <f t="shared" si="6"/>
        <v>0</v>
      </c>
      <c r="R66" s="39" t="e">
        <f t="shared" si="9"/>
        <v>#DIV/0!</v>
      </c>
      <c r="S66" s="35"/>
      <c r="T66" s="40">
        <f t="shared" si="8"/>
        <v>-1</v>
      </c>
    </row>
    <row r="67" spans="1:20" s="3" customFormat="1" ht="24.95" hidden="1" customHeight="1">
      <c r="A67" s="271" t="s">
        <v>540</v>
      </c>
      <c r="B67" s="3" t="s">
        <v>720</v>
      </c>
      <c r="D67" s="26" t="s">
        <v>199</v>
      </c>
      <c r="E67" s="97"/>
      <c r="F67" s="97"/>
      <c r="G67" s="97"/>
      <c r="H67" s="97"/>
      <c r="I67" s="97"/>
      <c r="J67" s="97"/>
      <c r="K67" s="97"/>
      <c r="L67" s="97"/>
      <c r="M67" s="97"/>
      <c r="N67" s="97"/>
      <c r="O67" s="97"/>
      <c r="P67" s="97"/>
      <c r="Q67" s="103">
        <f t="shared" si="6"/>
        <v>0</v>
      </c>
      <c r="R67" s="39" t="e">
        <f t="shared" si="9"/>
        <v>#DIV/0!</v>
      </c>
      <c r="S67" s="35"/>
      <c r="T67" s="40">
        <f t="shared" si="8"/>
        <v>-1</v>
      </c>
    </row>
    <row r="68" spans="1:20" s="3" customFormat="1" ht="24.95" hidden="1" customHeight="1">
      <c r="A68" s="271" t="s">
        <v>542</v>
      </c>
      <c r="B68" s="3" t="s">
        <v>720</v>
      </c>
      <c r="D68" s="26" t="s">
        <v>201</v>
      </c>
      <c r="E68" s="97"/>
      <c r="F68" s="97"/>
      <c r="G68" s="97"/>
      <c r="H68" s="97"/>
      <c r="I68" s="97"/>
      <c r="J68" s="97"/>
      <c r="K68" s="97"/>
      <c r="L68" s="97"/>
      <c r="M68" s="97"/>
      <c r="N68" s="97"/>
      <c r="O68" s="97"/>
      <c r="P68" s="97"/>
      <c r="Q68" s="103">
        <f t="shared" si="6"/>
        <v>0</v>
      </c>
      <c r="R68" s="39" t="e">
        <f t="shared" si="9"/>
        <v>#DIV/0!</v>
      </c>
      <c r="S68" s="35"/>
      <c r="T68" s="40">
        <f t="shared" si="8"/>
        <v>-1</v>
      </c>
    </row>
    <row r="69" spans="1:20" s="3" customFormat="1" ht="24.95" hidden="1" customHeight="1">
      <c r="A69" s="271" t="s">
        <v>544</v>
      </c>
      <c r="B69" s="3" t="s">
        <v>720</v>
      </c>
      <c r="D69" s="26" t="s">
        <v>203</v>
      </c>
      <c r="E69" s="97"/>
      <c r="F69" s="97"/>
      <c r="G69" s="97"/>
      <c r="H69" s="97"/>
      <c r="I69" s="97"/>
      <c r="J69" s="97"/>
      <c r="K69" s="97"/>
      <c r="L69" s="97"/>
      <c r="M69" s="97"/>
      <c r="N69" s="97"/>
      <c r="O69" s="97"/>
      <c r="P69" s="97"/>
      <c r="Q69" s="103">
        <f t="shared" si="6"/>
        <v>0</v>
      </c>
      <c r="R69" s="39" t="e">
        <f t="shared" si="9"/>
        <v>#DIV/0!</v>
      </c>
      <c r="S69" s="35"/>
      <c r="T69" s="40">
        <f t="shared" si="8"/>
        <v>-1</v>
      </c>
    </row>
    <row r="70" spans="1:20" s="3" customFormat="1" ht="24.95" hidden="1" customHeight="1">
      <c r="A70" s="271" t="s">
        <v>546</v>
      </c>
      <c r="B70" s="3" t="s">
        <v>720</v>
      </c>
      <c r="D70" s="26" t="s">
        <v>205</v>
      </c>
      <c r="E70" s="97"/>
      <c r="F70" s="97"/>
      <c r="G70" s="97"/>
      <c r="H70" s="97"/>
      <c r="I70" s="97"/>
      <c r="J70" s="97"/>
      <c r="K70" s="97"/>
      <c r="L70" s="97"/>
      <c r="M70" s="97"/>
      <c r="N70" s="97"/>
      <c r="O70" s="97"/>
      <c r="P70" s="97"/>
      <c r="Q70" s="103">
        <f t="shared" si="6"/>
        <v>0</v>
      </c>
      <c r="R70" s="39" t="e">
        <f t="shared" si="9"/>
        <v>#DIV/0!</v>
      </c>
      <c r="S70" s="35"/>
      <c r="T70" s="40">
        <f t="shared" si="8"/>
        <v>-1</v>
      </c>
    </row>
    <row r="71" spans="1:20" s="3" customFormat="1" ht="24.95" hidden="1" customHeight="1">
      <c r="A71" s="271" t="s">
        <v>548</v>
      </c>
      <c r="B71" s="3" t="s">
        <v>720</v>
      </c>
      <c r="D71" s="26" t="s">
        <v>207</v>
      </c>
      <c r="E71" s="97"/>
      <c r="F71" s="97"/>
      <c r="G71" s="97"/>
      <c r="H71" s="97"/>
      <c r="I71" s="97"/>
      <c r="J71" s="97"/>
      <c r="K71" s="97"/>
      <c r="L71" s="97"/>
      <c r="M71" s="97"/>
      <c r="N71" s="97"/>
      <c r="O71" s="97"/>
      <c r="P71" s="97"/>
      <c r="Q71" s="103">
        <f t="shared" si="6"/>
        <v>0</v>
      </c>
      <c r="R71" s="39" t="e">
        <f t="shared" si="9"/>
        <v>#DIV/0!</v>
      </c>
      <c r="S71" s="35"/>
      <c r="T71" s="40">
        <f t="shared" si="8"/>
        <v>-1</v>
      </c>
    </row>
    <row r="72" spans="1:20" s="3" customFormat="1" ht="24.95" hidden="1" customHeight="1">
      <c r="A72" s="271" t="s">
        <v>550</v>
      </c>
      <c r="B72" s="3" t="s">
        <v>720</v>
      </c>
      <c r="D72" s="26" t="s">
        <v>209</v>
      </c>
      <c r="E72" s="97"/>
      <c r="F72" s="97"/>
      <c r="G72" s="97"/>
      <c r="H72" s="97"/>
      <c r="I72" s="97"/>
      <c r="J72" s="97"/>
      <c r="K72" s="97"/>
      <c r="L72" s="97"/>
      <c r="M72" s="97"/>
      <c r="N72" s="97"/>
      <c r="O72" s="97"/>
      <c r="P72" s="97"/>
      <c r="Q72" s="103">
        <f t="shared" si="6"/>
        <v>0</v>
      </c>
      <c r="R72" s="39" t="e">
        <f t="shared" si="9"/>
        <v>#DIV/0!</v>
      </c>
      <c r="S72" s="35"/>
      <c r="T72" s="40">
        <f t="shared" si="8"/>
        <v>-1</v>
      </c>
    </row>
    <row r="73" spans="1:20" s="19" customFormat="1" ht="24.95" customHeight="1">
      <c r="A73" s="271" t="s">
        <v>552</v>
      </c>
      <c r="B73" s="3" t="s">
        <v>720</v>
      </c>
      <c r="D73" s="26" t="s">
        <v>211</v>
      </c>
      <c r="E73" s="97"/>
      <c r="F73" s="97"/>
      <c r="G73" s="97"/>
      <c r="H73" s="97"/>
      <c r="I73" s="97"/>
      <c r="J73" s="97"/>
      <c r="K73" s="97"/>
      <c r="L73" s="97"/>
      <c r="M73" s="97"/>
      <c r="N73" s="97"/>
      <c r="O73" s="97"/>
      <c r="P73" s="97"/>
      <c r="Q73" s="103">
        <f t="shared" si="6"/>
        <v>0</v>
      </c>
      <c r="R73" s="39" t="e">
        <f t="shared" si="9"/>
        <v>#DIV/0!</v>
      </c>
      <c r="S73" s="35"/>
      <c r="T73" s="40">
        <f t="shared" si="8"/>
        <v>-1</v>
      </c>
    </row>
    <row r="74" spans="1:20" s="19" customFormat="1" ht="24.95" hidden="1" customHeight="1">
      <c r="A74" s="271" t="s">
        <v>554</v>
      </c>
      <c r="B74" s="3" t="s">
        <v>720</v>
      </c>
      <c r="D74" s="26" t="s">
        <v>213</v>
      </c>
      <c r="E74" s="97"/>
      <c r="F74" s="97"/>
      <c r="G74" s="97"/>
      <c r="H74" s="97"/>
      <c r="I74" s="97"/>
      <c r="J74" s="97"/>
      <c r="K74" s="97"/>
      <c r="L74" s="97"/>
      <c r="M74" s="97"/>
      <c r="N74" s="97"/>
      <c r="O74" s="97"/>
      <c r="P74" s="97"/>
      <c r="Q74" s="103">
        <f t="shared" si="6"/>
        <v>0</v>
      </c>
      <c r="R74" s="39" t="e">
        <f t="shared" si="9"/>
        <v>#DIV/0!</v>
      </c>
      <c r="S74" s="35"/>
      <c r="T74" s="40">
        <f t="shared" si="8"/>
        <v>-1</v>
      </c>
    </row>
    <row r="75" spans="1:20" s="3" customFormat="1" ht="24.95" hidden="1" customHeight="1">
      <c r="A75" s="3" t="s">
        <v>556</v>
      </c>
      <c r="B75" s="3" t="s">
        <v>720</v>
      </c>
      <c r="D75" s="26" t="s">
        <v>215</v>
      </c>
      <c r="E75" s="97"/>
      <c r="F75" s="97"/>
      <c r="G75" s="97"/>
      <c r="H75" s="97"/>
      <c r="I75" s="97"/>
      <c r="J75" s="97"/>
      <c r="K75" s="97"/>
      <c r="L75" s="97"/>
      <c r="M75" s="97"/>
      <c r="N75" s="97"/>
      <c r="O75" s="97"/>
      <c r="P75" s="97"/>
      <c r="Q75" s="103">
        <f t="shared" si="6"/>
        <v>0</v>
      </c>
      <c r="R75" s="39" t="e">
        <f t="shared" si="9"/>
        <v>#DIV/0!</v>
      </c>
      <c r="S75" s="35"/>
      <c r="T75" s="40">
        <f t="shared" si="8"/>
        <v>-1</v>
      </c>
    </row>
    <row r="76" spans="1:20" s="3" customFormat="1" ht="24.95" hidden="1" customHeight="1">
      <c r="A76" s="3" t="s">
        <v>558</v>
      </c>
      <c r="B76" s="3" t="s">
        <v>720</v>
      </c>
      <c r="D76" s="26" t="s">
        <v>217</v>
      </c>
      <c r="E76" s="97"/>
      <c r="F76" s="97"/>
      <c r="G76" s="97"/>
      <c r="H76" s="97"/>
      <c r="I76" s="97"/>
      <c r="J76" s="97"/>
      <c r="K76" s="97"/>
      <c r="L76" s="97"/>
      <c r="M76" s="97"/>
      <c r="N76" s="97"/>
      <c r="O76" s="97"/>
      <c r="P76" s="97"/>
      <c r="Q76" s="103">
        <f t="shared" si="6"/>
        <v>0</v>
      </c>
      <c r="R76" s="39" t="e">
        <f t="shared" si="9"/>
        <v>#DIV/0!</v>
      </c>
      <c r="S76" s="35"/>
      <c r="T76" s="40">
        <f t="shared" si="8"/>
        <v>-1</v>
      </c>
    </row>
    <row r="77" spans="1:20" s="3" customFormat="1" ht="24.95" hidden="1" customHeight="1">
      <c r="A77" s="3" t="s">
        <v>560</v>
      </c>
      <c r="B77" s="3" t="s">
        <v>720</v>
      </c>
      <c r="D77" s="26" t="s">
        <v>219</v>
      </c>
      <c r="E77" s="97"/>
      <c r="F77" s="97"/>
      <c r="G77" s="97"/>
      <c r="H77" s="97"/>
      <c r="I77" s="97"/>
      <c r="J77" s="97"/>
      <c r="K77" s="97"/>
      <c r="L77" s="97"/>
      <c r="M77" s="97"/>
      <c r="N77" s="97"/>
      <c r="O77" s="97"/>
      <c r="P77" s="97"/>
      <c r="Q77" s="103">
        <f t="shared" si="6"/>
        <v>0</v>
      </c>
      <c r="R77" s="39" t="e">
        <f t="shared" si="9"/>
        <v>#DIV/0!</v>
      </c>
      <c r="S77" s="35"/>
      <c r="T77" s="40">
        <f t="shared" si="8"/>
        <v>-1</v>
      </c>
    </row>
    <row r="78" spans="1:20" s="3" customFormat="1" ht="24.95" hidden="1" customHeight="1">
      <c r="A78" s="3" t="s">
        <v>562</v>
      </c>
      <c r="B78" s="3" t="s">
        <v>720</v>
      </c>
      <c r="D78" s="26" t="s">
        <v>221</v>
      </c>
      <c r="E78" s="97"/>
      <c r="F78" s="97"/>
      <c r="G78" s="97"/>
      <c r="H78" s="97"/>
      <c r="I78" s="97"/>
      <c r="J78" s="97"/>
      <c r="K78" s="97"/>
      <c r="L78" s="97"/>
      <c r="M78" s="97"/>
      <c r="N78" s="97"/>
      <c r="O78" s="97"/>
      <c r="P78" s="97"/>
      <c r="Q78" s="103">
        <f t="shared" si="6"/>
        <v>0</v>
      </c>
      <c r="R78" s="39" t="e">
        <f t="shared" si="9"/>
        <v>#DIV/0!</v>
      </c>
      <c r="S78" s="35"/>
      <c r="T78" s="40">
        <f t="shared" si="8"/>
        <v>-1</v>
      </c>
    </row>
    <row r="79" spans="1:20" s="3" customFormat="1" ht="24.95" hidden="1" customHeight="1">
      <c r="A79" s="3" t="s">
        <v>564</v>
      </c>
      <c r="B79" s="3" t="s">
        <v>720</v>
      </c>
      <c r="D79" s="26" t="s">
        <v>223</v>
      </c>
      <c r="E79" s="97"/>
      <c r="F79" s="97"/>
      <c r="G79" s="97"/>
      <c r="H79" s="97"/>
      <c r="I79" s="97"/>
      <c r="J79" s="97"/>
      <c r="K79" s="97"/>
      <c r="L79" s="97"/>
      <c r="M79" s="97"/>
      <c r="N79" s="97"/>
      <c r="O79" s="97"/>
      <c r="P79" s="97"/>
      <c r="Q79" s="103">
        <f t="shared" si="6"/>
        <v>0</v>
      </c>
      <c r="R79" s="39" t="e">
        <f t="shared" si="9"/>
        <v>#DIV/0!</v>
      </c>
      <c r="S79" s="35"/>
      <c r="T79" s="40">
        <f t="shared" si="8"/>
        <v>-1</v>
      </c>
    </row>
    <row r="80" spans="1:20" s="3" customFormat="1" ht="24.95" hidden="1" customHeight="1">
      <c r="A80" s="3" t="s">
        <v>566</v>
      </c>
      <c r="B80" s="3" t="s">
        <v>720</v>
      </c>
      <c r="D80" s="26" t="s">
        <v>225</v>
      </c>
      <c r="E80" s="97"/>
      <c r="F80" s="97"/>
      <c r="G80" s="97"/>
      <c r="H80" s="97"/>
      <c r="I80" s="97"/>
      <c r="J80" s="97"/>
      <c r="K80" s="97"/>
      <c r="L80" s="97"/>
      <c r="M80" s="97"/>
      <c r="N80" s="97"/>
      <c r="O80" s="97"/>
      <c r="P80" s="97"/>
      <c r="Q80" s="103">
        <f t="shared" si="6"/>
        <v>0</v>
      </c>
      <c r="R80" s="39" t="e">
        <f t="shared" si="9"/>
        <v>#DIV/0!</v>
      </c>
      <c r="S80" s="35"/>
      <c r="T80" s="40">
        <f t="shared" si="8"/>
        <v>-1</v>
      </c>
    </row>
    <row r="81" spans="1:20" s="3" customFormat="1" ht="24.95" hidden="1" customHeight="1">
      <c r="A81" s="3" t="s">
        <v>568</v>
      </c>
      <c r="B81" s="3" t="s">
        <v>720</v>
      </c>
      <c r="D81" s="26" t="s">
        <v>227</v>
      </c>
      <c r="E81" s="97"/>
      <c r="F81" s="97"/>
      <c r="G81" s="97"/>
      <c r="H81" s="97"/>
      <c r="I81" s="97"/>
      <c r="J81" s="97"/>
      <c r="K81" s="97"/>
      <c r="L81" s="97"/>
      <c r="M81" s="97"/>
      <c r="N81" s="97"/>
      <c r="O81" s="97"/>
      <c r="P81" s="97"/>
      <c r="Q81" s="103">
        <f t="shared" si="6"/>
        <v>0</v>
      </c>
      <c r="R81" s="39" t="e">
        <f t="shared" si="9"/>
        <v>#DIV/0!</v>
      </c>
      <c r="S81" s="35"/>
      <c r="T81" s="40">
        <f t="shared" si="8"/>
        <v>-1</v>
      </c>
    </row>
    <row r="82" spans="1:20" s="3" customFormat="1" ht="24.95" hidden="1" customHeight="1">
      <c r="A82" s="3" t="s">
        <v>570</v>
      </c>
      <c r="B82" s="3" t="s">
        <v>720</v>
      </c>
      <c r="D82" s="26" t="s">
        <v>229</v>
      </c>
      <c r="E82" s="97"/>
      <c r="F82" s="97"/>
      <c r="G82" s="97"/>
      <c r="H82" s="97"/>
      <c r="I82" s="97"/>
      <c r="J82" s="97"/>
      <c r="K82" s="97"/>
      <c r="L82" s="97"/>
      <c r="M82" s="97"/>
      <c r="N82" s="97"/>
      <c r="O82" s="97"/>
      <c r="P82" s="97"/>
      <c r="Q82" s="103">
        <f t="shared" si="6"/>
        <v>0</v>
      </c>
      <c r="R82" s="39" t="e">
        <f t="shared" si="9"/>
        <v>#DIV/0!</v>
      </c>
      <c r="S82" s="35"/>
      <c r="T82" s="40">
        <f t="shared" si="8"/>
        <v>-1</v>
      </c>
    </row>
    <row r="83" spans="1:20" s="3" customFormat="1" ht="24.95" hidden="1" customHeight="1">
      <c r="A83" s="271" t="s">
        <v>572</v>
      </c>
      <c r="B83" s="3" t="s">
        <v>720</v>
      </c>
      <c r="D83" s="26" t="s">
        <v>231</v>
      </c>
      <c r="E83" s="97"/>
      <c r="F83" s="97"/>
      <c r="G83" s="97"/>
      <c r="H83" s="97"/>
      <c r="I83" s="97"/>
      <c r="J83" s="97"/>
      <c r="K83" s="97"/>
      <c r="L83" s="97"/>
      <c r="M83" s="97"/>
      <c r="N83" s="97"/>
      <c r="O83" s="97"/>
      <c r="P83" s="97"/>
      <c r="Q83" s="103">
        <f t="shared" si="6"/>
        <v>0</v>
      </c>
      <c r="R83" s="39" t="e">
        <f t="shared" si="9"/>
        <v>#DIV/0!</v>
      </c>
      <c r="S83" s="35"/>
      <c r="T83" s="40">
        <f t="shared" si="8"/>
        <v>-1</v>
      </c>
    </row>
    <row r="84" spans="1:20" s="3" customFormat="1" ht="24.95" hidden="1" customHeight="1">
      <c r="A84" s="271" t="s">
        <v>574</v>
      </c>
      <c r="B84" s="3" t="s">
        <v>720</v>
      </c>
      <c r="D84" s="26" t="s">
        <v>233</v>
      </c>
      <c r="E84" s="97"/>
      <c r="F84" s="97"/>
      <c r="G84" s="97"/>
      <c r="H84" s="97"/>
      <c r="I84" s="97"/>
      <c r="J84" s="97"/>
      <c r="K84" s="97"/>
      <c r="L84" s="97"/>
      <c r="M84" s="97"/>
      <c r="N84" s="97"/>
      <c r="O84" s="97"/>
      <c r="P84" s="97"/>
      <c r="Q84" s="103">
        <f t="shared" si="6"/>
        <v>0</v>
      </c>
      <c r="R84" s="39" t="e">
        <f t="shared" si="9"/>
        <v>#DIV/0!</v>
      </c>
      <c r="S84" s="35"/>
      <c r="T84" s="40">
        <f t="shared" si="8"/>
        <v>-1</v>
      </c>
    </row>
    <row r="85" spans="1:20" s="3" customFormat="1" ht="24.95" hidden="1" customHeight="1">
      <c r="A85" s="271" t="s">
        <v>434</v>
      </c>
      <c r="B85" s="3" t="s">
        <v>720</v>
      </c>
      <c r="D85" s="26" t="s">
        <v>435</v>
      </c>
      <c r="E85" s="97"/>
      <c r="F85" s="97"/>
      <c r="G85" s="97"/>
      <c r="H85" s="97"/>
      <c r="I85" s="97"/>
      <c r="J85" s="97"/>
      <c r="K85" s="97"/>
      <c r="L85" s="97"/>
      <c r="M85" s="97"/>
      <c r="N85" s="97"/>
      <c r="O85" s="97"/>
      <c r="P85" s="97"/>
      <c r="Q85" s="103">
        <f t="shared" si="6"/>
        <v>0</v>
      </c>
      <c r="R85" s="39" t="e">
        <f t="shared" si="9"/>
        <v>#DIV/0!</v>
      </c>
      <c r="S85" s="35"/>
      <c r="T85" s="40">
        <f t="shared" si="8"/>
        <v>-1</v>
      </c>
    </row>
    <row r="86" spans="1:20" ht="26.25" hidden="1" customHeight="1">
      <c r="A86" s="5" t="s">
        <v>576</v>
      </c>
      <c r="B86" s="3" t="s">
        <v>720</v>
      </c>
      <c r="D86" s="26" t="s">
        <v>235</v>
      </c>
      <c r="E86" s="97"/>
      <c r="F86" s="97"/>
      <c r="G86" s="97"/>
      <c r="H86" s="97"/>
      <c r="I86" s="97"/>
      <c r="J86" s="97"/>
      <c r="K86" s="97"/>
      <c r="L86" s="97"/>
      <c r="M86" s="97"/>
      <c r="N86" s="97"/>
      <c r="O86" s="97"/>
      <c r="P86" s="97"/>
      <c r="Q86" s="103">
        <f t="shared" si="6"/>
        <v>0</v>
      </c>
      <c r="R86" s="39" t="e">
        <f t="shared" si="9"/>
        <v>#DIV/0!</v>
      </c>
      <c r="S86" s="35"/>
      <c r="T86" s="40">
        <f t="shared" si="8"/>
        <v>-1</v>
      </c>
    </row>
    <row r="87" spans="1:20" ht="26.25" hidden="1" customHeight="1">
      <c r="A87" s="5" t="s">
        <v>578</v>
      </c>
      <c r="B87" s="3" t="s">
        <v>720</v>
      </c>
      <c r="D87" s="26" t="s">
        <v>237</v>
      </c>
      <c r="E87" s="97"/>
      <c r="F87" s="97"/>
      <c r="G87" s="97"/>
      <c r="H87" s="97"/>
      <c r="I87" s="97"/>
      <c r="J87" s="97"/>
      <c r="K87" s="97"/>
      <c r="L87" s="97"/>
      <c r="M87" s="97"/>
      <c r="N87" s="97"/>
      <c r="O87" s="97"/>
      <c r="P87" s="97"/>
      <c r="Q87" s="103">
        <f t="shared" si="6"/>
        <v>0</v>
      </c>
      <c r="R87" s="39" t="e">
        <f t="shared" si="9"/>
        <v>#DIV/0!</v>
      </c>
      <c r="S87" s="35"/>
      <c r="T87" s="40">
        <f t="shared" si="8"/>
        <v>-1</v>
      </c>
    </row>
    <row r="88" spans="1:20" ht="26.25" hidden="1" customHeight="1">
      <c r="A88" s="5" t="s">
        <v>580</v>
      </c>
      <c r="B88" s="3" t="s">
        <v>720</v>
      </c>
      <c r="D88" s="26" t="s">
        <v>239</v>
      </c>
      <c r="E88" s="97"/>
      <c r="F88" s="97"/>
      <c r="G88" s="97"/>
      <c r="H88" s="97"/>
      <c r="I88" s="97"/>
      <c r="J88" s="97"/>
      <c r="K88" s="97"/>
      <c r="L88" s="97"/>
      <c r="M88" s="97"/>
      <c r="N88" s="97"/>
      <c r="O88" s="97"/>
      <c r="P88" s="97"/>
      <c r="Q88" s="103">
        <f t="shared" si="6"/>
        <v>0</v>
      </c>
      <c r="R88" s="39" t="e">
        <f t="shared" si="9"/>
        <v>#DIV/0!</v>
      </c>
      <c r="S88" s="35"/>
      <c r="T88" s="40">
        <f t="shared" si="8"/>
        <v>-1</v>
      </c>
    </row>
    <row r="89" spans="1:20" ht="26.25" hidden="1" customHeight="1">
      <c r="A89" s="5" t="s">
        <v>582</v>
      </c>
      <c r="B89" s="3" t="s">
        <v>720</v>
      </c>
      <c r="D89" s="26" t="s">
        <v>241</v>
      </c>
      <c r="E89" s="97"/>
      <c r="F89" s="97"/>
      <c r="G89" s="97"/>
      <c r="H89" s="97"/>
      <c r="I89" s="97"/>
      <c r="J89" s="97"/>
      <c r="K89" s="97"/>
      <c r="L89" s="97"/>
      <c r="M89" s="97"/>
      <c r="N89" s="97"/>
      <c r="O89" s="97"/>
      <c r="P89" s="97"/>
      <c r="Q89" s="103">
        <f t="shared" si="6"/>
        <v>0</v>
      </c>
      <c r="R89" s="39" t="e">
        <f t="shared" si="9"/>
        <v>#DIV/0!</v>
      </c>
      <c r="S89" s="35"/>
      <c r="T89" s="40">
        <f t="shared" si="8"/>
        <v>-1</v>
      </c>
    </row>
    <row r="90" spans="1:20" ht="26.25" hidden="1" customHeight="1">
      <c r="A90" s="5" t="s">
        <v>584</v>
      </c>
      <c r="B90" s="3" t="s">
        <v>720</v>
      </c>
      <c r="D90" s="26" t="s">
        <v>243</v>
      </c>
      <c r="E90" s="97"/>
      <c r="F90" s="97"/>
      <c r="G90" s="97"/>
      <c r="H90" s="97"/>
      <c r="I90" s="97"/>
      <c r="J90" s="97"/>
      <c r="K90" s="97"/>
      <c r="L90" s="97"/>
      <c r="M90" s="97"/>
      <c r="N90" s="97"/>
      <c r="O90" s="97"/>
      <c r="P90" s="97"/>
      <c r="Q90" s="103">
        <f t="shared" si="6"/>
        <v>0</v>
      </c>
      <c r="R90" s="39" t="e">
        <f t="shared" si="9"/>
        <v>#DIV/0!</v>
      </c>
      <c r="S90" s="35"/>
      <c r="T90" s="40">
        <f t="shared" si="8"/>
        <v>-1</v>
      </c>
    </row>
    <row r="91" spans="1:20" ht="26.25" hidden="1" customHeight="1">
      <c r="A91" s="5" t="s">
        <v>586</v>
      </c>
      <c r="B91" s="3" t="s">
        <v>720</v>
      </c>
      <c r="D91" s="26" t="s">
        <v>245</v>
      </c>
      <c r="E91" s="97"/>
      <c r="F91" s="97"/>
      <c r="G91" s="97"/>
      <c r="H91" s="97"/>
      <c r="I91" s="97"/>
      <c r="J91" s="97"/>
      <c r="K91" s="97"/>
      <c r="L91" s="97"/>
      <c r="M91" s="97"/>
      <c r="N91" s="97"/>
      <c r="O91" s="97"/>
      <c r="P91" s="97"/>
      <c r="Q91" s="103">
        <f t="shared" si="6"/>
        <v>0</v>
      </c>
      <c r="R91" s="39" t="e">
        <f t="shared" si="9"/>
        <v>#DIV/0!</v>
      </c>
      <c r="S91" s="35"/>
      <c r="T91" s="40">
        <f t="shared" si="8"/>
        <v>-1</v>
      </c>
    </row>
    <row r="92" spans="1:20" ht="26.25" customHeight="1">
      <c r="A92" s="5" t="s">
        <v>588</v>
      </c>
      <c r="B92" s="3" t="s">
        <v>720</v>
      </c>
      <c r="D92" s="26" t="s">
        <v>247</v>
      </c>
      <c r="E92" s="97"/>
      <c r="F92" s="97"/>
      <c r="G92" s="97"/>
      <c r="H92" s="97"/>
      <c r="I92" s="97"/>
      <c r="J92" s="97"/>
      <c r="K92" s="97"/>
      <c r="L92" s="97"/>
      <c r="M92" s="97"/>
      <c r="N92" s="97"/>
      <c r="O92" s="97"/>
      <c r="P92" s="97"/>
      <c r="Q92" s="103">
        <f t="shared" si="6"/>
        <v>0</v>
      </c>
      <c r="R92" s="39" t="e">
        <f t="shared" si="9"/>
        <v>#DIV/0!</v>
      </c>
      <c r="S92" s="35"/>
      <c r="T92" s="40">
        <f t="shared" si="8"/>
        <v>-1</v>
      </c>
    </row>
    <row r="93" spans="1:20" ht="26.25" customHeight="1">
      <c r="A93" s="5" t="s">
        <v>590</v>
      </c>
      <c r="B93" s="3" t="s">
        <v>720</v>
      </c>
      <c r="D93" s="26" t="s">
        <v>249</v>
      </c>
      <c r="E93" s="97"/>
      <c r="F93" s="97"/>
      <c r="G93" s="97"/>
      <c r="H93" s="97"/>
      <c r="I93" s="97"/>
      <c r="J93" s="97"/>
      <c r="K93" s="97"/>
      <c r="L93" s="97"/>
      <c r="M93" s="97"/>
      <c r="N93" s="97"/>
      <c r="O93" s="97"/>
      <c r="P93" s="97"/>
      <c r="Q93" s="103">
        <f t="shared" si="6"/>
        <v>0</v>
      </c>
      <c r="R93" s="39" t="e">
        <f t="shared" si="9"/>
        <v>#DIV/0!</v>
      </c>
      <c r="S93" s="35"/>
      <c r="T93" s="40">
        <f t="shared" si="8"/>
        <v>-1</v>
      </c>
    </row>
    <row r="94" spans="1:20" ht="26.25" customHeight="1">
      <c r="A94" s="5" t="s">
        <v>592</v>
      </c>
      <c r="B94" s="3" t="s">
        <v>720</v>
      </c>
      <c r="D94" s="26" t="s">
        <v>251</v>
      </c>
      <c r="E94" s="97">
        <f>Laundry!E246+Laundry!E272</f>
        <v>0</v>
      </c>
      <c r="F94" s="97">
        <f>Laundry!F246+Laundry!F272</f>
        <v>0</v>
      </c>
      <c r="G94" s="97">
        <f>Laundry!G246+Laundry!G272</f>
        <v>0</v>
      </c>
      <c r="H94" s="97">
        <f>Laundry!H246+Laundry!H272</f>
        <v>0</v>
      </c>
      <c r="I94" s="97">
        <f>Laundry!I246+Laundry!I272</f>
        <v>0</v>
      </c>
      <c r="J94" s="97">
        <f>Laundry!J246+Laundry!J272</f>
        <v>0</v>
      </c>
      <c r="K94" s="97">
        <f>Laundry!K246+Laundry!K272</f>
        <v>0</v>
      </c>
      <c r="L94" s="97">
        <f>Laundry!L246+Laundry!L272</f>
        <v>0</v>
      </c>
      <c r="M94" s="97">
        <f>Laundry!M246+Laundry!M272</f>
        <v>0</v>
      </c>
      <c r="N94" s="97">
        <f>Laundry!N246+Laundry!N272</f>
        <v>0</v>
      </c>
      <c r="O94" s="97">
        <f>Laundry!O246+Laundry!O272</f>
        <v>0</v>
      </c>
      <c r="P94" s="97">
        <f>Laundry!P246+Laundry!P272</f>
        <v>0</v>
      </c>
      <c r="Q94" s="103">
        <f t="shared" si="6"/>
        <v>0</v>
      </c>
      <c r="R94" s="39" t="e">
        <f t="shared" si="9"/>
        <v>#DIV/0!</v>
      </c>
      <c r="S94" s="35"/>
      <c r="T94" s="40">
        <f t="shared" si="8"/>
        <v>-1</v>
      </c>
    </row>
    <row r="95" spans="1:20" ht="26.25" hidden="1" customHeight="1">
      <c r="A95" s="5" t="s">
        <v>594</v>
      </c>
      <c r="B95" s="3" t="s">
        <v>720</v>
      </c>
      <c r="D95" s="26" t="s">
        <v>253</v>
      </c>
      <c r="E95" s="97">
        <v>0</v>
      </c>
      <c r="F95" s="97">
        <v>0</v>
      </c>
      <c r="G95" s="97">
        <v>0</v>
      </c>
      <c r="H95" s="97">
        <v>0</v>
      </c>
      <c r="I95" s="97">
        <v>0</v>
      </c>
      <c r="J95" s="97">
        <v>0</v>
      </c>
      <c r="K95" s="97">
        <v>0</v>
      </c>
      <c r="L95" s="97">
        <v>0</v>
      </c>
      <c r="M95" s="97">
        <v>0</v>
      </c>
      <c r="N95" s="97">
        <v>0</v>
      </c>
      <c r="O95" s="97">
        <v>0</v>
      </c>
      <c r="P95" s="97">
        <v>0</v>
      </c>
      <c r="Q95" s="103">
        <f t="shared" si="6"/>
        <v>0</v>
      </c>
      <c r="R95" s="39" t="e">
        <f t="shared" si="9"/>
        <v>#DIV/0!</v>
      </c>
      <c r="S95" s="35"/>
      <c r="T95" s="40">
        <f t="shared" si="8"/>
        <v>-1</v>
      </c>
    </row>
    <row r="96" spans="1:20" ht="26.25" customHeight="1">
      <c r="A96" s="5" t="s">
        <v>596</v>
      </c>
      <c r="B96" s="3" t="s">
        <v>720</v>
      </c>
      <c r="D96" s="26" t="s">
        <v>255</v>
      </c>
      <c r="E96" s="97"/>
      <c r="F96" s="97"/>
      <c r="G96" s="97"/>
      <c r="H96" s="97"/>
      <c r="I96" s="97"/>
      <c r="J96" s="97"/>
      <c r="K96" s="97"/>
      <c r="L96" s="97"/>
      <c r="M96" s="97"/>
      <c r="N96" s="97"/>
      <c r="O96" s="97"/>
      <c r="P96" s="97"/>
      <c r="Q96" s="103">
        <f t="shared" si="6"/>
        <v>0</v>
      </c>
      <c r="R96" s="39" t="e">
        <f t="shared" si="9"/>
        <v>#DIV/0!</v>
      </c>
      <c r="S96" s="35"/>
      <c r="T96" s="40">
        <f t="shared" si="8"/>
        <v>-1</v>
      </c>
    </row>
    <row r="97" spans="1:20" ht="26.25" customHeight="1">
      <c r="A97" s="5" t="s">
        <v>598</v>
      </c>
      <c r="B97" s="3" t="s">
        <v>720</v>
      </c>
      <c r="D97" s="26" t="s">
        <v>257</v>
      </c>
      <c r="E97" s="97"/>
      <c r="F97" s="97"/>
      <c r="G97" s="97"/>
      <c r="H97" s="97"/>
      <c r="I97" s="97"/>
      <c r="J97" s="97"/>
      <c r="K97" s="97"/>
      <c r="L97" s="97"/>
      <c r="M97" s="97"/>
      <c r="N97" s="97"/>
      <c r="O97" s="97"/>
      <c r="P97" s="97"/>
      <c r="Q97" s="103">
        <f t="shared" si="6"/>
        <v>0</v>
      </c>
      <c r="R97" s="39" t="e">
        <f t="shared" si="9"/>
        <v>#DIV/0!</v>
      </c>
      <c r="S97" s="35"/>
      <c r="T97" s="40">
        <f t="shared" si="8"/>
        <v>-1</v>
      </c>
    </row>
    <row r="98" spans="1:20" ht="26.25" hidden="1" customHeight="1">
      <c r="A98" s="5" t="s">
        <v>600</v>
      </c>
      <c r="B98" s="3" t="s">
        <v>720</v>
      </c>
      <c r="D98" s="26" t="s">
        <v>259</v>
      </c>
      <c r="E98" s="97"/>
      <c r="F98" s="97"/>
      <c r="G98" s="97"/>
      <c r="H98" s="97"/>
      <c r="I98" s="97"/>
      <c r="J98" s="97"/>
      <c r="K98" s="97"/>
      <c r="L98" s="97"/>
      <c r="M98" s="97"/>
      <c r="N98" s="97"/>
      <c r="O98" s="97"/>
      <c r="P98" s="97"/>
      <c r="Q98" s="103">
        <f t="shared" si="6"/>
        <v>0</v>
      </c>
      <c r="R98" s="39" t="e">
        <f t="shared" si="9"/>
        <v>#DIV/0!</v>
      </c>
      <c r="S98" s="35"/>
      <c r="T98" s="40">
        <f t="shared" si="8"/>
        <v>-1</v>
      </c>
    </row>
    <row r="99" spans="1:20" ht="26.25" hidden="1" customHeight="1">
      <c r="A99" s="5" t="s">
        <v>602</v>
      </c>
      <c r="B99" s="3" t="s">
        <v>720</v>
      </c>
      <c r="D99" s="26" t="s">
        <v>261</v>
      </c>
      <c r="E99" s="97"/>
      <c r="F99" s="97"/>
      <c r="G99" s="97"/>
      <c r="H99" s="97"/>
      <c r="I99" s="97"/>
      <c r="J99" s="97"/>
      <c r="K99" s="97"/>
      <c r="L99" s="97"/>
      <c r="M99" s="97"/>
      <c r="N99" s="97"/>
      <c r="O99" s="97"/>
      <c r="P99" s="97"/>
      <c r="Q99" s="103">
        <f t="shared" si="6"/>
        <v>0</v>
      </c>
      <c r="R99" s="39" t="e">
        <f t="shared" si="9"/>
        <v>#DIV/0!</v>
      </c>
      <c r="S99" s="35"/>
      <c r="T99" s="40">
        <f t="shared" si="8"/>
        <v>-1</v>
      </c>
    </row>
    <row r="100" spans="1:20" ht="26.25" hidden="1" customHeight="1">
      <c r="A100" s="5" t="s">
        <v>604</v>
      </c>
      <c r="B100" s="3" t="s">
        <v>720</v>
      </c>
      <c r="D100" s="26" t="s">
        <v>263</v>
      </c>
      <c r="E100" s="97"/>
      <c r="F100" s="97"/>
      <c r="G100" s="97"/>
      <c r="H100" s="97"/>
      <c r="I100" s="97"/>
      <c r="J100" s="97"/>
      <c r="K100" s="97"/>
      <c r="L100" s="97"/>
      <c r="M100" s="97"/>
      <c r="N100" s="97"/>
      <c r="O100" s="97"/>
      <c r="P100" s="97"/>
      <c r="Q100" s="103">
        <f t="shared" si="6"/>
        <v>0</v>
      </c>
      <c r="R100" s="39" t="e">
        <f t="shared" si="9"/>
        <v>#DIV/0!</v>
      </c>
      <c r="S100" s="35"/>
      <c r="T100" s="40">
        <f t="shared" si="8"/>
        <v>-1</v>
      </c>
    </row>
    <row r="101" spans="1:20" ht="26.25" hidden="1" customHeight="1">
      <c r="A101" s="5" t="s">
        <v>606</v>
      </c>
      <c r="B101" s="3" t="s">
        <v>720</v>
      </c>
      <c r="D101" s="26" t="s">
        <v>265</v>
      </c>
      <c r="E101" s="97"/>
      <c r="F101" s="97"/>
      <c r="G101" s="97"/>
      <c r="H101" s="97"/>
      <c r="I101" s="97"/>
      <c r="J101" s="97"/>
      <c r="K101" s="97"/>
      <c r="L101" s="97"/>
      <c r="M101" s="97"/>
      <c r="N101" s="97"/>
      <c r="O101" s="97"/>
      <c r="P101" s="97"/>
      <c r="Q101" s="103">
        <f t="shared" si="6"/>
        <v>0</v>
      </c>
      <c r="R101" s="39" t="e">
        <f t="shared" si="9"/>
        <v>#DIV/0!</v>
      </c>
      <c r="S101" s="35"/>
      <c r="T101" s="40">
        <f t="shared" si="8"/>
        <v>-1</v>
      </c>
    </row>
    <row r="102" spans="1:20" ht="26.25" hidden="1" customHeight="1">
      <c r="A102" s="5" t="s">
        <v>608</v>
      </c>
      <c r="B102" s="3" t="s">
        <v>720</v>
      </c>
      <c r="D102" s="26" t="s">
        <v>267</v>
      </c>
      <c r="E102" s="97"/>
      <c r="F102" s="97"/>
      <c r="G102" s="97"/>
      <c r="H102" s="97"/>
      <c r="I102" s="97"/>
      <c r="J102" s="97"/>
      <c r="K102" s="97"/>
      <c r="L102" s="97"/>
      <c r="M102" s="97"/>
      <c r="N102" s="97"/>
      <c r="O102" s="97"/>
      <c r="P102" s="97"/>
      <c r="Q102" s="103">
        <f t="shared" si="6"/>
        <v>0</v>
      </c>
      <c r="R102" s="39" t="e">
        <f t="shared" si="9"/>
        <v>#DIV/0!</v>
      </c>
      <c r="S102" s="35"/>
      <c r="T102" s="40">
        <f t="shared" si="8"/>
        <v>-1</v>
      </c>
    </row>
    <row r="103" spans="1:20" ht="26.25" hidden="1" customHeight="1">
      <c r="A103" s="5" t="s">
        <v>268</v>
      </c>
      <c r="B103" s="3" t="s">
        <v>720</v>
      </c>
      <c r="D103" s="26" t="s">
        <v>269</v>
      </c>
      <c r="E103" s="97"/>
      <c r="F103" s="97"/>
      <c r="G103" s="97"/>
      <c r="H103" s="97"/>
      <c r="I103" s="97"/>
      <c r="J103" s="97"/>
      <c r="K103" s="97"/>
      <c r="L103" s="97"/>
      <c r="M103" s="97"/>
      <c r="N103" s="97"/>
      <c r="O103" s="97"/>
      <c r="P103" s="97"/>
      <c r="Q103" s="103">
        <f t="shared" ref="Q103:Q105" si="10">SUM(E103:P103)</f>
        <v>0</v>
      </c>
      <c r="R103" s="39" t="e">
        <f t="shared" si="9"/>
        <v>#DIV/0!</v>
      </c>
      <c r="S103" s="35"/>
      <c r="T103" s="40">
        <f t="shared" si="8"/>
        <v>-1</v>
      </c>
    </row>
    <row r="104" spans="1:20" ht="26.25" hidden="1" customHeight="1">
      <c r="A104" s="5" t="s">
        <v>270</v>
      </c>
      <c r="B104" s="3" t="s">
        <v>720</v>
      </c>
      <c r="D104" s="26" t="s">
        <v>271</v>
      </c>
      <c r="E104" s="97"/>
      <c r="F104" s="97"/>
      <c r="G104" s="97"/>
      <c r="H104" s="97"/>
      <c r="I104" s="97"/>
      <c r="J104" s="97"/>
      <c r="K104" s="97"/>
      <c r="L104" s="97"/>
      <c r="M104" s="97"/>
      <c r="N104" s="97"/>
      <c r="O104" s="97"/>
      <c r="P104" s="97"/>
      <c r="Q104" s="103">
        <f t="shared" si="10"/>
        <v>0</v>
      </c>
      <c r="R104" s="39" t="e">
        <f t="shared" si="9"/>
        <v>#DIV/0!</v>
      </c>
      <c r="S104" s="35"/>
      <c r="T104" s="40">
        <f t="shared" si="8"/>
        <v>-1</v>
      </c>
    </row>
    <row r="105" spans="1:20" ht="26.25" customHeight="1">
      <c r="A105" s="5" t="s">
        <v>611</v>
      </c>
      <c r="B105" s="3" t="s">
        <v>720</v>
      </c>
      <c r="D105" s="26" t="s">
        <v>273</v>
      </c>
      <c r="E105" s="97"/>
      <c r="F105" s="97"/>
      <c r="G105" s="97"/>
      <c r="H105" s="97"/>
      <c r="I105" s="97"/>
      <c r="J105" s="97"/>
      <c r="K105" s="97"/>
      <c r="L105" s="97"/>
      <c r="M105" s="97"/>
      <c r="N105" s="97"/>
      <c r="O105" s="97"/>
      <c r="P105" s="97"/>
      <c r="Q105" s="103">
        <f t="shared" si="10"/>
        <v>0</v>
      </c>
      <c r="R105" s="39" t="e">
        <f t="shared" si="9"/>
        <v>#DIV/0!</v>
      </c>
      <c r="S105" s="35"/>
      <c r="T105" s="40">
        <f t="shared" si="8"/>
        <v>-1</v>
      </c>
    </row>
    <row r="106" spans="1:20" ht="26.25" customHeight="1">
      <c r="D106" s="21" t="s">
        <v>774</v>
      </c>
      <c r="E106" s="98">
        <f>SUM(E38:E105)</f>
        <v>0</v>
      </c>
      <c r="F106" s="98">
        <f t="shared" ref="F106:Q106" si="11">SUM(F38:F105)</f>
        <v>0</v>
      </c>
      <c r="G106" s="98">
        <f t="shared" si="11"/>
        <v>0</v>
      </c>
      <c r="H106" s="98">
        <f t="shared" si="11"/>
        <v>0</v>
      </c>
      <c r="I106" s="98">
        <f t="shared" si="11"/>
        <v>0</v>
      </c>
      <c r="J106" s="98">
        <f t="shared" si="11"/>
        <v>0</v>
      </c>
      <c r="K106" s="98">
        <f t="shared" si="11"/>
        <v>0</v>
      </c>
      <c r="L106" s="98">
        <f t="shared" si="11"/>
        <v>0</v>
      </c>
      <c r="M106" s="98">
        <f t="shared" si="11"/>
        <v>0</v>
      </c>
      <c r="N106" s="98">
        <f t="shared" si="11"/>
        <v>0</v>
      </c>
      <c r="O106" s="98">
        <f t="shared" si="11"/>
        <v>0</v>
      </c>
      <c r="P106" s="98">
        <f t="shared" si="11"/>
        <v>0</v>
      </c>
      <c r="Q106" s="98">
        <f t="shared" si="11"/>
        <v>0</v>
      </c>
      <c r="R106" s="39" t="e">
        <f t="shared" si="9"/>
        <v>#DIV/0!</v>
      </c>
      <c r="S106" s="35"/>
      <c r="T106" s="40">
        <f t="shared" si="8"/>
        <v>-1</v>
      </c>
    </row>
    <row r="107" spans="1:20" ht="26.25" customHeight="1">
      <c r="D107" s="21" t="s">
        <v>775</v>
      </c>
      <c r="E107" s="98">
        <f>E15-E34-E35-E106</f>
        <v>0</v>
      </c>
      <c r="F107" s="98">
        <f t="shared" ref="F107:Q107" si="12">F15-F34-F35-F106</f>
        <v>0</v>
      </c>
      <c r="G107" s="98">
        <f t="shared" si="12"/>
        <v>0</v>
      </c>
      <c r="H107" s="98">
        <f t="shared" si="12"/>
        <v>0</v>
      </c>
      <c r="I107" s="98">
        <f t="shared" si="12"/>
        <v>0</v>
      </c>
      <c r="J107" s="98">
        <f t="shared" si="12"/>
        <v>0</v>
      </c>
      <c r="K107" s="98">
        <f t="shared" si="12"/>
        <v>0</v>
      </c>
      <c r="L107" s="98">
        <f t="shared" si="12"/>
        <v>0</v>
      </c>
      <c r="M107" s="98">
        <f t="shared" si="12"/>
        <v>0</v>
      </c>
      <c r="N107" s="98">
        <f t="shared" si="12"/>
        <v>0</v>
      </c>
      <c r="O107" s="98">
        <f t="shared" si="12"/>
        <v>0</v>
      </c>
      <c r="P107" s="98">
        <f t="shared" si="12"/>
        <v>0</v>
      </c>
      <c r="Q107" s="98">
        <f t="shared" si="12"/>
        <v>0</v>
      </c>
      <c r="R107" s="39" t="e">
        <f t="shared" si="9"/>
        <v>#DIV/0!</v>
      </c>
      <c r="S107" s="35"/>
      <c r="T107" s="40">
        <f t="shared" ref="T107:T109" si="13">IF(Q107-S107=0,0,(Q107-S107)/S107)</f>
        <v>0</v>
      </c>
    </row>
    <row r="108" spans="1:20" ht="26.25" customHeight="1">
      <c r="A108" s="5" t="s">
        <v>776</v>
      </c>
      <c r="B108" s="3" t="s">
        <v>720</v>
      </c>
      <c r="D108" s="21" t="s">
        <v>351</v>
      </c>
      <c r="E108" s="97"/>
      <c r="F108" s="97"/>
      <c r="G108" s="97"/>
      <c r="H108" s="97"/>
      <c r="I108" s="97"/>
      <c r="J108" s="97"/>
      <c r="K108" s="97"/>
      <c r="L108" s="97"/>
      <c r="M108" s="97"/>
      <c r="N108" s="97"/>
      <c r="O108" s="97"/>
      <c r="P108" s="97"/>
      <c r="Q108" s="97"/>
      <c r="S108" s="35"/>
      <c r="T108" s="40"/>
    </row>
    <row r="109" spans="1:20" ht="26.25" customHeight="1">
      <c r="E109" s="105" t="e">
        <f>E107/E15</f>
        <v>#DIV/0!</v>
      </c>
      <c r="F109" s="105" t="e">
        <f t="shared" ref="F109:Q109" si="14">F107/F15</f>
        <v>#DIV/0!</v>
      </c>
      <c r="G109" s="105" t="e">
        <f t="shared" si="14"/>
        <v>#DIV/0!</v>
      </c>
      <c r="H109" s="105" t="e">
        <f t="shared" si="14"/>
        <v>#DIV/0!</v>
      </c>
      <c r="I109" s="105" t="e">
        <f t="shared" si="14"/>
        <v>#DIV/0!</v>
      </c>
      <c r="J109" s="105" t="e">
        <f t="shared" si="14"/>
        <v>#DIV/0!</v>
      </c>
      <c r="K109" s="105" t="e">
        <f t="shared" si="14"/>
        <v>#DIV/0!</v>
      </c>
      <c r="L109" s="105" t="e">
        <f t="shared" si="14"/>
        <v>#DIV/0!</v>
      </c>
      <c r="M109" s="105" t="e">
        <f t="shared" si="14"/>
        <v>#DIV/0!</v>
      </c>
      <c r="N109" s="105" t="e">
        <f t="shared" si="14"/>
        <v>#DIV/0!</v>
      </c>
      <c r="O109" s="105" t="e">
        <f t="shared" si="14"/>
        <v>#DIV/0!</v>
      </c>
      <c r="P109" s="105" t="e">
        <f t="shared" si="14"/>
        <v>#DIV/0!</v>
      </c>
      <c r="Q109" s="105" t="e">
        <f t="shared" si="14"/>
        <v>#DIV/0!</v>
      </c>
      <c r="S109" s="39"/>
      <c r="T109" s="40" t="e">
        <f t="shared" si="13"/>
        <v>#DIV/0!</v>
      </c>
    </row>
    <row r="110" spans="1:20" ht="26.25" customHeight="1">
      <c r="D110" s="21" t="s">
        <v>777</v>
      </c>
      <c r="E110" s="72"/>
      <c r="F110" s="106"/>
      <c r="G110" s="72"/>
      <c r="H110" s="107"/>
      <c r="I110" s="72"/>
      <c r="J110" s="106"/>
      <c r="K110" s="72"/>
      <c r="L110" s="109"/>
      <c r="M110" s="72"/>
      <c r="N110" s="106"/>
      <c r="O110" s="110"/>
      <c r="P110" s="110"/>
      <c r="Q110" s="110"/>
      <c r="S110" s="35"/>
      <c r="T110" s="40"/>
    </row>
    <row r="111" spans="1:20" ht="26.25" customHeight="1">
      <c r="D111" s="21" t="s">
        <v>778</v>
      </c>
      <c r="E111" s="72"/>
      <c r="F111" s="106"/>
      <c r="G111" s="72"/>
      <c r="H111" s="107"/>
      <c r="I111" s="72"/>
      <c r="J111" s="106"/>
      <c r="K111" s="72"/>
      <c r="L111" s="109"/>
      <c r="M111" s="72"/>
      <c r="N111" s="106"/>
      <c r="O111" s="110"/>
      <c r="P111" s="110"/>
      <c r="Q111" s="110"/>
      <c r="S111" s="35"/>
      <c r="T111" s="40"/>
    </row>
    <row r="112" spans="1:20" ht="26.25" customHeight="1">
      <c r="A112" s="5" t="s">
        <v>295</v>
      </c>
      <c r="B112" s="3" t="s">
        <v>720</v>
      </c>
      <c r="D112" s="26" t="s">
        <v>779</v>
      </c>
      <c r="E112" s="97">
        <f>Summary!E$1034</f>
        <v>0</v>
      </c>
      <c r="F112" s="97">
        <f>Summary!F$1034</f>
        <v>0</v>
      </c>
      <c r="G112" s="97">
        <f>Summary!G$1034</f>
        <v>0</v>
      </c>
      <c r="H112" s="97">
        <f>Summary!H$1034</f>
        <v>0</v>
      </c>
      <c r="I112" s="97">
        <f>Summary!I$1034</f>
        <v>0</v>
      </c>
      <c r="J112" s="97">
        <f>Summary!J$1034</f>
        <v>0</v>
      </c>
      <c r="K112" s="97">
        <f>Summary!K$1034</f>
        <v>0</v>
      </c>
      <c r="L112" s="97">
        <f>Summary!L$1034</f>
        <v>0</v>
      </c>
      <c r="M112" s="97">
        <f>Summary!M$1034</f>
        <v>0</v>
      </c>
      <c r="N112" s="97">
        <f>Summary!N$1034</f>
        <v>0</v>
      </c>
      <c r="O112" s="97">
        <f>Summary!O$1034</f>
        <v>0</v>
      </c>
      <c r="P112" s="97">
        <f>Summary!P$1034</f>
        <v>0</v>
      </c>
      <c r="Q112" s="103">
        <f>SUM(E112:P112)</f>
        <v>0</v>
      </c>
      <c r="R112" s="39" t="e">
        <f>Q112/$Q$15</f>
        <v>#DIV/0!</v>
      </c>
      <c r="S112" s="35"/>
      <c r="T112" s="40">
        <f>-IF(Q112-S112=0,0,(Q112-S112)/S112)</f>
        <v>0</v>
      </c>
    </row>
    <row r="113" spans="1:20" ht="26.25" customHeight="1">
      <c r="A113" s="5" t="s">
        <v>298</v>
      </c>
      <c r="B113" s="3" t="s">
        <v>720</v>
      </c>
      <c r="D113" s="26" t="s">
        <v>780</v>
      </c>
      <c r="E113" s="108">
        <f>Summary!E$1035</f>
        <v>0</v>
      </c>
      <c r="F113" s="108">
        <f>Summary!F$1035</f>
        <v>0</v>
      </c>
      <c r="G113" s="108">
        <f>Summary!G$1035</f>
        <v>0</v>
      </c>
      <c r="H113" s="108">
        <f>Summary!H$1035</f>
        <v>0</v>
      </c>
      <c r="I113" s="108">
        <f>Summary!I$1035</f>
        <v>0</v>
      </c>
      <c r="J113" s="108">
        <f>Summary!J$1035</f>
        <v>0</v>
      </c>
      <c r="K113" s="108">
        <f>Summary!K$1035</f>
        <v>0</v>
      </c>
      <c r="L113" s="108">
        <f>Summary!L$1035</f>
        <v>0</v>
      </c>
      <c r="M113" s="108">
        <f>Summary!M$1035</f>
        <v>0</v>
      </c>
      <c r="N113" s="108">
        <f>Summary!N$1035</f>
        <v>0</v>
      </c>
      <c r="O113" s="108">
        <f>Summary!O$1035</f>
        <v>0</v>
      </c>
      <c r="P113" s="108">
        <f>Summary!P$1035</f>
        <v>0</v>
      </c>
      <c r="Q113" s="111">
        <f>SUM(E113:P113)</f>
        <v>0</v>
      </c>
      <c r="R113" s="39" t="e">
        <f>Q113/$Q$15</f>
        <v>#DIV/0!</v>
      </c>
      <c r="S113" s="35"/>
      <c r="T113" s="40">
        <f t="shared" ref="T113:T143" si="15">-IF(Q113-S113=0,0,(Q113-S113)/S113)</f>
        <v>0</v>
      </c>
    </row>
    <row r="114" spans="1:20" ht="26.25" customHeight="1">
      <c r="D114" s="21" t="s">
        <v>781</v>
      </c>
      <c r="E114" s="99">
        <f>SUM(E112:E113)</f>
        <v>0</v>
      </c>
      <c r="F114" s="99">
        <f t="shared" ref="F114:Q114" si="16">SUM(F112:F113)</f>
        <v>0</v>
      </c>
      <c r="G114" s="99">
        <f t="shared" si="16"/>
        <v>0</v>
      </c>
      <c r="H114" s="99">
        <f t="shared" si="16"/>
        <v>0</v>
      </c>
      <c r="I114" s="99">
        <f t="shared" si="16"/>
        <v>0</v>
      </c>
      <c r="J114" s="99">
        <f t="shared" si="16"/>
        <v>0</v>
      </c>
      <c r="K114" s="99">
        <f t="shared" si="16"/>
        <v>0</v>
      </c>
      <c r="L114" s="99">
        <f t="shared" si="16"/>
        <v>0</v>
      </c>
      <c r="M114" s="99">
        <f t="shared" si="16"/>
        <v>0</v>
      </c>
      <c r="N114" s="99">
        <f t="shared" si="16"/>
        <v>0</v>
      </c>
      <c r="O114" s="99">
        <f t="shared" si="16"/>
        <v>0</v>
      </c>
      <c r="P114" s="99">
        <f t="shared" si="16"/>
        <v>0</v>
      </c>
      <c r="Q114" s="99">
        <f t="shared" si="16"/>
        <v>0</v>
      </c>
      <c r="R114" s="39" t="e">
        <f>Q114/$Q$15</f>
        <v>#DIV/0!</v>
      </c>
      <c r="S114" s="35"/>
      <c r="T114" s="40">
        <f t="shared" si="15"/>
        <v>0</v>
      </c>
    </row>
    <row r="115" spans="1:20" ht="26.25" customHeight="1">
      <c r="E115" s="72"/>
      <c r="F115" s="106"/>
      <c r="G115" s="72"/>
      <c r="H115" s="72"/>
      <c r="I115" s="72"/>
      <c r="J115" s="106"/>
      <c r="K115" s="72"/>
      <c r="L115" s="109"/>
      <c r="M115" s="72"/>
      <c r="N115" s="106"/>
      <c r="O115" s="110"/>
      <c r="P115" s="110"/>
      <c r="Q115" s="110"/>
      <c r="S115" s="35"/>
      <c r="T115" s="40"/>
    </row>
    <row r="116" spans="1:20" ht="26.25" customHeight="1">
      <c r="A116" s="5" t="s">
        <v>619</v>
      </c>
      <c r="B116" s="3" t="s">
        <v>720</v>
      </c>
      <c r="D116" s="26" t="s">
        <v>782</v>
      </c>
      <c r="E116" s="97">
        <f>Summary!E$1036</f>
        <v>0</v>
      </c>
      <c r="F116" s="97">
        <f>Summary!F$1036</f>
        <v>0</v>
      </c>
      <c r="G116" s="97">
        <f>Summary!G$1036</f>
        <v>0</v>
      </c>
      <c r="H116" s="97">
        <f>Summary!H$1036</f>
        <v>0</v>
      </c>
      <c r="I116" s="97">
        <f>Summary!I$1036</f>
        <v>0</v>
      </c>
      <c r="J116" s="97">
        <f>Summary!J$1036</f>
        <v>0</v>
      </c>
      <c r="K116" s="97">
        <f>Summary!K$1036</f>
        <v>0</v>
      </c>
      <c r="L116" s="97">
        <f>Summary!L$1036</f>
        <v>0</v>
      </c>
      <c r="M116" s="97">
        <f>Summary!M$1036</f>
        <v>0</v>
      </c>
      <c r="N116" s="97">
        <f>Summary!N$1036</f>
        <v>0</v>
      </c>
      <c r="O116" s="97">
        <f>Summary!O$1036</f>
        <v>0</v>
      </c>
      <c r="P116" s="97">
        <f>Summary!P$1036</f>
        <v>0</v>
      </c>
      <c r="Q116" s="103">
        <f>SUM(E116:P116)</f>
        <v>0</v>
      </c>
      <c r="R116" s="39" t="e">
        <f t="shared" ref="R116:R121" si="17">Q116/$Q$15</f>
        <v>#DIV/0!</v>
      </c>
      <c r="S116" s="35"/>
      <c r="T116" s="40">
        <f t="shared" si="15"/>
        <v>0</v>
      </c>
    </row>
    <row r="117" spans="1:20" ht="26.25" customHeight="1">
      <c r="A117" s="5" t="s">
        <v>308</v>
      </c>
      <c r="B117" s="3" t="s">
        <v>720</v>
      </c>
      <c r="D117" s="26" t="s">
        <v>783</v>
      </c>
      <c r="E117" s="97">
        <f>Summary!E$1037</f>
        <v>0</v>
      </c>
      <c r="F117" s="97">
        <f>Summary!F$1037</f>
        <v>0</v>
      </c>
      <c r="G117" s="97">
        <f>Summary!G$1037</f>
        <v>0</v>
      </c>
      <c r="H117" s="97">
        <f>Summary!H$1037</f>
        <v>0</v>
      </c>
      <c r="I117" s="97">
        <f>Summary!I$1037</f>
        <v>0</v>
      </c>
      <c r="J117" s="97">
        <f>Summary!J$1037</f>
        <v>0</v>
      </c>
      <c r="K117" s="97">
        <f>Summary!K$1037</f>
        <v>0</v>
      </c>
      <c r="L117" s="97">
        <f>Summary!L$1037</f>
        <v>0</v>
      </c>
      <c r="M117" s="97">
        <f>Summary!M$1037</f>
        <v>0</v>
      </c>
      <c r="N117" s="97">
        <f>Summary!N$1037</f>
        <v>0</v>
      </c>
      <c r="O117" s="97">
        <f>Summary!O$1037</f>
        <v>0</v>
      </c>
      <c r="P117" s="97">
        <f>Summary!P$1037</f>
        <v>0</v>
      </c>
      <c r="Q117" s="103">
        <f t="shared" ref="Q117:Q120" si="18">SUM(E117:P117)</f>
        <v>0</v>
      </c>
      <c r="R117" s="39" t="e">
        <f t="shared" si="17"/>
        <v>#DIV/0!</v>
      </c>
      <c r="S117" s="35"/>
      <c r="T117" s="40">
        <f t="shared" si="15"/>
        <v>0</v>
      </c>
    </row>
    <row r="118" spans="1:20" ht="26.25" customHeight="1">
      <c r="A118" s="5" t="s">
        <v>620</v>
      </c>
      <c r="B118" s="3" t="s">
        <v>720</v>
      </c>
      <c r="D118" s="26" t="s">
        <v>784</v>
      </c>
      <c r="E118" s="97">
        <f>Summary!E$1038</f>
        <v>0</v>
      </c>
      <c r="F118" s="97">
        <f>Summary!F$1038</f>
        <v>0</v>
      </c>
      <c r="G118" s="97">
        <f>Summary!G$1038</f>
        <v>0</v>
      </c>
      <c r="H118" s="97">
        <f>Summary!H$1038</f>
        <v>0</v>
      </c>
      <c r="I118" s="97">
        <f>Summary!I$1038</f>
        <v>0</v>
      </c>
      <c r="J118" s="97">
        <f>Summary!J$1038</f>
        <v>0</v>
      </c>
      <c r="K118" s="97">
        <f>Summary!K$1038</f>
        <v>0</v>
      </c>
      <c r="L118" s="97">
        <f>Summary!L$1038</f>
        <v>0</v>
      </c>
      <c r="M118" s="97">
        <f>Summary!M$1038</f>
        <v>0</v>
      </c>
      <c r="N118" s="97">
        <f>Summary!N$1038</f>
        <v>0</v>
      </c>
      <c r="O118" s="97">
        <f>Summary!O$1038</f>
        <v>0</v>
      </c>
      <c r="P118" s="97">
        <f>Summary!P$1038</f>
        <v>0</v>
      </c>
      <c r="Q118" s="103">
        <f t="shared" si="18"/>
        <v>0</v>
      </c>
      <c r="R118" s="39" t="e">
        <f t="shared" si="17"/>
        <v>#DIV/0!</v>
      </c>
      <c r="S118" s="35"/>
      <c r="T118" s="40">
        <f t="shared" si="15"/>
        <v>0</v>
      </c>
    </row>
    <row r="119" spans="1:20" ht="26.25" customHeight="1">
      <c r="A119" s="5" t="s">
        <v>621</v>
      </c>
      <c r="B119" s="3" t="s">
        <v>720</v>
      </c>
      <c r="D119" s="26" t="s">
        <v>785</v>
      </c>
      <c r="E119" s="97">
        <f>Summary!E$1039</f>
        <v>0</v>
      </c>
      <c r="F119" s="97">
        <f>Summary!F$1039</f>
        <v>0</v>
      </c>
      <c r="G119" s="97">
        <f>Summary!G$1039</f>
        <v>0</v>
      </c>
      <c r="H119" s="97">
        <f>Summary!H$1039</f>
        <v>0</v>
      </c>
      <c r="I119" s="97">
        <f>Summary!I$1039</f>
        <v>0</v>
      </c>
      <c r="J119" s="97">
        <f>Summary!J$1039</f>
        <v>0</v>
      </c>
      <c r="K119" s="97">
        <f>Summary!K$1039</f>
        <v>0</v>
      </c>
      <c r="L119" s="97">
        <f>Summary!L$1039</f>
        <v>0</v>
      </c>
      <c r="M119" s="97">
        <f>Summary!M$1039</f>
        <v>0</v>
      </c>
      <c r="N119" s="97">
        <f>Summary!N$1039</f>
        <v>0</v>
      </c>
      <c r="O119" s="97">
        <f>Summary!O$1039</f>
        <v>0</v>
      </c>
      <c r="P119" s="97">
        <f>Summary!P$1039</f>
        <v>0</v>
      </c>
      <c r="Q119" s="103">
        <f t="shared" si="18"/>
        <v>0</v>
      </c>
      <c r="R119" s="39" t="e">
        <f t="shared" si="17"/>
        <v>#DIV/0!</v>
      </c>
      <c r="S119" s="35"/>
      <c r="T119" s="40">
        <f t="shared" si="15"/>
        <v>0</v>
      </c>
    </row>
    <row r="120" spans="1:20" ht="26.25" customHeight="1">
      <c r="A120" s="5" t="s">
        <v>622</v>
      </c>
      <c r="B120" s="3" t="s">
        <v>720</v>
      </c>
      <c r="D120" s="26" t="s">
        <v>786</v>
      </c>
      <c r="E120" s="108">
        <f>Summary!E$1040</f>
        <v>0</v>
      </c>
      <c r="F120" s="108">
        <f>Summary!F$1040</f>
        <v>0</v>
      </c>
      <c r="G120" s="108">
        <f>Summary!G$1040</f>
        <v>0</v>
      </c>
      <c r="H120" s="108">
        <f>Summary!H$1040</f>
        <v>0</v>
      </c>
      <c r="I120" s="108">
        <f>Summary!I$1040</f>
        <v>0</v>
      </c>
      <c r="J120" s="108">
        <f>Summary!J$1040</f>
        <v>0</v>
      </c>
      <c r="K120" s="108">
        <f>Summary!K$1040</f>
        <v>0</v>
      </c>
      <c r="L120" s="108">
        <f>Summary!L$1040</f>
        <v>0</v>
      </c>
      <c r="M120" s="108">
        <f>Summary!M$1040</f>
        <v>0</v>
      </c>
      <c r="N120" s="108">
        <f>Summary!N$1040</f>
        <v>0</v>
      </c>
      <c r="O120" s="108">
        <f>Summary!O$1040</f>
        <v>0</v>
      </c>
      <c r="P120" s="108">
        <f>Summary!P$1040</f>
        <v>0</v>
      </c>
      <c r="Q120" s="111">
        <f t="shared" si="18"/>
        <v>0</v>
      </c>
      <c r="R120" s="39" t="e">
        <f t="shared" si="17"/>
        <v>#DIV/0!</v>
      </c>
      <c r="S120" s="35"/>
      <c r="T120" s="40">
        <f t="shared" si="15"/>
        <v>0</v>
      </c>
    </row>
    <row r="121" spans="1:20" ht="26.25" customHeight="1">
      <c r="D121" s="21" t="s">
        <v>787</v>
      </c>
      <c r="E121" s="99">
        <f>SUM(E116:E120)</f>
        <v>0</v>
      </c>
      <c r="F121" s="99">
        <f t="shared" ref="F121:P121" si="19">SUM(F116:F120)</f>
        <v>0</v>
      </c>
      <c r="G121" s="99">
        <f t="shared" si="19"/>
        <v>0</v>
      </c>
      <c r="H121" s="99">
        <f t="shared" si="19"/>
        <v>0</v>
      </c>
      <c r="I121" s="99">
        <f t="shared" si="19"/>
        <v>0</v>
      </c>
      <c r="J121" s="99">
        <f t="shared" si="19"/>
        <v>0</v>
      </c>
      <c r="K121" s="99">
        <f t="shared" si="19"/>
        <v>0</v>
      </c>
      <c r="L121" s="99">
        <f t="shared" si="19"/>
        <v>0</v>
      </c>
      <c r="M121" s="99">
        <f t="shared" si="19"/>
        <v>0</v>
      </c>
      <c r="N121" s="99">
        <f t="shared" si="19"/>
        <v>0</v>
      </c>
      <c r="O121" s="99">
        <f t="shared" si="19"/>
        <v>0</v>
      </c>
      <c r="P121" s="99">
        <f t="shared" si="19"/>
        <v>0</v>
      </c>
      <c r="Q121" s="99">
        <f t="shared" ref="Q121" si="20">SUM(Q116:Q120)</f>
        <v>0</v>
      </c>
      <c r="R121" s="39" t="e">
        <f t="shared" si="17"/>
        <v>#DIV/0!</v>
      </c>
      <c r="S121" s="35"/>
      <c r="T121" s="40">
        <f t="shared" si="15"/>
        <v>0</v>
      </c>
    </row>
    <row r="122" spans="1:20" ht="26.25" customHeight="1">
      <c r="E122" s="72"/>
      <c r="F122" s="106"/>
      <c r="G122" s="72"/>
      <c r="H122" s="72"/>
      <c r="I122" s="72"/>
      <c r="J122" s="106"/>
      <c r="K122" s="72"/>
      <c r="L122" s="109"/>
      <c r="M122" s="72"/>
      <c r="N122" s="106"/>
      <c r="O122" s="110"/>
      <c r="P122" s="110"/>
      <c r="Q122" s="110"/>
      <c r="S122" s="35"/>
      <c r="T122" s="40"/>
    </row>
    <row r="123" spans="1:20" ht="26.25" customHeight="1">
      <c r="A123" s="5" t="s">
        <v>625</v>
      </c>
      <c r="B123" s="3" t="s">
        <v>720</v>
      </c>
      <c r="D123" s="26" t="s">
        <v>788</v>
      </c>
      <c r="E123" s="97">
        <f>Summary!E$1042</f>
        <v>0</v>
      </c>
      <c r="F123" s="97">
        <f>Summary!F$1042</f>
        <v>0</v>
      </c>
      <c r="G123" s="97">
        <f>Summary!G$1042</f>
        <v>0</v>
      </c>
      <c r="H123" s="97">
        <f>Summary!H$1042</f>
        <v>0</v>
      </c>
      <c r="I123" s="97">
        <f>Summary!I$1042</f>
        <v>0</v>
      </c>
      <c r="J123" s="97">
        <f>Summary!J$1042</f>
        <v>0</v>
      </c>
      <c r="K123" s="97">
        <f>Summary!K$1042</f>
        <v>0</v>
      </c>
      <c r="L123" s="97">
        <f>Summary!L$1042</f>
        <v>0</v>
      </c>
      <c r="M123" s="97">
        <f>Summary!M$1042</f>
        <v>0</v>
      </c>
      <c r="N123" s="97">
        <f>Summary!N$1042</f>
        <v>0</v>
      </c>
      <c r="O123" s="97">
        <f>Summary!O$1042</f>
        <v>0</v>
      </c>
      <c r="P123" s="97">
        <f>Summary!P$1042</f>
        <v>0</v>
      </c>
      <c r="Q123" s="103">
        <f>SUM(E123:P123)</f>
        <v>0</v>
      </c>
      <c r="R123" s="39" t="e">
        <f t="shared" ref="R123:R131" si="21">Q123/$Q$15</f>
        <v>#DIV/0!</v>
      </c>
      <c r="S123" s="35"/>
      <c r="T123" s="40">
        <f t="shared" si="15"/>
        <v>0</v>
      </c>
    </row>
    <row r="124" spans="1:20" ht="26.25" customHeight="1">
      <c r="A124" s="5" t="s">
        <v>626</v>
      </c>
      <c r="B124" s="3" t="s">
        <v>720</v>
      </c>
      <c r="D124" s="26" t="s">
        <v>789</v>
      </c>
      <c r="E124" s="97">
        <f>Summary!E$1043</f>
        <v>0</v>
      </c>
      <c r="F124" s="97">
        <f>Summary!F$1043</f>
        <v>0</v>
      </c>
      <c r="G124" s="97">
        <f>Summary!G$1043</f>
        <v>0</v>
      </c>
      <c r="H124" s="97">
        <f>Summary!H$1043</f>
        <v>0</v>
      </c>
      <c r="I124" s="97">
        <f>Summary!I$1043</f>
        <v>0</v>
      </c>
      <c r="J124" s="97">
        <f>Summary!J$1043</f>
        <v>0</v>
      </c>
      <c r="K124" s="97">
        <f>Summary!K$1043</f>
        <v>0</v>
      </c>
      <c r="L124" s="97">
        <f>Summary!L$1043</f>
        <v>0</v>
      </c>
      <c r="M124" s="97">
        <f>Summary!M$1043</f>
        <v>0</v>
      </c>
      <c r="N124" s="97">
        <f>Summary!N$1043</f>
        <v>0</v>
      </c>
      <c r="O124" s="97">
        <f>Summary!O$1043</f>
        <v>0</v>
      </c>
      <c r="P124" s="97">
        <f>Summary!P$1043</f>
        <v>0</v>
      </c>
      <c r="Q124" s="103">
        <f t="shared" ref="Q124:Q130" si="22">SUM(E124:P124)</f>
        <v>0</v>
      </c>
      <c r="R124" s="39" t="e">
        <f t="shared" si="21"/>
        <v>#DIV/0!</v>
      </c>
      <c r="S124" s="35"/>
      <c r="T124" s="40">
        <f t="shared" si="15"/>
        <v>0</v>
      </c>
    </row>
    <row r="125" spans="1:20" ht="26.25" customHeight="1">
      <c r="A125" s="5" t="s">
        <v>627</v>
      </c>
      <c r="B125" s="3" t="s">
        <v>720</v>
      </c>
      <c r="D125" s="26" t="s">
        <v>790</v>
      </c>
      <c r="E125" s="97">
        <f>Summary!E$1044</f>
        <v>0</v>
      </c>
      <c r="F125" s="97">
        <f>Summary!F$1044</f>
        <v>0</v>
      </c>
      <c r="G125" s="97">
        <f>Summary!G$1044</f>
        <v>0</v>
      </c>
      <c r="H125" s="97">
        <f>Summary!H$1044</f>
        <v>0</v>
      </c>
      <c r="I125" s="97">
        <f>Summary!I$1044</f>
        <v>0</v>
      </c>
      <c r="J125" s="97">
        <f>Summary!J$1044</f>
        <v>0</v>
      </c>
      <c r="K125" s="97">
        <f>Summary!K$1044</f>
        <v>0</v>
      </c>
      <c r="L125" s="97">
        <f>Summary!L$1044</f>
        <v>0</v>
      </c>
      <c r="M125" s="97">
        <f>Summary!M$1044</f>
        <v>0</v>
      </c>
      <c r="N125" s="97">
        <f>Summary!N$1044</f>
        <v>0</v>
      </c>
      <c r="O125" s="97">
        <f>Summary!O$1044</f>
        <v>0</v>
      </c>
      <c r="P125" s="97">
        <f>Summary!P$1044</f>
        <v>0</v>
      </c>
      <c r="Q125" s="103">
        <f t="shared" si="22"/>
        <v>0</v>
      </c>
      <c r="R125" s="39" t="e">
        <f t="shared" si="21"/>
        <v>#DIV/0!</v>
      </c>
      <c r="S125" s="35"/>
      <c r="T125" s="40">
        <f t="shared" si="15"/>
        <v>0</v>
      </c>
    </row>
    <row r="126" spans="1:20" ht="26.25" customHeight="1">
      <c r="A126" s="5" t="s">
        <v>628</v>
      </c>
      <c r="B126" s="3" t="s">
        <v>720</v>
      </c>
      <c r="D126" s="26" t="s">
        <v>791</v>
      </c>
      <c r="E126" s="97">
        <f>Summary!E$1045</f>
        <v>0</v>
      </c>
      <c r="F126" s="97">
        <f>Summary!F$1045</f>
        <v>0</v>
      </c>
      <c r="G126" s="97">
        <f>Summary!G$1045</f>
        <v>0</v>
      </c>
      <c r="H126" s="97">
        <f>Summary!H$1045</f>
        <v>0</v>
      </c>
      <c r="I126" s="97">
        <f>Summary!I$1045</f>
        <v>0</v>
      </c>
      <c r="J126" s="97">
        <f>Summary!J$1045</f>
        <v>0</v>
      </c>
      <c r="K126" s="97">
        <f>Summary!K$1045</f>
        <v>0</v>
      </c>
      <c r="L126" s="97">
        <f>Summary!L$1045</f>
        <v>0</v>
      </c>
      <c r="M126" s="97">
        <f>Summary!M$1045</f>
        <v>0</v>
      </c>
      <c r="N126" s="97">
        <f>Summary!N$1045</f>
        <v>0</v>
      </c>
      <c r="O126" s="97">
        <f>Summary!O$1045</f>
        <v>0</v>
      </c>
      <c r="P126" s="97">
        <f>Summary!P$1045</f>
        <v>0</v>
      </c>
      <c r="Q126" s="103">
        <f t="shared" si="22"/>
        <v>0</v>
      </c>
      <c r="R126" s="39" t="e">
        <f t="shared" si="21"/>
        <v>#DIV/0!</v>
      </c>
      <c r="S126" s="35"/>
      <c r="T126" s="40">
        <f t="shared" si="15"/>
        <v>0</v>
      </c>
    </row>
    <row r="127" spans="1:20" ht="26.25" customHeight="1">
      <c r="A127" s="5" t="s">
        <v>629</v>
      </c>
      <c r="B127" s="3" t="s">
        <v>720</v>
      </c>
      <c r="D127" s="26" t="s">
        <v>792</v>
      </c>
      <c r="E127" s="97">
        <f>Summary!E$1046</f>
        <v>0</v>
      </c>
      <c r="F127" s="97">
        <f>Summary!F$1046</f>
        <v>0</v>
      </c>
      <c r="G127" s="97">
        <f>Summary!G$1046</f>
        <v>0</v>
      </c>
      <c r="H127" s="97">
        <f>Summary!H$1046</f>
        <v>0</v>
      </c>
      <c r="I127" s="97">
        <f>Summary!I$1046</f>
        <v>0</v>
      </c>
      <c r="J127" s="97">
        <f>Summary!J$1046</f>
        <v>0</v>
      </c>
      <c r="K127" s="97">
        <f>Summary!K$1046</f>
        <v>0</v>
      </c>
      <c r="L127" s="97">
        <f>Summary!L$1046</f>
        <v>0</v>
      </c>
      <c r="M127" s="97">
        <f>Summary!M$1046</f>
        <v>0</v>
      </c>
      <c r="N127" s="97">
        <f>Summary!N$1046</f>
        <v>0</v>
      </c>
      <c r="O127" s="97">
        <f>Summary!O$1046</f>
        <v>0</v>
      </c>
      <c r="P127" s="97">
        <f>Summary!P$1046</f>
        <v>0</v>
      </c>
      <c r="Q127" s="103">
        <f t="shared" si="22"/>
        <v>0</v>
      </c>
      <c r="R127" s="39" t="e">
        <f t="shared" si="21"/>
        <v>#DIV/0!</v>
      </c>
      <c r="S127" s="35"/>
      <c r="T127" s="40">
        <f t="shared" si="15"/>
        <v>0</v>
      </c>
    </row>
    <row r="128" spans="1:20" ht="26.25" customHeight="1">
      <c r="A128" s="5" t="s">
        <v>630</v>
      </c>
      <c r="B128" s="3" t="s">
        <v>720</v>
      </c>
      <c r="D128" s="26" t="s">
        <v>793</v>
      </c>
      <c r="E128" s="97">
        <f>Summary!E$1047</f>
        <v>0</v>
      </c>
      <c r="F128" s="97">
        <f>Summary!F$1047</f>
        <v>0</v>
      </c>
      <c r="G128" s="97">
        <f>Summary!G$1047</f>
        <v>0</v>
      </c>
      <c r="H128" s="97">
        <f>Summary!H$1047</f>
        <v>0</v>
      </c>
      <c r="I128" s="97">
        <f>Summary!I$1047</f>
        <v>0</v>
      </c>
      <c r="J128" s="97">
        <f>Summary!J$1047</f>
        <v>0</v>
      </c>
      <c r="K128" s="97">
        <f>Summary!K$1047</f>
        <v>0</v>
      </c>
      <c r="L128" s="97">
        <f>Summary!L$1047</f>
        <v>0</v>
      </c>
      <c r="M128" s="97">
        <f>Summary!M$1047</f>
        <v>0</v>
      </c>
      <c r="N128" s="97">
        <f>Summary!N$1047</f>
        <v>0</v>
      </c>
      <c r="O128" s="97">
        <f>Summary!O$1047</f>
        <v>0</v>
      </c>
      <c r="P128" s="97">
        <f>Summary!P$1047</f>
        <v>0</v>
      </c>
      <c r="Q128" s="103">
        <f t="shared" si="22"/>
        <v>0</v>
      </c>
      <c r="R128" s="39" t="e">
        <f t="shared" si="21"/>
        <v>#DIV/0!</v>
      </c>
      <c r="S128" s="35"/>
      <c r="T128" s="40">
        <f t="shared" si="15"/>
        <v>0</v>
      </c>
    </row>
    <row r="129" spans="1:20" ht="26.25" hidden="1" customHeight="1">
      <c r="A129" s="5" t="s">
        <v>631</v>
      </c>
      <c r="B129" s="3" t="s">
        <v>720</v>
      </c>
      <c r="D129" s="26" t="s">
        <v>794</v>
      </c>
      <c r="E129" s="97">
        <v>0</v>
      </c>
      <c r="F129" s="97">
        <v>0</v>
      </c>
      <c r="G129" s="97">
        <v>0</v>
      </c>
      <c r="H129" s="97">
        <v>0</v>
      </c>
      <c r="I129" s="97">
        <v>0</v>
      </c>
      <c r="J129" s="97">
        <v>0</v>
      </c>
      <c r="K129" s="97">
        <v>0</v>
      </c>
      <c r="L129" s="97">
        <v>0</v>
      </c>
      <c r="M129" s="97">
        <v>0</v>
      </c>
      <c r="N129" s="97">
        <v>0</v>
      </c>
      <c r="O129" s="97">
        <v>0</v>
      </c>
      <c r="P129" s="97">
        <v>0</v>
      </c>
      <c r="Q129" s="103">
        <f t="shared" si="22"/>
        <v>0</v>
      </c>
      <c r="R129" s="39" t="e">
        <f t="shared" si="21"/>
        <v>#DIV/0!</v>
      </c>
      <c r="S129" s="35"/>
      <c r="T129" s="40">
        <f t="shared" si="15"/>
        <v>0</v>
      </c>
    </row>
    <row r="130" spans="1:20" ht="26.25" customHeight="1">
      <c r="A130" s="5" t="s">
        <v>632</v>
      </c>
      <c r="B130" s="3" t="s">
        <v>720</v>
      </c>
      <c r="D130" s="26" t="s">
        <v>795</v>
      </c>
      <c r="E130" s="108">
        <v>0</v>
      </c>
      <c r="F130" s="108">
        <v>0</v>
      </c>
      <c r="G130" s="108">
        <v>0</v>
      </c>
      <c r="H130" s="108">
        <v>0</v>
      </c>
      <c r="I130" s="108">
        <v>0</v>
      </c>
      <c r="J130" s="108">
        <v>0</v>
      </c>
      <c r="K130" s="108">
        <v>0</v>
      </c>
      <c r="L130" s="108">
        <v>0</v>
      </c>
      <c r="M130" s="108">
        <v>0</v>
      </c>
      <c r="N130" s="108">
        <v>0</v>
      </c>
      <c r="O130" s="108">
        <v>0</v>
      </c>
      <c r="P130" s="108">
        <v>0</v>
      </c>
      <c r="Q130" s="111">
        <f t="shared" si="22"/>
        <v>0</v>
      </c>
      <c r="R130" s="39" t="e">
        <f t="shared" si="21"/>
        <v>#DIV/0!</v>
      </c>
      <c r="S130" s="35"/>
      <c r="T130" s="40">
        <f t="shared" si="15"/>
        <v>0</v>
      </c>
    </row>
    <row r="131" spans="1:20" ht="26.25" customHeight="1">
      <c r="D131" s="21" t="s">
        <v>796</v>
      </c>
      <c r="E131" s="99">
        <f>SUM(E123:E130)</f>
        <v>0</v>
      </c>
      <c r="F131" s="99">
        <f t="shared" ref="F131:P131" si="23">SUM(F123:F130)</f>
        <v>0</v>
      </c>
      <c r="G131" s="99">
        <f t="shared" si="23"/>
        <v>0</v>
      </c>
      <c r="H131" s="99">
        <f t="shared" si="23"/>
        <v>0</v>
      </c>
      <c r="I131" s="99">
        <f t="shared" si="23"/>
        <v>0</v>
      </c>
      <c r="J131" s="99">
        <f t="shared" si="23"/>
        <v>0</v>
      </c>
      <c r="K131" s="99">
        <f t="shared" si="23"/>
        <v>0</v>
      </c>
      <c r="L131" s="99">
        <f t="shared" si="23"/>
        <v>0</v>
      </c>
      <c r="M131" s="99">
        <f t="shared" si="23"/>
        <v>0</v>
      </c>
      <c r="N131" s="99">
        <f t="shared" si="23"/>
        <v>0</v>
      </c>
      <c r="O131" s="99">
        <f t="shared" si="23"/>
        <v>0</v>
      </c>
      <c r="P131" s="99">
        <f t="shared" si="23"/>
        <v>0</v>
      </c>
      <c r="Q131" s="99">
        <f t="shared" ref="Q131" si="24">SUM(Q123:Q130)</f>
        <v>0</v>
      </c>
      <c r="R131" s="39" t="e">
        <f t="shared" si="21"/>
        <v>#DIV/0!</v>
      </c>
      <c r="S131" s="35"/>
      <c r="T131" s="40">
        <f t="shared" si="15"/>
        <v>0</v>
      </c>
    </row>
    <row r="132" spans="1:20" ht="26.25" customHeight="1">
      <c r="E132" s="72"/>
      <c r="F132" s="106"/>
      <c r="G132" s="72"/>
      <c r="H132" s="72"/>
      <c r="I132" s="72"/>
      <c r="J132" s="106"/>
      <c r="K132" s="72"/>
      <c r="L132" s="109"/>
      <c r="M132" s="72"/>
      <c r="N132" s="106"/>
      <c r="O132" s="110"/>
      <c r="P132" s="110"/>
      <c r="Q132" s="110"/>
      <c r="S132" s="35"/>
      <c r="T132" s="40"/>
    </row>
    <row r="133" spans="1:20" ht="26.25" hidden="1" customHeight="1">
      <c r="A133" s="5" t="s">
        <v>633</v>
      </c>
      <c r="B133" s="3" t="s">
        <v>720</v>
      </c>
      <c r="D133" s="26" t="s">
        <v>797</v>
      </c>
      <c r="E133" s="97">
        <v>0</v>
      </c>
      <c r="F133" s="97">
        <v>0</v>
      </c>
      <c r="G133" s="97">
        <v>0</v>
      </c>
      <c r="H133" s="97">
        <v>0</v>
      </c>
      <c r="I133" s="97">
        <v>0</v>
      </c>
      <c r="J133" s="97">
        <v>0</v>
      </c>
      <c r="K133" s="97">
        <v>0</v>
      </c>
      <c r="L133" s="97">
        <v>0</v>
      </c>
      <c r="M133" s="97">
        <v>0</v>
      </c>
      <c r="N133" s="97">
        <v>0</v>
      </c>
      <c r="O133" s="97">
        <v>0</v>
      </c>
      <c r="P133" s="97">
        <v>0</v>
      </c>
      <c r="Q133" s="103">
        <f>SUM(E133:P133)</f>
        <v>0</v>
      </c>
      <c r="R133" s="39" t="e">
        <f t="shared" ref="R133:R141" si="25">Q133/$Q$15</f>
        <v>#DIV/0!</v>
      </c>
      <c r="S133" s="35"/>
      <c r="T133" s="40">
        <f t="shared" si="15"/>
        <v>0</v>
      </c>
    </row>
    <row r="134" spans="1:20" ht="26.25" hidden="1" customHeight="1">
      <c r="A134" s="5" t="s">
        <v>634</v>
      </c>
      <c r="B134" s="3" t="s">
        <v>720</v>
      </c>
      <c r="D134" s="26" t="s">
        <v>798</v>
      </c>
      <c r="E134" s="97">
        <v>0</v>
      </c>
      <c r="F134" s="97">
        <v>0</v>
      </c>
      <c r="G134" s="97">
        <v>0</v>
      </c>
      <c r="H134" s="97">
        <v>0</v>
      </c>
      <c r="I134" s="97">
        <v>0</v>
      </c>
      <c r="J134" s="97">
        <v>0</v>
      </c>
      <c r="K134" s="97">
        <v>0</v>
      </c>
      <c r="L134" s="97">
        <v>0</v>
      </c>
      <c r="M134" s="97">
        <v>0</v>
      </c>
      <c r="N134" s="97">
        <v>0</v>
      </c>
      <c r="O134" s="97">
        <v>0</v>
      </c>
      <c r="P134" s="97">
        <v>0</v>
      </c>
      <c r="Q134" s="103">
        <f t="shared" ref="Q134:Q139" si="26">SUM(E134:P134)</f>
        <v>0</v>
      </c>
      <c r="R134" s="39" t="e">
        <f t="shared" si="25"/>
        <v>#DIV/0!</v>
      </c>
      <c r="S134" s="35"/>
      <c r="T134" s="40">
        <f t="shared" si="15"/>
        <v>0</v>
      </c>
    </row>
    <row r="135" spans="1:20" ht="26.25" hidden="1" customHeight="1">
      <c r="A135" s="5" t="s">
        <v>635</v>
      </c>
      <c r="B135" s="3" t="s">
        <v>720</v>
      </c>
      <c r="D135" s="26" t="s">
        <v>799</v>
      </c>
      <c r="E135" s="97">
        <v>0</v>
      </c>
      <c r="F135" s="97">
        <v>0</v>
      </c>
      <c r="G135" s="97">
        <v>0</v>
      </c>
      <c r="H135" s="97">
        <v>0</v>
      </c>
      <c r="I135" s="97">
        <v>0</v>
      </c>
      <c r="J135" s="97">
        <v>0</v>
      </c>
      <c r="K135" s="97">
        <v>0</v>
      </c>
      <c r="L135" s="97">
        <v>0</v>
      </c>
      <c r="M135" s="97">
        <v>0</v>
      </c>
      <c r="N135" s="97">
        <v>0</v>
      </c>
      <c r="O135" s="97">
        <v>0</v>
      </c>
      <c r="P135" s="97">
        <v>0</v>
      </c>
      <c r="Q135" s="103">
        <f t="shared" si="26"/>
        <v>0</v>
      </c>
      <c r="R135" s="39" t="e">
        <f t="shared" si="25"/>
        <v>#DIV/0!</v>
      </c>
      <c r="S135" s="35"/>
      <c r="T135" s="40">
        <f t="shared" si="15"/>
        <v>0</v>
      </c>
    </row>
    <row r="136" spans="1:20" ht="26.25" hidden="1" customHeight="1">
      <c r="A136" s="5" t="s">
        <v>636</v>
      </c>
      <c r="B136" s="3" t="s">
        <v>720</v>
      </c>
      <c r="D136" s="26" t="s">
        <v>800</v>
      </c>
      <c r="E136" s="97">
        <v>0</v>
      </c>
      <c r="F136" s="97">
        <v>0</v>
      </c>
      <c r="G136" s="97">
        <v>0</v>
      </c>
      <c r="H136" s="97">
        <v>0</v>
      </c>
      <c r="I136" s="97">
        <v>0</v>
      </c>
      <c r="J136" s="97">
        <v>0</v>
      </c>
      <c r="K136" s="97">
        <v>0</v>
      </c>
      <c r="L136" s="97">
        <v>0</v>
      </c>
      <c r="M136" s="97">
        <v>0</v>
      </c>
      <c r="N136" s="97">
        <v>0</v>
      </c>
      <c r="O136" s="97">
        <v>0</v>
      </c>
      <c r="P136" s="97">
        <v>0</v>
      </c>
      <c r="Q136" s="103">
        <f t="shared" si="26"/>
        <v>0</v>
      </c>
      <c r="R136" s="39" t="e">
        <f t="shared" si="25"/>
        <v>#DIV/0!</v>
      </c>
      <c r="S136" s="35"/>
      <c r="T136" s="40">
        <f t="shared" si="15"/>
        <v>0</v>
      </c>
    </row>
    <row r="137" spans="1:20" ht="26.25" customHeight="1">
      <c r="A137" s="5" t="s">
        <v>637</v>
      </c>
      <c r="B137" s="3" t="s">
        <v>720</v>
      </c>
      <c r="D137" s="26" t="s">
        <v>801</v>
      </c>
      <c r="E137" s="97">
        <f>Summary!E$1049</f>
        <v>0</v>
      </c>
      <c r="F137" s="97">
        <f>Summary!F$1049</f>
        <v>0</v>
      </c>
      <c r="G137" s="97">
        <f>Summary!G$1049</f>
        <v>0</v>
      </c>
      <c r="H137" s="97">
        <f>Summary!H$1049</f>
        <v>0</v>
      </c>
      <c r="I137" s="97">
        <f>Summary!I$1049</f>
        <v>0</v>
      </c>
      <c r="J137" s="97">
        <f>Summary!J$1049</f>
        <v>0</v>
      </c>
      <c r="K137" s="97">
        <f>Summary!K$1049</f>
        <v>0</v>
      </c>
      <c r="L137" s="97">
        <f>Summary!L$1049</f>
        <v>0</v>
      </c>
      <c r="M137" s="97">
        <f>Summary!M$1049</f>
        <v>0</v>
      </c>
      <c r="N137" s="97">
        <f>Summary!N$1049</f>
        <v>0</v>
      </c>
      <c r="O137" s="97">
        <f>Summary!O$1049</f>
        <v>0</v>
      </c>
      <c r="P137" s="97">
        <f>Summary!P$1049</f>
        <v>0</v>
      </c>
      <c r="Q137" s="103">
        <f t="shared" si="26"/>
        <v>0</v>
      </c>
      <c r="R137" s="39" t="e">
        <f t="shared" si="25"/>
        <v>#DIV/0!</v>
      </c>
      <c r="S137" s="35"/>
      <c r="T137" s="40">
        <f t="shared" si="15"/>
        <v>0</v>
      </c>
    </row>
    <row r="138" spans="1:20" ht="26.25" hidden="1" customHeight="1">
      <c r="A138" s="5" t="s">
        <v>344</v>
      </c>
      <c r="B138" s="3" t="s">
        <v>720</v>
      </c>
      <c r="D138" s="26" t="s">
        <v>802</v>
      </c>
      <c r="E138" s="97">
        <f>Summary!E$1050</f>
        <v>0</v>
      </c>
      <c r="F138" s="97">
        <f>Summary!F$1050</f>
        <v>0</v>
      </c>
      <c r="G138" s="97">
        <f>Summary!G$1050</f>
        <v>0</v>
      </c>
      <c r="H138" s="97">
        <f>Summary!H$1050</f>
        <v>0</v>
      </c>
      <c r="I138" s="97">
        <f>Summary!I$1050</f>
        <v>0</v>
      </c>
      <c r="J138" s="97">
        <f>Summary!J$1050</f>
        <v>0</v>
      </c>
      <c r="K138" s="97">
        <f>Summary!K$1050</f>
        <v>0</v>
      </c>
      <c r="L138" s="97">
        <f>Summary!L$1050</f>
        <v>0</v>
      </c>
      <c r="M138" s="97">
        <f>Summary!M$1050</f>
        <v>0</v>
      </c>
      <c r="N138" s="97">
        <f>Summary!N$1050</f>
        <v>0</v>
      </c>
      <c r="O138" s="97">
        <f>Summary!O$1050</f>
        <v>0</v>
      </c>
      <c r="P138" s="97">
        <f>Summary!P$1050</f>
        <v>0</v>
      </c>
      <c r="Q138" s="103">
        <f t="shared" si="26"/>
        <v>0</v>
      </c>
      <c r="R138" s="39" t="e">
        <f t="shared" si="25"/>
        <v>#DIV/0!</v>
      </c>
      <c r="S138" s="35"/>
      <c r="T138" s="40">
        <f t="shared" si="15"/>
        <v>0</v>
      </c>
    </row>
    <row r="139" spans="1:20" ht="26.25" customHeight="1">
      <c r="A139" s="5" t="s">
        <v>640</v>
      </c>
      <c r="B139" s="3" t="s">
        <v>720</v>
      </c>
      <c r="D139" s="26" t="s">
        <v>803</v>
      </c>
      <c r="E139" s="97">
        <f>Summary!E$1051</f>
        <v>0</v>
      </c>
      <c r="F139" s="97">
        <f>Summary!F$1051</f>
        <v>0</v>
      </c>
      <c r="G139" s="97">
        <f>Summary!G$1051</f>
        <v>0</v>
      </c>
      <c r="H139" s="97">
        <f>Summary!H$1051</f>
        <v>0</v>
      </c>
      <c r="I139" s="97">
        <f>Summary!I$1051</f>
        <v>0</v>
      </c>
      <c r="J139" s="97">
        <f>Summary!J$1051</f>
        <v>0</v>
      </c>
      <c r="K139" s="97">
        <f>Summary!K$1051</f>
        <v>0</v>
      </c>
      <c r="L139" s="97">
        <f>Summary!L$1051</f>
        <v>0</v>
      </c>
      <c r="M139" s="97">
        <f>Summary!M$1051</f>
        <v>0</v>
      </c>
      <c r="N139" s="97">
        <f>Summary!N$1051</f>
        <v>0</v>
      </c>
      <c r="O139" s="97">
        <f>Summary!O$1051</f>
        <v>0</v>
      </c>
      <c r="P139" s="97">
        <f>Summary!P$1051</f>
        <v>0</v>
      </c>
      <c r="Q139" s="103">
        <f t="shared" si="26"/>
        <v>0</v>
      </c>
      <c r="R139" s="39" t="e">
        <f t="shared" si="25"/>
        <v>#DIV/0!</v>
      </c>
      <c r="S139" s="35"/>
      <c r="T139" s="40">
        <f t="shared" si="15"/>
        <v>0</v>
      </c>
    </row>
    <row r="140" spans="1:20" s="88" customFormat="1" ht="26.25" customHeight="1">
      <c r="D140" s="21" t="s">
        <v>804</v>
      </c>
      <c r="E140" s="112">
        <f>SUM(E133:E139)</f>
        <v>0</v>
      </c>
      <c r="F140" s="112">
        <f t="shared" ref="F140:Q140" si="27">SUM(F133:F139)</f>
        <v>0</v>
      </c>
      <c r="G140" s="112">
        <f t="shared" si="27"/>
        <v>0</v>
      </c>
      <c r="H140" s="112">
        <f t="shared" si="27"/>
        <v>0</v>
      </c>
      <c r="I140" s="112">
        <f t="shared" si="27"/>
        <v>0</v>
      </c>
      <c r="J140" s="112">
        <f t="shared" si="27"/>
        <v>0</v>
      </c>
      <c r="K140" s="112">
        <f t="shared" si="27"/>
        <v>0</v>
      </c>
      <c r="L140" s="112">
        <f t="shared" si="27"/>
        <v>0</v>
      </c>
      <c r="M140" s="112">
        <f t="shared" si="27"/>
        <v>0</v>
      </c>
      <c r="N140" s="112">
        <f t="shared" si="27"/>
        <v>0</v>
      </c>
      <c r="O140" s="112">
        <f t="shared" si="27"/>
        <v>0</v>
      </c>
      <c r="P140" s="112">
        <f t="shared" si="27"/>
        <v>0</v>
      </c>
      <c r="Q140" s="112">
        <f t="shared" si="27"/>
        <v>0</v>
      </c>
      <c r="R140" s="39" t="e">
        <f t="shared" si="25"/>
        <v>#DIV/0!</v>
      </c>
      <c r="S140" s="35"/>
      <c r="T140" s="40">
        <f t="shared" si="15"/>
        <v>0</v>
      </c>
    </row>
    <row r="141" spans="1:20" ht="26.25" customHeight="1">
      <c r="D141" s="21" t="s">
        <v>805</v>
      </c>
      <c r="E141" s="99">
        <f>E114+E121+E131+E140</f>
        <v>0</v>
      </c>
      <c r="F141" s="99">
        <f t="shared" ref="F141:Q141" si="28">F114+F121+F131+F140</f>
        <v>0</v>
      </c>
      <c r="G141" s="99">
        <f t="shared" si="28"/>
        <v>0</v>
      </c>
      <c r="H141" s="99">
        <f t="shared" si="28"/>
        <v>0</v>
      </c>
      <c r="I141" s="99">
        <f t="shared" si="28"/>
        <v>0</v>
      </c>
      <c r="J141" s="99">
        <f t="shared" si="28"/>
        <v>0</v>
      </c>
      <c r="K141" s="99">
        <f t="shared" si="28"/>
        <v>0</v>
      </c>
      <c r="L141" s="99">
        <f t="shared" si="28"/>
        <v>0</v>
      </c>
      <c r="M141" s="99">
        <f t="shared" si="28"/>
        <v>0</v>
      </c>
      <c r="N141" s="99">
        <f t="shared" si="28"/>
        <v>0</v>
      </c>
      <c r="O141" s="99">
        <f t="shared" si="28"/>
        <v>0</v>
      </c>
      <c r="P141" s="99">
        <f t="shared" si="28"/>
        <v>0</v>
      </c>
      <c r="Q141" s="99">
        <f t="shared" si="28"/>
        <v>0</v>
      </c>
      <c r="R141" s="39" t="e">
        <f t="shared" si="25"/>
        <v>#DIV/0!</v>
      </c>
      <c r="S141" s="35"/>
      <c r="T141" s="40">
        <f t="shared" si="15"/>
        <v>0</v>
      </c>
    </row>
    <row r="142" spans="1:20" ht="26.25" customHeight="1">
      <c r="D142" s="21"/>
      <c r="E142" s="72"/>
      <c r="F142" s="106"/>
      <c r="G142" s="72"/>
      <c r="H142" s="72"/>
      <c r="I142" s="72"/>
      <c r="J142" s="106"/>
      <c r="K142" s="72"/>
      <c r="L142" s="109"/>
      <c r="M142" s="72"/>
      <c r="N142" s="106"/>
      <c r="O142" s="110"/>
      <c r="P142" s="110"/>
      <c r="Q142" s="110"/>
      <c r="S142" s="35"/>
      <c r="T142" s="40"/>
    </row>
    <row r="143" spans="1:20" ht="26.25" customHeight="1">
      <c r="A143" s="5" t="s">
        <v>105</v>
      </c>
      <c r="B143" s="3" t="s">
        <v>720</v>
      </c>
      <c r="D143" s="21" t="s">
        <v>806</v>
      </c>
      <c r="E143" s="99">
        <f>Summary!E$1024</f>
        <v>0</v>
      </c>
      <c r="F143" s="99">
        <f>Summary!F$1024</f>
        <v>0</v>
      </c>
      <c r="G143" s="99">
        <f>Summary!G$1024</f>
        <v>0</v>
      </c>
      <c r="H143" s="99">
        <f>Summary!H$1024</f>
        <v>0</v>
      </c>
      <c r="I143" s="99">
        <f>Summary!I$1024</f>
        <v>0</v>
      </c>
      <c r="J143" s="99">
        <f>Summary!J$1024</f>
        <v>0</v>
      </c>
      <c r="K143" s="99">
        <f>Summary!K$1024</f>
        <v>0</v>
      </c>
      <c r="L143" s="99">
        <f>Summary!L$1024</f>
        <v>0</v>
      </c>
      <c r="M143" s="99">
        <f>Summary!M$1024</f>
        <v>0</v>
      </c>
      <c r="N143" s="99">
        <f>Summary!N$1024</f>
        <v>0</v>
      </c>
      <c r="O143" s="99">
        <f>Summary!O$1024</f>
        <v>0</v>
      </c>
      <c r="P143" s="99">
        <f>Summary!P$1024</f>
        <v>0</v>
      </c>
      <c r="Q143" s="85">
        <f>SUM(E143:P143)/12</f>
        <v>0</v>
      </c>
      <c r="S143" s="35"/>
      <c r="T143" s="40">
        <f t="shared" si="15"/>
        <v>0</v>
      </c>
    </row>
    <row r="144" spans="1:20" ht="26.25" customHeight="1">
      <c r="H144" s="97"/>
      <c r="I144" s="97"/>
      <c r="S144" s="35"/>
      <c r="T144" s="40"/>
    </row>
    <row r="145" spans="4:20" ht="26.25" customHeight="1">
      <c r="S145" s="35"/>
      <c r="T145" s="40"/>
    </row>
    <row r="146" spans="4:20" ht="26.25" customHeight="1">
      <c r="D146" s="26" t="s">
        <v>131</v>
      </c>
      <c r="S146" s="35"/>
      <c r="T146" s="40"/>
    </row>
    <row r="147" spans="4:20" ht="26.25" customHeight="1">
      <c r="D147" s="26" t="s">
        <v>859</v>
      </c>
      <c r="E147" s="113"/>
      <c r="F147" s="113"/>
      <c r="G147" s="113"/>
      <c r="H147" s="113"/>
      <c r="I147" s="113"/>
      <c r="J147" s="113"/>
      <c r="K147" s="113"/>
      <c r="L147" s="113"/>
      <c r="M147" s="113"/>
      <c r="N147" s="113"/>
      <c r="O147" s="113"/>
      <c r="P147" s="113"/>
      <c r="Q147" s="113">
        <f t="shared" ref="Q147:Q150" si="29">SUM(E147:P147)</f>
        <v>0</v>
      </c>
      <c r="S147" s="35"/>
      <c r="T147" s="40">
        <f t="shared" ref="T147:T153" si="30">IF(Q147-S147=0,0,(Q147-S147)/S147)</f>
        <v>0</v>
      </c>
    </row>
    <row r="148" spans="4:20" ht="26.25" customHeight="1">
      <c r="D148" s="26" t="s">
        <v>132</v>
      </c>
      <c r="E148" s="113">
        <f>+E147</f>
        <v>0</v>
      </c>
      <c r="F148" s="113">
        <f t="shared" ref="F148:Q148" si="31">+F147</f>
        <v>0</v>
      </c>
      <c r="G148" s="113">
        <f t="shared" si="31"/>
        <v>0</v>
      </c>
      <c r="H148" s="113">
        <f t="shared" si="31"/>
        <v>0</v>
      </c>
      <c r="I148" s="113">
        <f t="shared" si="31"/>
        <v>0</v>
      </c>
      <c r="J148" s="113">
        <f t="shared" si="31"/>
        <v>0</v>
      </c>
      <c r="K148" s="113">
        <f t="shared" si="31"/>
        <v>0</v>
      </c>
      <c r="L148" s="113">
        <f t="shared" si="31"/>
        <v>0</v>
      </c>
      <c r="M148" s="113">
        <f t="shared" si="31"/>
        <v>0</v>
      </c>
      <c r="N148" s="113">
        <f t="shared" si="31"/>
        <v>0</v>
      </c>
      <c r="O148" s="113">
        <f t="shared" si="31"/>
        <v>0</v>
      </c>
      <c r="P148" s="113">
        <f t="shared" si="31"/>
        <v>0</v>
      </c>
      <c r="Q148" s="113">
        <f t="shared" si="31"/>
        <v>0</v>
      </c>
      <c r="S148" s="35"/>
      <c r="T148" s="40">
        <f t="shared" si="30"/>
        <v>0</v>
      </c>
    </row>
    <row r="149" spans="4:20" ht="26.25" customHeight="1">
      <c r="D149" s="26" t="s">
        <v>133</v>
      </c>
      <c r="E149" s="113"/>
      <c r="F149" s="113"/>
      <c r="G149" s="113"/>
      <c r="H149" s="113"/>
      <c r="I149" s="113"/>
      <c r="J149" s="113"/>
      <c r="K149" s="113"/>
      <c r="L149" s="113"/>
      <c r="M149" s="113"/>
      <c r="N149" s="113"/>
      <c r="O149" s="113"/>
      <c r="P149" s="113"/>
      <c r="Q149" s="113">
        <f t="shared" si="29"/>
        <v>0</v>
      </c>
      <c r="S149" s="35"/>
      <c r="T149" s="40">
        <f t="shared" si="30"/>
        <v>0</v>
      </c>
    </row>
    <row r="150" spans="4:20" ht="26.25" customHeight="1">
      <c r="D150" s="26" t="s">
        <v>860</v>
      </c>
      <c r="E150" s="113"/>
      <c r="F150" s="113"/>
      <c r="G150" s="113"/>
      <c r="H150" s="113"/>
      <c r="I150" s="113"/>
      <c r="J150" s="113"/>
      <c r="K150" s="113"/>
      <c r="L150" s="113"/>
      <c r="M150" s="113"/>
      <c r="N150" s="113"/>
      <c r="O150" s="113"/>
      <c r="P150" s="113"/>
      <c r="Q150" s="113">
        <f t="shared" si="29"/>
        <v>0</v>
      </c>
      <c r="S150" s="35"/>
      <c r="T150" s="40">
        <f t="shared" si="30"/>
        <v>0</v>
      </c>
    </row>
    <row r="151" spans="4:20" ht="26.25" customHeight="1">
      <c r="D151" s="26" t="s">
        <v>861</v>
      </c>
      <c r="E151" s="113"/>
      <c r="F151" s="113"/>
      <c r="G151" s="113"/>
      <c r="H151" s="113"/>
      <c r="I151" s="113"/>
      <c r="J151" s="113"/>
      <c r="K151" s="113"/>
      <c r="L151" s="113"/>
      <c r="M151" s="113"/>
      <c r="N151" s="113"/>
      <c r="O151" s="113"/>
      <c r="P151" s="113"/>
      <c r="Q151" s="113">
        <f t="shared" ref="Q151" si="32">SUM(E151:P151)</f>
        <v>0</v>
      </c>
      <c r="S151" s="35"/>
      <c r="T151" s="40">
        <f t="shared" si="30"/>
        <v>0</v>
      </c>
    </row>
    <row r="152" spans="4:20" ht="26.25" customHeight="1">
      <c r="D152" s="26" t="s">
        <v>134</v>
      </c>
      <c r="E152" s="114" t="e">
        <f>E148/E149</f>
        <v>#DIV/0!</v>
      </c>
      <c r="F152" s="114" t="e">
        <f t="shared" ref="F152:Q152" si="33">F148/F149</f>
        <v>#DIV/0!</v>
      </c>
      <c r="G152" s="114" t="e">
        <f t="shared" si="33"/>
        <v>#DIV/0!</v>
      </c>
      <c r="H152" s="114" t="e">
        <f t="shared" si="33"/>
        <v>#DIV/0!</v>
      </c>
      <c r="I152" s="114" t="e">
        <f t="shared" si="33"/>
        <v>#DIV/0!</v>
      </c>
      <c r="J152" s="114" t="e">
        <f t="shared" si="33"/>
        <v>#DIV/0!</v>
      </c>
      <c r="K152" s="114" t="e">
        <f t="shared" si="33"/>
        <v>#DIV/0!</v>
      </c>
      <c r="L152" s="114" t="e">
        <f t="shared" si="33"/>
        <v>#DIV/0!</v>
      </c>
      <c r="M152" s="114" t="e">
        <f t="shared" si="33"/>
        <v>#DIV/0!</v>
      </c>
      <c r="N152" s="114" t="e">
        <f t="shared" si="33"/>
        <v>#DIV/0!</v>
      </c>
      <c r="O152" s="114" t="e">
        <f t="shared" si="33"/>
        <v>#DIV/0!</v>
      </c>
      <c r="P152" s="114" t="e">
        <f t="shared" si="33"/>
        <v>#DIV/0!</v>
      </c>
      <c r="Q152" s="114" t="e">
        <f t="shared" si="33"/>
        <v>#DIV/0!</v>
      </c>
      <c r="S152" s="115"/>
      <c r="T152" s="40" t="e">
        <f t="shared" si="30"/>
        <v>#DIV/0!</v>
      </c>
    </row>
    <row r="153" spans="4:20" ht="26.25" customHeight="1">
      <c r="D153" s="26" t="s">
        <v>135</v>
      </c>
      <c r="E153" s="97" t="e">
        <f>+E15/E148</f>
        <v>#DIV/0!</v>
      </c>
      <c r="F153" s="97" t="e">
        <f t="shared" ref="F153:Q153" si="34">+F15/F148</f>
        <v>#DIV/0!</v>
      </c>
      <c r="G153" s="97" t="e">
        <f t="shared" si="34"/>
        <v>#DIV/0!</v>
      </c>
      <c r="H153" s="97" t="e">
        <f t="shared" si="34"/>
        <v>#DIV/0!</v>
      </c>
      <c r="I153" s="97" t="e">
        <f t="shared" si="34"/>
        <v>#DIV/0!</v>
      </c>
      <c r="J153" s="97" t="e">
        <f t="shared" si="34"/>
        <v>#DIV/0!</v>
      </c>
      <c r="K153" s="97" t="e">
        <f t="shared" si="34"/>
        <v>#DIV/0!</v>
      </c>
      <c r="L153" s="97" t="e">
        <f t="shared" si="34"/>
        <v>#DIV/0!</v>
      </c>
      <c r="M153" s="97" t="e">
        <f t="shared" si="34"/>
        <v>#DIV/0!</v>
      </c>
      <c r="N153" s="97" t="e">
        <f t="shared" si="34"/>
        <v>#DIV/0!</v>
      </c>
      <c r="O153" s="97" t="e">
        <f t="shared" si="34"/>
        <v>#DIV/0!</v>
      </c>
      <c r="P153" s="97" t="e">
        <f t="shared" si="34"/>
        <v>#DIV/0!</v>
      </c>
      <c r="Q153" s="97" t="e">
        <f t="shared" si="34"/>
        <v>#DIV/0!</v>
      </c>
      <c r="S153" s="35"/>
      <c r="T153" s="40" t="e">
        <f t="shared" si="30"/>
        <v>#DIV/0!</v>
      </c>
    </row>
  </sheetData>
  <phoneticPr fontId="57" type="noConversion"/>
  <dataValidations count="20">
    <dataValidation type="textLength" errorStyle="information" allowBlank="1" showInputMessage="1" showErrorMessage="1" error="XLBVal:6=3239.86_x000d__x000a_" sqref="E34:Q34 E36:P37">
      <formula1>0</formula1>
      <formula2>300</formula2>
    </dataValidation>
    <dataValidation type="textLength" errorStyle="information" allowBlank="1" showInputMessage="1" showErrorMessage="1" error="XLBVal:6=495880_x000d__x000a_" sqref="P13">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2=0_x000d__x000a_" sqref="E12:P12 E13:L13 E14:P14 E35:P35 E108:L108 E143:P143 Q12:Q14 Q18:Q33 Q35:Q106 Q123:Q131 Q133:Q139 E112:Q113 E129:P131 E38:P65 E133:P136 E97:P106 E116:Q120 E17:P33 E67:P95">
      <formula1>0</formula1>
      <formula2>300</formula2>
    </dataValidation>
    <dataValidation type="textLength" errorStyle="information" allowBlank="1" showInputMessage="1" showErrorMessage="1" error="XLBVal:6=433257_x000d__x000a_" sqref="M13">
      <formula1>0</formula1>
      <formula2>300</formula2>
    </dataValidation>
    <dataValidation type="textLength" errorStyle="information" allowBlank="1" showInputMessage="1" showErrorMessage="1" error="XLBVal:6=28280_x000d__x000a_" sqref="Q17">
      <formula1>0</formula1>
      <formula2>300</formula2>
    </dataValidation>
    <dataValidation type="textLength" errorStyle="information" allowBlank="1" showInputMessage="1" showErrorMessage="1" error="XLBVal:6=451440_x000d__x000a_" sqref="N13">
      <formula1>0</formula1>
      <formula2>300</formula2>
    </dataValidation>
    <dataValidation type="textLength" errorStyle="information" allowBlank="1" showInputMessage="1" showErrorMessage="1" error="XLBVal:6=466180_x000d__x000a_" sqref="O13">
      <formula1>0</formula1>
      <formula2>300</formula2>
    </dataValidation>
    <dataValidation type="textLength" errorStyle="information" allowBlank="1" showInputMessage="1" showErrorMessage="1" error="XLBVal:6=40_x000d__x000a_" sqref="E66:P66">
      <formula1>0</formula1>
      <formula2>300</formula2>
    </dataValidation>
    <dataValidation type="textLength" errorStyle="information" allowBlank="1" showInputMessage="1" showErrorMessage="1" error="XLBVal:6=169_x000d__x000a_" sqref="E96:P96">
      <formula1>0</formula1>
      <formula2>300</formula2>
    </dataValidation>
    <dataValidation type="textLength" errorStyle="information" allowBlank="1" showInputMessage="1" showErrorMessage="1" error="XLBVal:6=-419926.91_x000d__x000a_" sqref="M108">
      <formula1>0</formula1>
      <formula2>300</formula2>
    </dataValidation>
    <dataValidation type="textLength" errorStyle="information" allowBlank="1" showInputMessage="1" showErrorMessage="1" error="XLBVal:6=-438089.91_x000d__x000a_" sqref="N108">
      <formula1>0</formula1>
      <formula2>300</formula2>
    </dataValidation>
    <dataValidation type="textLength" errorStyle="information" allowBlank="1" showInputMessage="1" showErrorMessage="1" error="XLBVal:6=-482481.02_x000d__x000a_" sqref="P108">
      <formula1>0</formula1>
      <formula2>300</formula2>
    </dataValidation>
    <dataValidation type="textLength" errorStyle="information" allowBlank="1" showInputMessage="1" showErrorMessage="1" error="XLBVal:6=-452813.69_x000d__x000a_" sqref="O108">
      <formula1>0</formula1>
      <formula2>300</formula2>
    </dataValidation>
    <dataValidation type="textLength" errorStyle="information" allowBlank="1" showInputMessage="1" showErrorMessage="1" error="XLBVal:6=-1793311.53_x000d__x000a_" sqref="Q108">
      <formula1>0</formula1>
      <formula2>300</formula2>
    </dataValidation>
    <dataValidation type="textLength" errorStyle="information" allowBlank="1" showInputMessage="1" showErrorMessage="1" error="XLBVal:6=1260_x000d__x000a_" sqref="Q143">
      <formula1>0</formula1>
      <formula2>300</formula2>
    </dataValidation>
    <dataValidation type="textLength" errorStyle="information" allowBlank="1" showInputMessage="1" showErrorMessage="1" error="XLBVal:6=987.23_x000d__x000a_" sqref="E137:P139">
      <formula1>0</formula1>
      <formula2>300</formula2>
    </dataValidation>
    <dataValidation type="textLength" errorStyle="information" allowBlank="1" showInputMessage="1" showErrorMessage="1" error="XLBVal:6=980_x000d__x000a_" sqref="E123:P128">
      <formula1>0</formula1>
      <formula2>300</formula2>
    </dataValidation>
    <dataValidation type="textLength" errorStyle="information" allowBlank="1" showInputMessage="1" showErrorMessage="1" error="XLBVal:6=6688509.16_x000d__x000a_" sqref="E15:Q16">
      <formula1>0</formula1>
      <formula2>300</formula2>
    </dataValidation>
    <dataValidation type="textLength" errorStyle="information" allowBlank="1" showInputMessage="1" showErrorMessage="1" error="XLBVal:5=1285238.57_x000d__x000a_" sqref="E147:Q153">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headerFooter>
    <oddFooter>&amp;L&amp;"微软雅黑,Regular"&amp;F&amp;C&amp;"微软雅黑,Regular"Page &amp;P of &amp;N&amp;R&amp;"微软雅黑,Regular"&amp;D</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tabColor rgb="FF92D050"/>
  </sheetPr>
  <dimension ref="A1:W131"/>
  <sheetViews>
    <sheetView zoomScale="50" zoomScaleNormal="50" zoomScaleSheetLayoutView="40" workbookViewId="0">
      <pane xSplit="4" ySplit="10" topLeftCell="E11" activePane="bottomRight" state="frozen"/>
      <selection activeCell="D1" sqref="D1"/>
      <selection pane="topRight" activeCell="E1" sqref="E1"/>
      <selection pane="bottomLeft" activeCell="D11" sqref="D11"/>
      <selection pane="bottomRight" activeCell="V22" sqref="V22"/>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57.5" style="6" customWidth="1" collapsed="1"/>
    <col min="5" max="5" width="22.875" style="7" customWidth="1"/>
    <col min="6" max="6" width="22.875" style="89" customWidth="1"/>
    <col min="7" max="7" width="22.875" style="7" customWidth="1"/>
    <col min="8" max="8" width="22.875" style="6" customWidth="1"/>
    <col min="9" max="9" width="22.875" style="7" customWidth="1"/>
    <col min="10" max="10" width="22.875" style="89" customWidth="1"/>
    <col min="11" max="11" width="22.875" style="7" customWidth="1"/>
    <col min="12" max="12" width="22.875" style="90" customWidth="1"/>
    <col min="13" max="13" width="22.875" style="7" customWidth="1"/>
    <col min="14" max="14" width="22.875" style="89" customWidth="1"/>
    <col min="15" max="16" width="22.875" style="5" customWidth="1"/>
    <col min="17" max="17" width="25.375" style="5" customWidth="1"/>
    <col min="18" max="18" width="12.5" style="5" customWidth="1"/>
    <col min="19" max="19" width="22.5" style="8" hidden="1" customWidth="1"/>
    <col min="20" max="20" width="22.5" style="5" hidden="1" customWidth="1"/>
    <col min="21" max="21" width="27.625" style="5" customWidth="1"/>
    <col min="22" max="22" width="28.125" style="5" customWidth="1"/>
    <col min="23"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707</v>
      </c>
      <c r="E6" s="13"/>
      <c r="F6" s="93"/>
      <c r="G6" s="13"/>
      <c r="H6" s="94"/>
      <c r="I6" s="13"/>
      <c r="J6" s="93"/>
      <c r="K6" s="13"/>
      <c r="L6" s="101"/>
      <c r="M6" s="13"/>
      <c r="N6" s="93"/>
      <c r="S6" s="33"/>
    </row>
    <row r="7" spans="1:20" s="2" customFormat="1" ht="24.95" customHeight="1">
      <c r="D7" s="15" t="s">
        <v>1190</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3" t="s">
        <v>705</v>
      </c>
      <c r="B12" s="3" t="s">
        <v>706</v>
      </c>
      <c r="D12" s="26" t="s">
        <v>825</v>
      </c>
      <c r="E12" s="27"/>
      <c r="F12" s="27"/>
      <c r="G12" s="27"/>
      <c r="H12" s="27"/>
      <c r="I12" s="27"/>
      <c r="J12" s="27"/>
      <c r="K12" s="27"/>
      <c r="L12" s="27"/>
      <c r="M12" s="27"/>
      <c r="N12" s="27"/>
      <c r="O12" s="27"/>
      <c r="P12" s="27"/>
      <c r="Q12" s="27">
        <f>SUM(E12:P12)</f>
        <v>0</v>
      </c>
      <c r="S12" s="35"/>
      <c r="T12" s="40">
        <f>IF(Q12-S12=0,0,(Q12-S12)/S12)</f>
        <v>0</v>
      </c>
    </row>
    <row r="13" spans="1:20" s="3" customFormat="1" ht="24.95" customHeight="1">
      <c r="A13" s="3" t="s">
        <v>826</v>
      </c>
      <c r="B13" s="3" t="s">
        <v>706</v>
      </c>
      <c r="C13" s="3" t="s">
        <v>827</v>
      </c>
      <c r="D13" s="26" t="s">
        <v>762</v>
      </c>
      <c r="E13" s="27">
        <v>0</v>
      </c>
      <c r="F13" s="27">
        <v>0</v>
      </c>
      <c r="G13" s="27">
        <v>0</v>
      </c>
      <c r="H13" s="27">
        <v>0</v>
      </c>
      <c r="I13" s="27">
        <v>0</v>
      </c>
      <c r="J13" s="27">
        <v>0</v>
      </c>
      <c r="K13" s="27">
        <v>0</v>
      </c>
      <c r="L13" s="27">
        <v>0</v>
      </c>
      <c r="M13" s="27">
        <v>0</v>
      </c>
      <c r="N13" s="27">
        <v>0</v>
      </c>
      <c r="O13" s="27">
        <v>0</v>
      </c>
      <c r="P13" s="27">
        <v>0</v>
      </c>
      <c r="Q13" s="27">
        <f t="shared" ref="Q13:Q14" si="0">SUM(E13:P13)</f>
        <v>0</v>
      </c>
      <c r="S13" s="35"/>
      <c r="T13" s="40">
        <f t="shared" ref="T13:T72" si="1">IF(Q13-S13=0,0,(Q13-S13)/S13)</f>
        <v>0</v>
      </c>
    </row>
    <row r="14" spans="1:20" s="3" customFormat="1" ht="24.95" customHeight="1">
      <c r="A14" s="3" t="s">
        <v>763</v>
      </c>
      <c r="B14" s="3" t="s">
        <v>706</v>
      </c>
      <c r="D14" s="26" t="s">
        <v>764</v>
      </c>
      <c r="E14" s="27">
        <v>0</v>
      </c>
      <c r="F14" s="27">
        <v>0</v>
      </c>
      <c r="G14" s="27">
        <v>0</v>
      </c>
      <c r="H14" s="27">
        <v>0</v>
      </c>
      <c r="I14" s="27">
        <v>0</v>
      </c>
      <c r="J14" s="27">
        <v>0</v>
      </c>
      <c r="K14" s="27">
        <v>0</v>
      </c>
      <c r="L14" s="27">
        <v>0</v>
      </c>
      <c r="M14" s="27">
        <v>0</v>
      </c>
      <c r="N14" s="27">
        <v>0</v>
      </c>
      <c r="O14" s="27">
        <v>0</v>
      </c>
      <c r="P14" s="27">
        <v>0</v>
      </c>
      <c r="Q14" s="27">
        <f t="shared" si="0"/>
        <v>0</v>
      </c>
      <c r="S14" s="35"/>
      <c r="T14" s="40">
        <f t="shared" si="1"/>
        <v>0</v>
      </c>
    </row>
    <row r="15" spans="1:20" s="3" customFormat="1" ht="24.95" customHeight="1">
      <c r="D15" s="21" t="s">
        <v>671</v>
      </c>
      <c r="E15" s="30">
        <f>SUM(E12:E14)</f>
        <v>0</v>
      </c>
      <c r="F15" s="30">
        <f t="shared" ref="F15:P15" si="2">SUM(F12:F14)</f>
        <v>0</v>
      </c>
      <c r="G15" s="30">
        <f t="shared" si="2"/>
        <v>0</v>
      </c>
      <c r="H15" s="30">
        <f t="shared" si="2"/>
        <v>0</v>
      </c>
      <c r="I15" s="30">
        <f t="shared" si="2"/>
        <v>0</v>
      </c>
      <c r="J15" s="30">
        <f t="shared" si="2"/>
        <v>0</v>
      </c>
      <c r="K15" s="30">
        <f t="shared" si="2"/>
        <v>0</v>
      </c>
      <c r="L15" s="30">
        <f t="shared" si="2"/>
        <v>0</v>
      </c>
      <c r="M15" s="30">
        <f t="shared" si="2"/>
        <v>0</v>
      </c>
      <c r="N15" s="30">
        <f t="shared" si="2"/>
        <v>0</v>
      </c>
      <c r="O15" s="30">
        <f t="shared" si="2"/>
        <v>0</v>
      </c>
      <c r="P15" s="30">
        <f t="shared" si="2"/>
        <v>0</v>
      </c>
      <c r="Q15" s="30">
        <f t="shared" ref="Q15" si="3">SUM(Q12:Q14)</f>
        <v>0</v>
      </c>
      <c r="S15" s="35"/>
      <c r="T15" s="40">
        <f t="shared" si="1"/>
        <v>0</v>
      </c>
    </row>
    <row r="16" spans="1:20" s="3" customFormat="1" ht="24.95" customHeight="1">
      <c r="D16" s="21"/>
      <c r="E16" s="82"/>
      <c r="F16" s="82"/>
      <c r="G16" s="82"/>
      <c r="H16" s="82"/>
      <c r="I16" s="82"/>
      <c r="J16" s="82"/>
      <c r="K16" s="82"/>
      <c r="L16" s="82"/>
      <c r="M16" s="82"/>
      <c r="N16" s="82"/>
      <c r="O16" s="82"/>
      <c r="P16" s="82"/>
      <c r="Q16" s="82"/>
      <c r="S16" s="35"/>
      <c r="T16" s="40"/>
    </row>
    <row r="17" spans="1:20" s="3" customFormat="1" ht="24.95" customHeight="1">
      <c r="D17" s="21" t="s">
        <v>423</v>
      </c>
      <c r="E17" s="27"/>
      <c r="F17" s="96"/>
      <c r="G17" s="27"/>
      <c r="H17" s="96"/>
      <c r="I17" s="27"/>
      <c r="J17" s="96"/>
      <c r="K17" s="27"/>
      <c r="L17" s="96"/>
      <c r="M17" s="27"/>
      <c r="N17" s="96"/>
      <c r="O17" s="103"/>
      <c r="P17" s="103"/>
      <c r="Q17" s="103"/>
      <c r="S17" s="35"/>
      <c r="T17" s="40">
        <f t="shared" si="1"/>
        <v>0</v>
      </c>
    </row>
    <row r="18" spans="1:20" s="3" customFormat="1" ht="24.95" hidden="1" customHeight="1">
      <c r="A18" s="3" t="s">
        <v>765</v>
      </c>
      <c r="B18" s="3" t="s">
        <v>706</v>
      </c>
      <c r="C18" s="3">
        <v>2801</v>
      </c>
      <c r="D18" s="26" t="s">
        <v>828</v>
      </c>
      <c r="E18" s="27">
        <v>0</v>
      </c>
      <c r="F18" s="27">
        <v>0</v>
      </c>
      <c r="G18" s="27">
        <v>0</v>
      </c>
      <c r="H18" s="27">
        <v>0</v>
      </c>
      <c r="I18" s="27">
        <v>0</v>
      </c>
      <c r="J18" s="27">
        <v>0</v>
      </c>
      <c r="K18" s="27">
        <v>0</v>
      </c>
      <c r="L18" s="27">
        <v>0</v>
      </c>
      <c r="M18" s="27">
        <v>0</v>
      </c>
      <c r="N18" s="27">
        <v>0</v>
      </c>
      <c r="O18" s="27">
        <v>0</v>
      </c>
      <c r="P18" s="27">
        <v>0</v>
      </c>
      <c r="Q18" s="103">
        <f>SUM(E18:P18)</f>
        <v>0</v>
      </c>
      <c r="S18" s="35"/>
      <c r="T18" s="40">
        <f t="shared" si="1"/>
        <v>0</v>
      </c>
    </row>
    <row r="19" spans="1:20" s="3" customFormat="1" ht="24.95" hidden="1" customHeight="1">
      <c r="A19" s="3" t="s">
        <v>765</v>
      </c>
      <c r="B19" s="3" t="s">
        <v>706</v>
      </c>
      <c r="C19" s="3" t="s">
        <v>829</v>
      </c>
      <c r="D19" s="26" t="s">
        <v>825</v>
      </c>
      <c r="E19" s="27">
        <v>0</v>
      </c>
      <c r="F19" s="27">
        <v>0</v>
      </c>
      <c r="G19" s="27">
        <v>0</v>
      </c>
      <c r="H19" s="27">
        <v>0</v>
      </c>
      <c r="I19" s="27">
        <v>0</v>
      </c>
      <c r="J19" s="27">
        <v>0</v>
      </c>
      <c r="K19" s="27">
        <v>0</v>
      </c>
      <c r="L19" s="27">
        <v>0</v>
      </c>
      <c r="M19" s="27">
        <v>0</v>
      </c>
      <c r="N19" s="27">
        <v>0</v>
      </c>
      <c r="O19" s="27">
        <v>0</v>
      </c>
      <c r="P19" s="27">
        <v>0</v>
      </c>
      <c r="Q19" s="103">
        <f t="shared" ref="Q19:Q21" si="4">SUM(E19:P19)</f>
        <v>0</v>
      </c>
      <c r="S19" s="35"/>
      <c r="T19" s="40">
        <f t="shared" si="1"/>
        <v>0</v>
      </c>
    </row>
    <row r="20" spans="1:20" s="3" customFormat="1" ht="24.95" customHeight="1">
      <c r="A20" s="3" t="s">
        <v>765</v>
      </c>
      <c r="B20" s="3" t="s">
        <v>706</v>
      </c>
      <c r="C20" s="3" t="s">
        <v>827</v>
      </c>
      <c r="D20" s="26" t="s">
        <v>762</v>
      </c>
      <c r="E20" s="27">
        <v>0</v>
      </c>
      <c r="F20" s="27">
        <v>0</v>
      </c>
      <c r="G20" s="27">
        <v>0</v>
      </c>
      <c r="H20" s="27">
        <v>0</v>
      </c>
      <c r="I20" s="27">
        <v>0</v>
      </c>
      <c r="J20" s="27">
        <v>0</v>
      </c>
      <c r="K20" s="27">
        <v>0</v>
      </c>
      <c r="L20" s="27">
        <v>0</v>
      </c>
      <c r="M20" s="27">
        <v>0</v>
      </c>
      <c r="N20" s="27">
        <v>0</v>
      </c>
      <c r="O20" s="27">
        <v>0</v>
      </c>
      <c r="P20" s="27">
        <v>0</v>
      </c>
      <c r="Q20" s="103">
        <f t="shared" si="4"/>
        <v>0</v>
      </c>
      <c r="S20" s="35"/>
      <c r="T20" s="40">
        <f>-IF(Q20-S20=0,0,(Q20-S20)/S20)</f>
        <v>0</v>
      </c>
    </row>
    <row r="21" spans="1:20" s="19" customFormat="1" ht="24.95" customHeight="1">
      <c r="A21" s="3" t="s">
        <v>823</v>
      </c>
      <c r="B21" s="3" t="s">
        <v>706</v>
      </c>
      <c r="C21" s="3"/>
      <c r="D21" s="21" t="s">
        <v>771</v>
      </c>
      <c r="E21" s="98">
        <f>SUM(E18:E20)</f>
        <v>0</v>
      </c>
      <c r="F21" s="98">
        <f t="shared" ref="F21:P21" si="5">SUM(F18:F20)</f>
        <v>0</v>
      </c>
      <c r="G21" s="98">
        <f t="shared" si="5"/>
        <v>0</v>
      </c>
      <c r="H21" s="98">
        <f t="shared" si="5"/>
        <v>0</v>
      </c>
      <c r="I21" s="98">
        <f t="shared" si="5"/>
        <v>0</v>
      </c>
      <c r="J21" s="98">
        <f t="shared" si="5"/>
        <v>0</v>
      </c>
      <c r="K21" s="98">
        <f t="shared" si="5"/>
        <v>0</v>
      </c>
      <c r="L21" s="98">
        <f t="shared" si="5"/>
        <v>0</v>
      </c>
      <c r="M21" s="98">
        <f t="shared" si="5"/>
        <v>0</v>
      </c>
      <c r="N21" s="98">
        <f t="shared" si="5"/>
        <v>0</v>
      </c>
      <c r="O21" s="98">
        <f t="shared" si="5"/>
        <v>0</v>
      </c>
      <c r="P21" s="98">
        <f t="shared" si="5"/>
        <v>0</v>
      </c>
      <c r="Q21" s="118">
        <f t="shared" si="4"/>
        <v>0</v>
      </c>
      <c r="R21" s="39">
        <f>IF($Q$15=0,0,Q21/$Q$15)</f>
        <v>0</v>
      </c>
      <c r="S21" s="35"/>
      <c r="T21" s="40">
        <f>-IF(Q21-S21=0,0,(Q21-S21)/S21)</f>
        <v>0</v>
      </c>
    </row>
    <row r="22" spans="1:20" s="19" customFormat="1" ht="24.95" customHeight="1">
      <c r="A22" s="3"/>
      <c r="B22" s="3"/>
      <c r="C22" s="3"/>
      <c r="D22" s="21"/>
      <c r="E22" s="99"/>
      <c r="F22" s="99"/>
      <c r="G22" s="99"/>
      <c r="H22" s="99"/>
      <c r="I22" s="99"/>
      <c r="J22" s="99"/>
      <c r="K22" s="99"/>
      <c r="L22" s="99"/>
      <c r="M22" s="99"/>
      <c r="N22" s="99"/>
      <c r="O22" s="99"/>
      <c r="P22" s="99"/>
      <c r="Q22" s="103"/>
      <c r="R22" s="3"/>
      <c r="S22" s="35"/>
      <c r="T22" s="40"/>
    </row>
    <row r="23" spans="1:20" s="19" customFormat="1" ht="24.95" customHeight="1">
      <c r="A23" s="19" t="s">
        <v>482</v>
      </c>
      <c r="B23" s="19" t="s">
        <v>706</v>
      </c>
      <c r="D23" s="19" t="s">
        <v>772</v>
      </c>
      <c r="E23" s="99">
        <f>E129</f>
        <v>0</v>
      </c>
      <c r="F23" s="99">
        <f t="shared" ref="F23:P23" si="6">F129</f>
        <v>0</v>
      </c>
      <c r="G23" s="99">
        <f t="shared" si="6"/>
        <v>0</v>
      </c>
      <c r="H23" s="99">
        <f t="shared" si="6"/>
        <v>0</v>
      </c>
      <c r="I23" s="99">
        <f t="shared" si="6"/>
        <v>0</v>
      </c>
      <c r="J23" s="99">
        <f t="shared" si="6"/>
        <v>0</v>
      </c>
      <c r="K23" s="99">
        <f t="shared" si="6"/>
        <v>0</v>
      </c>
      <c r="L23" s="99">
        <f t="shared" si="6"/>
        <v>0</v>
      </c>
      <c r="M23" s="99">
        <f t="shared" si="6"/>
        <v>0</v>
      </c>
      <c r="N23" s="99">
        <f t="shared" si="6"/>
        <v>0</v>
      </c>
      <c r="O23" s="99">
        <f t="shared" si="6"/>
        <v>0</v>
      </c>
      <c r="P23" s="99">
        <f t="shared" si="6"/>
        <v>0</v>
      </c>
      <c r="Q23" s="104">
        <f>SUM(E23:P23)</f>
        <v>0</v>
      </c>
      <c r="R23" s="39">
        <f>IF($Q$15=0,0,Q23/$Q$15)</f>
        <v>0</v>
      </c>
      <c r="S23" s="35"/>
      <c r="T23" s="40">
        <f>-IF(Q23-S23=0,0,(Q23-S23)/S23)</f>
        <v>0</v>
      </c>
    </row>
    <row r="24" spans="1:20" s="19" customFormat="1" ht="24.95" customHeight="1">
      <c r="D24" s="26"/>
      <c r="E24" s="99"/>
      <c r="F24" s="99"/>
      <c r="G24" s="99"/>
      <c r="H24" s="99"/>
      <c r="I24" s="99"/>
      <c r="J24" s="99"/>
      <c r="K24" s="99"/>
      <c r="L24" s="99"/>
      <c r="M24" s="99"/>
      <c r="N24" s="99"/>
      <c r="O24" s="99"/>
      <c r="P24" s="99"/>
      <c r="Q24" s="103"/>
      <c r="R24" s="3"/>
      <c r="S24" s="35"/>
      <c r="T24" s="40"/>
    </row>
    <row r="25" spans="1:20" s="19" customFormat="1" ht="24.95" customHeight="1">
      <c r="D25" s="21" t="s">
        <v>773</v>
      </c>
      <c r="E25" s="99"/>
      <c r="F25" s="99"/>
      <c r="G25" s="99"/>
      <c r="H25" s="99"/>
      <c r="I25" s="99"/>
      <c r="J25" s="99"/>
      <c r="K25" s="99"/>
      <c r="L25" s="99"/>
      <c r="M25" s="99"/>
      <c r="N25" s="99"/>
      <c r="O25" s="99"/>
      <c r="P25" s="99"/>
      <c r="Q25" s="103"/>
      <c r="R25" s="3"/>
      <c r="S25" s="35"/>
      <c r="T25" s="40"/>
    </row>
    <row r="26" spans="1:20" s="19" customFormat="1" ht="24.95" hidden="1" customHeight="1">
      <c r="A26" s="19" t="s">
        <v>484</v>
      </c>
      <c r="B26" s="19" t="s">
        <v>706</v>
      </c>
      <c r="D26" s="26" t="s">
        <v>141</v>
      </c>
      <c r="E26" s="27">
        <v>0</v>
      </c>
      <c r="F26" s="27">
        <v>0</v>
      </c>
      <c r="G26" s="27">
        <v>0</v>
      </c>
      <c r="H26" s="27">
        <v>0</v>
      </c>
      <c r="I26" s="27">
        <v>0</v>
      </c>
      <c r="J26" s="27">
        <v>0</v>
      </c>
      <c r="K26" s="27">
        <v>0</v>
      </c>
      <c r="L26" s="27">
        <v>0</v>
      </c>
      <c r="M26" s="27">
        <v>0</v>
      </c>
      <c r="N26" s="27">
        <v>0</v>
      </c>
      <c r="O26" s="27">
        <v>0</v>
      </c>
      <c r="P26" s="27">
        <v>0</v>
      </c>
      <c r="Q26" s="103">
        <f>SUM(E26:P26)</f>
        <v>0</v>
      </c>
      <c r="R26" s="3"/>
      <c r="S26" s="35"/>
      <c r="T26" s="40">
        <f t="shared" si="1"/>
        <v>0</v>
      </c>
    </row>
    <row r="27" spans="1:20" s="19" customFormat="1" ht="24.95" hidden="1" customHeight="1">
      <c r="A27" s="19" t="s">
        <v>486</v>
      </c>
      <c r="B27" s="19" t="s">
        <v>706</v>
      </c>
      <c r="D27" s="26" t="s">
        <v>143</v>
      </c>
      <c r="E27" s="27">
        <v>0</v>
      </c>
      <c r="F27" s="27">
        <v>0</v>
      </c>
      <c r="G27" s="27">
        <v>0</v>
      </c>
      <c r="H27" s="27">
        <v>0</v>
      </c>
      <c r="I27" s="27">
        <v>0</v>
      </c>
      <c r="J27" s="27">
        <v>0</v>
      </c>
      <c r="K27" s="27">
        <v>0</v>
      </c>
      <c r="L27" s="27">
        <v>0</v>
      </c>
      <c r="M27" s="27">
        <v>0</v>
      </c>
      <c r="N27" s="27">
        <v>0</v>
      </c>
      <c r="O27" s="27">
        <v>0</v>
      </c>
      <c r="P27" s="27">
        <v>0</v>
      </c>
      <c r="Q27" s="103">
        <f t="shared" ref="Q27:Q68" si="7">SUM(E27:P27)</f>
        <v>0</v>
      </c>
      <c r="R27" s="3"/>
      <c r="S27" s="35"/>
      <c r="T27" s="40">
        <f t="shared" si="1"/>
        <v>0</v>
      </c>
    </row>
    <row r="28" spans="1:20" s="19" customFormat="1" ht="24.95" hidden="1" customHeight="1">
      <c r="A28" s="19" t="s">
        <v>488</v>
      </c>
      <c r="B28" s="19" t="s">
        <v>706</v>
      </c>
      <c r="D28" s="26" t="s">
        <v>145</v>
      </c>
      <c r="E28" s="27">
        <v>0</v>
      </c>
      <c r="F28" s="27">
        <v>0</v>
      </c>
      <c r="G28" s="27">
        <v>0</v>
      </c>
      <c r="H28" s="27">
        <v>0</v>
      </c>
      <c r="I28" s="27">
        <v>0</v>
      </c>
      <c r="J28" s="27">
        <v>0</v>
      </c>
      <c r="K28" s="27">
        <v>0</v>
      </c>
      <c r="L28" s="27">
        <v>0</v>
      </c>
      <c r="M28" s="27">
        <v>0</v>
      </c>
      <c r="N28" s="27">
        <v>0</v>
      </c>
      <c r="O28" s="27">
        <v>0</v>
      </c>
      <c r="P28" s="27">
        <v>0</v>
      </c>
      <c r="Q28" s="103">
        <f t="shared" si="7"/>
        <v>0</v>
      </c>
      <c r="R28" s="3"/>
      <c r="S28" s="35"/>
      <c r="T28" s="40">
        <f t="shared" si="1"/>
        <v>0</v>
      </c>
    </row>
    <row r="29" spans="1:20" s="19" customFormat="1" ht="24.95" hidden="1" customHeight="1">
      <c r="A29" s="19" t="s">
        <v>490</v>
      </c>
      <c r="B29" s="19" t="s">
        <v>706</v>
      </c>
      <c r="D29" s="26" t="s">
        <v>147</v>
      </c>
      <c r="E29" s="27">
        <v>0</v>
      </c>
      <c r="F29" s="27">
        <v>0</v>
      </c>
      <c r="G29" s="27">
        <v>0</v>
      </c>
      <c r="H29" s="27">
        <v>0</v>
      </c>
      <c r="I29" s="27">
        <v>0</v>
      </c>
      <c r="J29" s="27">
        <v>0</v>
      </c>
      <c r="K29" s="27">
        <v>0</v>
      </c>
      <c r="L29" s="27">
        <v>0</v>
      </c>
      <c r="M29" s="27">
        <v>0</v>
      </c>
      <c r="N29" s="27">
        <v>0</v>
      </c>
      <c r="O29" s="27">
        <v>0</v>
      </c>
      <c r="P29" s="27">
        <v>0</v>
      </c>
      <c r="Q29" s="103">
        <f t="shared" si="7"/>
        <v>0</v>
      </c>
      <c r="R29" s="3"/>
      <c r="S29" s="35"/>
      <c r="T29" s="40">
        <f t="shared" si="1"/>
        <v>0</v>
      </c>
    </row>
    <row r="30" spans="1:20" s="19" customFormat="1" ht="24.95" hidden="1" customHeight="1">
      <c r="A30" s="19" t="s">
        <v>492</v>
      </c>
      <c r="B30" s="19" t="s">
        <v>706</v>
      </c>
      <c r="D30" s="26" t="s">
        <v>149</v>
      </c>
      <c r="E30" s="27">
        <v>0</v>
      </c>
      <c r="F30" s="27">
        <v>0</v>
      </c>
      <c r="G30" s="27">
        <v>0</v>
      </c>
      <c r="H30" s="27">
        <v>0</v>
      </c>
      <c r="I30" s="27">
        <v>0</v>
      </c>
      <c r="J30" s="27">
        <v>0</v>
      </c>
      <c r="K30" s="27">
        <v>0</v>
      </c>
      <c r="L30" s="27">
        <v>0</v>
      </c>
      <c r="M30" s="27">
        <v>0</v>
      </c>
      <c r="N30" s="27">
        <v>0</v>
      </c>
      <c r="O30" s="27">
        <v>0</v>
      </c>
      <c r="P30" s="27">
        <v>0</v>
      </c>
      <c r="Q30" s="103">
        <f t="shared" si="7"/>
        <v>0</v>
      </c>
      <c r="R30" s="3"/>
      <c r="S30" s="35"/>
      <c r="T30" s="40">
        <f t="shared" si="1"/>
        <v>0</v>
      </c>
    </row>
    <row r="31" spans="1:20" s="19" customFormat="1" ht="24.95" hidden="1" customHeight="1">
      <c r="A31" s="19" t="s">
        <v>494</v>
      </c>
      <c r="B31" s="19" t="s">
        <v>706</v>
      </c>
      <c r="D31" s="26" t="s">
        <v>151</v>
      </c>
      <c r="E31" s="27">
        <v>0</v>
      </c>
      <c r="F31" s="27">
        <v>0</v>
      </c>
      <c r="G31" s="27">
        <v>0</v>
      </c>
      <c r="H31" s="27">
        <v>0</v>
      </c>
      <c r="I31" s="27">
        <v>0</v>
      </c>
      <c r="J31" s="27">
        <v>0</v>
      </c>
      <c r="K31" s="27">
        <v>0</v>
      </c>
      <c r="L31" s="27">
        <v>0</v>
      </c>
      <c r="M31" s="27">
        <v>0</v>
      </c>
      <c r="N31" s="27">
        <v>0</v>
      </c>
      <c r="O31" s="27">
        <v>0</v>
      </c>
      <c r="P31" s="27">
        <v>0</v>
      </c>
      <c r="Q31" s="103">
        <f t="shared" si="7"/>
        <v>0</v>
      </c>
      <c r="R31" s="3"/>
      <c r="S31" s="35"/>
      <c r="T31" s="40">
        <f t="shared" si="1"/>
        <v>0</v>
      </c>
    </row>
    <row r="32" spans="1:20" s="19" customFormat="1" ht="24.95" hidden="1" customHeight="1">
      <c r="A32" s="19" t="s">
        <v>496</v>
      </c>
      <c r="B32" s="19" t="s">
        <v>706</v>
      </c>
      <c r="D32" s="26" t="s">
        <v>153</v>
      </c>
      <c r="E32" s="27">
        <v>0</v>
      </c>
      <c r="F32" s="27">
        <v>0</v>
      </c>
      <c r="G32" s="27">
        <v>0</v>
      </c>
      <c r="H32" s="27">
        <v>0</v>
      </c>
      <c r="I32" s="27">
        <v>0</v>
      </c>
      <c r="J32" s="27">
        <v>0</v>
      </c>
      <c r="K32" s="27">
        <v>0</v>
      </c>
      <c r="L32" s="27">
        <v>0</v>
      </c>
      <c r="M32" s="27">
        <v>0</v>
      </c>
      <c r="N32" s="27">
        <v>0</v>
      </c>
      <c r="O32" s="27">
        <v>0</v>
      </c>
      <c r="P32" s="27">
        <v>0</v>
      </c>
      <c r="Q32" s="103">
        <f t="shared" si="7"/>
        <v>0</v>
      </c>
      <c r="R32" s="3"/>
      <c r="S32" s="35"/>
      <c r="T32" s="40">
        <f t="shared" si="1"/>
        <v>0</v>
      </c>
    </row>
    <row r="33" spans="1:20" s="19" customFormat="1" ht="24.95" hidden="1" customHeight="1">
      <c r="A33" s="19" t="s">
        <v>498</v>
      </c>
      <c r="B33" s="19" t="s">
        <v>706</v>
      </c>
      <c r="D33" s="26" t="s">
        <v>155</v>
      </c>
      <c r="E33" s="27">
        <v>0</v>
      </c>
      <c r="F33" s="27">
        <v>0</v>
      </c>
      <c r="G33" s="27">
        <v>0</v>
      </c>
      <c r="H33" s="27">
        <v>0</v>
      </c>
      <c r="I33" s="27">
        <v>0</v>
      </c>
      <c r="J33" s="27">
        <v>0</v>
      </c>
      <c r="K33" s="27">
        <v>0</v>
      </c>
      <c r="L33" s="27">
        <v>0</v>
      </c>
      <c r="M33" s="27">
        <v>0</v>
      </c>
      <c r="N33" s="27">
        <v>0</v>
      </c>
      <c r="O33" s="27">
        <v>0</v>
      </c>
      <c r="P33" s="27">
        <v>0</v>
      </c>
      <c r="Q33" s="103">
        <f t="shared" si="7"/>
        <v>0</v>
      </c>
      <c r="R33" s="3"/>
      <c r="S33" s="35"/>
      <c r="T33" s="40">
        <f t="shared" si="1"/>
        <v>0</v>
      </c>
    </row>
    <row r="34" spans="1:20" s="19" customFormat="1" ht="24.95" hidden="1" customHeight="1">
      <c r="A34" s="19" t="s">
        <v>500</v>
      </c>
      <c r="B34" s="19" t="s">
        <v>706</v>
      </c>
      <c r="D34" s="26" t="s">
        <v>157</v>
      </c>
      <c r="E34" s="27">
        <v>0</v>
      </c>
      <c r="F34" s="27">
        <v>0</v>
      </c>
      <c r="G34" s="27">
        <v>0</v>
      </c>
      <c r="H34" s="27">
        <v>0</v>
      </c>
      <c r="I34" s="27">
        <v>0</v>
      </c>
      <c r="J34" s="27">
        <v>0</v>
      </c>
      <c r="K34" s="27">
        <v>0</v>
      </c>
      <c r="L34" s="27">
        <v>0</v>
      </c>
      <c r="M34" s="27">
        <v>0</v>
      </c>
      <c r="N34" s="27">
        <v>0</v>
      </c>
      <c r="O34" s="27">
        <v>0</v>
      </c>
      <c r="P34" s="27">
        <v>0</v>
      </c>
      <c r="Q34" s="103">
        <f t="shared" si="7"/>
        <v>0</v>
      </c>
      <c r="R34" s="3"/>
      <c r="S34" s="35"/>
      <c r="T34" s="40">
        <f t="shared" si="1"/>
        <v>0</v>
      </c>
    </row>
    <row r="35" spans="1:20" s="19" customFormat="1" ht="24.95" hidden="1" customHeight="1">
      <c r="A35" s="19" t="s">
        <v>502</v>
      </c>
      <c r="B35" s="19" t="s">
        <v>706</v>
      </c>
      <c r="D35" s="26" t="s">
        <v>159</v>
      </c>
      <c r="E35" s="27">
        <v>0</v>
      </c>
      <c r="F35" s="27">
        <v>0</v>
      </c>
      <c r="G35" s="27">
        <v>0</v>
      </c>
      <c r="H35" s="27">
        <v>0</v>
      </c>
      <c r="I35" s="27">
        <v>0</v>
      </c>
      <c r="J35" s="27">
        <v>0</v>
      </c>
      <c r="K35" s="27">
        <v>0</v>
      </c>
      <c r="L35" s="27">
        <v>0</v>
      </c>
      <c r="M35" s="27">
        <v>0</v>
      </c>
      <c r="N35" s="27">
        <v>0</v>
      </c>
      <c r="O35" s="27">
        <v>0</v>
      </c>
      <c r="P35" s="27">
        <v>0</v>
      </c>
      <c r="Q35" s="103">
        <f t="shared" si="7"/>
        <v>0</v>
      </c>
      <c r="R35" s="3"/>
      <c r="S35" s="35"/>
      <c r="T35" s="40">
        <f t="shared" si="1"/>
        <v>0</v>
      </c>
    </row>
    <row r="36" spans="1:20" s="19" customFormat="1" ht="24.95" hidden="1" customHeight="1">
      <c r="A36" s="19" t="s">
        <v>504</v>
      </c>
      <c r="B36" s="19" t="s">
        <v>706</v>
      </c>
      <c r="D36" s="26" t="s">
        <v>161</v>
      </c>
      <c r="E36" s="27">
        <v>0</v>
      </c>
      <c r="F36" s="27">
        <v>0</v>
      </c>
      <c r="G36" s="27">
        <v>0</v>
      </c>
      <c r="H36" s="27">
        <v>0</v>
      </c>
      <c r="I36" s="27">
        <v>0</v>
      </c>
      <c r="J36" s="27">
        <v>0</v>
      </c>
      <c r="K36" s="27">
        <v>0</v>
      </c>
      <c r="L36" s="27">
        <v>0</v>
      </c>
      <c r="M36" s="27">
        <v>0</v>
      </c>
      <c r="N36" s="27">
        <v>0</v>
      </c>
      <c r="O36" s="27">
        <v>0</v>
      </c>
      <c r="P36" s="27">
        <v>0</v>
      </c>
      <c r="Q36" s="103">
        <f t="shared" si="7"/>
        <v>0</v>
      </c>
      <c r="R36" s="3"/>
      <c r="S36" s="35"/>
      <c r="T36" s="40">
        <f t="shared" si="1"/>
        <v>0</v>
      </c>
    </row>
    <row r="37" spans="1:20" s="19" customFormat="1" ht="24.95" hidden="1" customHeight="1">
      <c r="A37" s="19" t="s">
        <v>506</v>
      </c>
      <c r="B37" s="19" t="s">
        <v>706</v>
      </c>
      <c r="D37" s="26" t="s">
        <v>163</v>
      </c>
      <c r="E37" s="27">
        <v>0</v>
      </c>
      <c r="F37" s="27">
        <v>0</v>
      </c>
      <c r="G37" s="27">
        <v>0</v>
      </c>
      <c r="H37" s="27">
        <v>0</v>
      </c>
      <c r="I37" s="27">
        <v>0</v>
      </c>
      <c r="J37" s="27">
        <v>0</v>
      </c>
      <c r="K37" s="27">
        <v>0</v>
      </c>
      <c r="L37" s="27">
        <v>0</v>
      </c>
      <c r="M37" s="27">
        <v>0</v>
      </c>
      <c r="N37" s="27">
        <v>0</v>
      </c>
      <c r="O37" s="27">
        <v>0</v>
      </c>
      <c r="P37" s="27">
        <v>0</v>
      </c>
      <c r="Q37" s="103">
        <f t="shared" si="7"/>
        <v>0</v>
      </c>
      <c r="R37" s="3"/>
      <c r="S37" s="35"/>
      <c r="T37" s="40">
        <f t="shared" si="1"/>
        <v>0</v>
      </c>
    </row>
    <row r="38" spans="1:20" s="19" customFormat="1" ht="24.95" hidden="1" customHeight="1">
      <c r="A38" s="19" t="s">
        <v>508</v>
      </c>
      <c r="B38" s="19" t="s">
        <v>706</v>
      </c>
      <c r="D38" s="26" t="s">
        <v>165</v>
      </c>
      <c r="E38" s="27">
        <v>0</v>
      </c>
      <c r="F38" s="27">
        <v>0</v>
      </c>
      <c r="G38" s="27">
        <v>0</v>
      </c>
      <c r="H38" s="27">
        <v>0</v>
      </c>
      <c r="I38" s="27">
        <v>0</v>
      </c>
      <c r="J38" s="27">
        <v>0</v>
      </c>
      <c r="K38" s="27">
        <v>0</v>
      </c>
      <c r="L38" s="27">
        <v>0</v>
      </c>
      <c r="M38" s="27">
        <v>0</v>
      </c>
      <c r="N38" s="27">
        <v>0</v>
      </c>
      <c r="O38" s="27">
        <v>0</v>
      </c>
      <c r="P38" s="27">
        <v>0</v>
      </c>
      <c r="Q38" s="103">
        <f t="shared" si="7"/>
        <v>0</v>
      </c>
      <c r="R38" s="3"/>
      <c r="S38" s="35"/>
      <c r="T38" s="40">
        <f t="shared" si="1"/>
        <v>0</v>
      </c>
    </row>
    <row r="39" spans="1:20" s="19" customFormat="1" ht="24.95" hidden="1" customHeight="1">
      <c r="A39" s="19" t="s">
        <v>510</v>
      </c>
      <c r="B39" s="19" t="s">
        <v>706</v>
      </c>
      <c r="D39" s="26" t="s">
        <v>167</v>
      </c>
      <c r="E39" s="27">
        <v>0</v>
      </c>
      <c r="F39" s="27">
        <v>0</v>
      </c>
      <c r="G39" s="27">
        <v>0</v>
      </c>
      <c r="H39" s="27">
        <v>0</v>
      </c>
      <c r="I39" s="27">
        <v>0</v>
      </c>
      <c r="J39" s="27">
        <v>0</v>
      </c>
      <c r="K39" s="27">
        <v>0</v>
      </c>
      <c r="L39" s="27">
        <v>0</v>
      </c>
      <c r="M39" s="27">
        <v>0</v>
      </c>
      <c r="N39" s="27">
        <v>0</v>
      </c>
      <c r="O39" s="27">
        <v>0</v>
      </c>
      <c r="P39" s="27">
        <v>0</v>
      </c>
      <c r="Q39" s="103">
        <f t="shared" si="7"/>
        <v>0</v>
      </c>
      <c r="R39" s="3"/>
      <c r="S39" s="35"/>
      <c r="T39" s="40">
        <f t="shared" si="1"/>
        <v>0</v>
      </c>
    </row>
    <row r="40" spans="1:20" s="3" customFormat="1" ht="24.95" hidden="1" customHeight="1">
      <c r="A40" s="3" t="s">
        <v>512</v>
      </c>
      <c r="B40" s="3" t="s">
        <v>706</v>
      </c>
      <c r="D40" s="26" t="s">
        <v>169</v>
      </c>
      <c r="E40" s="27">
        <v>0</v>
      </c>
      <c r="F40" s="27">
        <v>0</v>
      </c>
      <c r="G40" s="27">
        <v>0</v>
      </c>
      <c r="H40" s="27">
        <v>0</v>
      </c>
      <c r="I40" s="27">
        <v>0</v>
      </c>
      <c r="J40" s="27">
        <v>0</v>
      </c>
      <c r="K40" s="27">
        <v>0</v>
      </c>
      <c r="L40" s="27">
        <v>0</v>
      </c>
      <c r="M40" s="27">
        <v>0</v>
      </c>
      <c r="N40" s="27">
        <v>0</v>
      </c>
      <c r="O40" s="27">
        <v>0</v>
      </c>
      <c r="P40" s="27">
        <v>0</v>
      </c>
      <c r="Q40" s="103">
        <f t="shared" si="7"/>
        <v>0</v>
      </c>
      <c r="S40" s="35"/>
      <c r="T40" s="40">
        <f t="shared" si="1"/>
        <v>0</v>
      </c>
    </row>
    <row r="41" spans="1:20" s="3" customFormat="1" ht="24.95" hidden="1" customHeight="1">
      <c r="A41" s="3" t="s">
        <v>513</v>
      </c>
      <c r="B41" s="3" t="s">
        <v>706</v>
      </c>
      <c r="D41" s="26" t="s">
        <v>171</v>
      </c>
      <c r="E41" s="27">
        <v>0</v>
      </c>
      <c r="F41" s="27">
        <v>0</v>
      </c>
      <c r="G41" s="27">
        <v>0</v>
      </c>
      <c r="H41" s="27">
        <v>0</v>
      </c>
      <c r="I41" s="27">
        <v>0</v>
      </c>
      <c r="J41" s="27">
        <v>0</v>
      </c>
      <c r="K41" s="27">
        <v>0</v>
      </c>
      <c r="L41" s="27">
        <v>0</v>
      </c>
      <c r="M41" s="27">
        <v>0</v>
      </c>
      <c r="N41" s="27">
        <v>0</v>
      </c>
      <c r="O41" s="27">
        <v>0</v>
      </c>
      <c r="P41" s="27">
        <v>0</v>
      </c>
      <c r="Q41" s="103">
        <f t="shared" si="7"/>
        <v>0</v>
      </c>
      <c r="S41" s="35"/>
      <c r="T41" s="40">
        <f t="shared" si="1"/>
        <v>0</v>
      </c>
    </row>
    <row r="42" spans="1:20" s="3" customFormat="1" ht="24.95" hidden="1" customHeight="1">
      <c r="A42" s="271" t="s">
        <v>514</v>
      </c>
      <c r="B42" s="51" t="s">
        <v>706</v>
      </c>
      <c r="D42" s="26" t="s">
        <v>173</v>
      </c>
      <c r="E42" s="27">
        <v>0</v>
      </c>
      <c r="F42" s="27">
        <v>0</v>
      </c>
      <c r="G42" s="27">
        <v>0</v>
      </c>
      <c r="H42" s="27">
        <v>0</v>
      </c>
      <c r="I42" s="27">
        <v>0</v>
      </c>
      <c r="J42" s="27">
        <v>0</v>
      </c>
      <c r="K42" s="27">
        <v>0</v>
      </c>
      <c r="L42" s="27">
        <v>0</v>
      </c>
      <c r="M42" s="27">
        <v>0</v>
      </c>
      <c r="N42" s="27">
        <v>0</v>
      </c>
      <c r="O42" s="27">
        <v>0</v>
      </c>
      <c r="P42" s="27">
        <v>0</v>
      </c>
      <c r="Q42" s="103">
        <f t="shared" si="7"/>
        <v>0</v>
      </c>
      <c r="S42" s="35"/>
      <c r="T42" s="40">
        <f t="shared" si="1"/>
        <v>0</v>
      </c>
    </row>
    <row r="43" spans="1:20" s="3" customFormat="1" ht="24.95" hidden="1" customHeight="1">
      <c r="A43" s="271" t="s">
        <v>516</v>
      </c>
      <c r="B43" s="51" t="s">
        <v>706</v>
      </c>
      <c r="D43" s="26" t="s">
        <v>175</v>
      </c>
      <c r="E43" s="27">
        <v>0</v>
      </c>
      <c r="F43" s="27">
        <v>0</v>
      </c>
      <c r="G43" s="27">
        <v>0</v>
      </c>
      <c r="H43" s="27">
        <v>0</v>
      </c>
      <c r="I43" s="27">
        <v>0</v>
      </c>
      <c r="J43" s="27">
        <v>0</v>
      </c>
      <c r="K43" s="27">
        <v>0</v>
      </c>
      <c r="L43" s="27">
        <v>0</v>
      </c>
      <c r="M43" s="27">
        <v>0</v>
      </c>
      <c r="N43" s="27">
        <v>0</v>
      </c>
      <c r="O43" s="27">
        <v>0</v>
      </c>
      <c r="P43" s="27">
        <v>0</v>
      </c>
      <c r="Q43" s="103">
        <f t="shared" si="7"/>
        <v>0</v>
      </c>
      <c r="S43" s="35"/>
      <c r="T43" s="40">
        <f t="shared" si="1"/>
        <v>0</v>
      </c>
    </row>
    <row r="44" spans="1:20" s="3" customFormat="1" ht="24.95" hidden="1" customHeight="1">
      <c r="A44" s="3" t="s">
        <v>518</v>
      </c>
      <c r="B44" s="51" t="s">
        <v>706</v>
      </c>
      <c r="D44" s="26" t="s">
        <v>177</v>
      </c>
      <c r="E44" s="27">
        <v>0</v>
      </c>
      <c r="F44" s="27">
        <v>0</v>
      </c>
      <c r="G44" s="27">
        <v>0</v>
      </c>
      <c r="H44" s="27">
        <v>0</v>
      </c>
      <c r="I44" s="27">
        <v>0</v>
      </c>
      <c r="J44" s="27">
        <v>0</v>
      </c>
      <c r="K44" s="27">
        <v>0</v>
      </c>
      <c r="L44" s="27">
        <v>0</v>
      </c>
      <c r="M44" s="27">
        <v>0</v>
      </c>
      <c r="N44" s="27">
        <v>0</v>
      </c>
      <c r="O44" s="27">
        <v>0</v>
      </c>
      <c r="P44" s="27">
        <v>0</v>
      </c>
      <c r="Q44" s="103">
        <f t="shared" si="7"/>
        <v>0</v>
      </c>
      <c r="S44" s="35"/>
      <c r="T44" s="40">
        <f t="shared" si="1"/>
        <v>0</v>
      </c>
    </row>
    <row r="45" spans="1:20" s="3" customFormat="1" ht="24.95" hidden="1" customHeight="1">
      <c r="A45" s="3" t="s">
        <v>520</v>
      </c>
      <c r="B45" s="51" t="s">
        <v>706</v>
      </c>
      <c r="D45" s="26" t="s">
        <v>179</v>
      </c>
      <c r="E45" s="27">
        <v>0</v>
      </c>
      <c r="F45" s="27">
        <v>0</v>
      </c>
      <c r="G45" s="27">
        <v>0</v>
      </c>
      <c r="H45" s="27">
        <v>0</v>
      </c>
      <c r="I45" s="27">
        <v>0</v>
      </c>
      <c r="J45" s="27">
        <v>0</v>
      </c>
      <c r="K45" s="27">
        <v>0</v>
      </c>
      <c r="L45" s="27">
        <v>0</v>
      </c>
      <c r="M45" s="27">
        <v>0</v>
      </c>
      <c r="N45" s="27">
        <v>0</v>
      </c>
      <c r="O45" s="27">
        <v>0</v>
      </c>
      <c r="P45" s="27">
        <v>0</v>
      </c>
      <c r="Q45" s="103">
        <f t="shared" si="7"/>
        <v>0</v>
      </c>
      <c r="S45" s="35"/>
      <c r="T45" s="40">
        <f t="shared" si="1"/>
        <v>0</v>
      </c>
    </row>
    <row r="46" spans="1:20" s="3" customFormat="1" ht="24.95" hidden="1" customHeight="1">
      <c r="A46" s="271" t="s">
        <v>522</v>
      </c>
      <c r="B46" s="51" t="s">
        <v>706</v>
      </c>
      <c r="D46" s="26" t="s">
        <v>181</v>
      </c>
      <c r="E46" s="27">
        <v>0</v>
      </c>
      <c r="F46" s="27">
        <v>0</v>
      </c>
      <c r="G46" s="27">
        <v>0</v>
      </c>
      <c r="H46" s="27">
        <v>0</v>
      </c>
      <c r="I46" s="27">
        <v>0</v>
      </c>
      <c r="J46" s="27">
        <v>0</v>
      </c>
      <c r="K46" s="27">
        <v>0</v>
      </c>
      <c r="L46" s="27">
        <v>0</v>
      </c>
      <c r="M46" s="27">
        <v>0</v>
      </c>
      <c r="N46" s="27">
        <v>0</v>
      </c>
      <c r="O46" s="27">
        <v>0</v>
      </c>
      <c r="P46" s="27">
        <v>0</v>
      </c>
      <c r="Q46" s="103">
        <f t="shared" si="7"/>
        <v>0</v>
      </c>
      <c r="S46" s="35"/>
      <c r="T46" s="40">
        <f t="shared" si="1"/>
        <v>0</v>
      </c>
    </row>
    <row r="47" spans="1:20" s="3" customFormat="1" ht="24.95" hidden="1" customHeight="1">
      <c r="A47" s="54" t="s">
        <v>524</v>
      </c>
      <c r="B47" s="51" t="s">
        <v>706</v>
      </c>
      <c r="D47" s="26" t="s">
        <v>183</v>
      </c>
      <c r="E47" s="27">
        <v>0</v>
      </c>
      <c r="F47" s="27">
        <v>0</v>
      </c>
      <c r="G47" s="27">
        <v>0</v>
      </c>
      <c r="H47" s="27">
        <v>0</v>
      </c>
      <c r="I47" s="27">
        <v>0</v>
      </c>
      <c r="J47" s="27">
        <v>0</v>
      </c>
      <c r="K47" s="27">
        <v>0</v>
      </c>
      <c r="L47" s="27">
        <v>0</v>
      </c>
      <c r="M47" s="27">
        <v>0</v>
      </c>
      <c r="N47" s="27">
        <v>0</v>
      </c>
      <c r="O47" s="27">
        <v>0</v>
      </c>
      <c r="P47" s="27">
        <v>0</v>
      </c>
      <c r="Q47" s="103">
        <f t="shared" si="7"/>
        <v>0</v>
      </c>
      <c r="S47" s="35"/>
      <c r="T47" s="40">
        <f t="shared" si="1"/>
        <v>0</v>
      </c>
    </row>
    <row r="48" spans="1:20" s="3" customFormat="1" ht="24.95" hidden="1" customHeight="1">
      <c r="A48" s="271" t="s">
        <v>526</v>
      </c>
      <c r="B48" s="3" t="s">
        <v>706</v>
      </c>
      <c r="D48" s="26" t="s">
        <v>185</v>
      </c>
      <c r="E48" s="27">
        <v>0</v>
      </c>
      <c r="F48" s="27">
        <v>0</v>
      </c>
      <c r="G48" s="27">
        <v>0</v>
      </c>
      <c r="H48" s="27">
        <v>0</v>
      </c>
      <c r="I48" s="27">
        <v>0</v>
      </c>
      <c r="J48" s="27">
        <v>0</v>
      </c>
      <c r="K48" s="27">
        <v>0</v>
      </c>
      <c r="L48" s="27">
        <v>0</v>
      </c>
      <c r="M48" s="27">
        <v>0</v>
      </c>
      <c r="N48" s="27">
        <v>0</v>
      </c>
      <c r="O48" s="27">
        <v>0</v>
      </c>
      <c r="P48" s="27">
        <v>0</v>
      </c>
      <c r="Q48" s="103">
        <f t="shared" si="7"/>
        <v>0</v>
      </c>
      <c r="S48" s="35"/>
      <c r="T48" s="40">
        <f t="shared" si="1"/>
        <v>0</v>
      </c>
    </row>
    <row r="49" spans="1:20" s="3" customFormat="1" ht="24.95" hidden="1" customHeight="1">
      <c r="A49" s="271" t="s">
        <v>528</v>
      </c>
      <c r="B49" s="51" t="s">
        <v>706</v>
      </c>
      <c r="D49" s="26" t="s">
        <v>187</v>
      </c>
      <c r="E49" s="27">
        <v>0</v>
      </c>
      <c r="F49" s="27">
        <v>0</v>
      </c>
      <c r="G49" s="27">
        <v>0</v>
      </c>
      <c r="H49" s="27">
        <v>0</v>
      </c>
      <c r="I49" s="27">
        <v>0</v>
      </c>
      <c r="J49" s="27">
        <v>0</v>
      </c>
      <c r="K49" s="27">
        <v>0</v>
      </c>
      <c r="L49" s="27">
        <v>0</v>
      </c>
      <c r="M49" s="27">
        <v>0</v>
      </c>
      <c r="N49" s="27">
        <v>0</v>
      </c>
      <c r="O49" s="27">
        <v>0</v>
      </c>
      <c r="P49" s="27">
        <v>0</v>
      </c>
      <c r="Q49" s="103">
        <f t="shared" si="7"/>
        <v>0</v>
      </c>
      <c r="S49" s="35"/>
      <c r="T49" s="40">
        <f t="shared" si="1"/>
        <v>0</v>
      </c>
    </row>
    <row r="50" spans="1:20" s="3" customFormat="1" ht="24.95" hidden="1" customHeight="1">
      <c r="A50" s="271" t="s">
        <v>530</v>
      </c>
      <c r="B50" s="51" t="s">
        <v>706</v>
      </c>
      <c r="D50" s="26" t="s">
        <v>189</v>
      </c>
      <c r="E50" s="27">
        <v>0</v>
      </c>
      <c r="F50" s="27">
        <v>0</v>
      </c>
      <c r="G50" s="27">
        <v>0</v>
      </c>
      <c r="H50" s="27">
        <v>0</v>
      </c>
      <c r="I50" s="27">
        <v>0</v>
      </c>
      <c r="J50" s="27">
        <v>0</v>
      </c>
      <c r="K50" s="27">
        <v>0</v>
      </c>
      <c r="L50" s="27">
        <v>0</v>
      </c>
      <c r="M50" s="27">
        <v>0</v>
      </c>
      <c r="N50" s="27">
        <v>0</v>
      </c>
      <c r="O50" s="27">
        <v>0</v>
      </c>
      <c r="P50" s="27">
        <v>0</v>
      </c>
      <c r="Q50" s="103">
        <f t="shared" si="7"/>
        <v>0</v>
      </c>
      <c r="S50" s="35"/>
      <c r="T50" s="40">
        <f t="shared" si="1"/>
        <v>0</v>
      </c>
    </row>
    <row r="51" spans="1:20" s="19" customFormat="1" ht="24.95" hidden="1" customHeight="1">
      <c r="A51" s="271" t="s">
        <v>532</v>
      </c>
      <c r="B51" s="51" t="s">
        <v>706</v>
      </c>
      <c r="D51" s="26" t="s">
        <v>1182</v>
      </c>
      <c r="E51" s="27">
        <v>0</v>
      </c>
      <c r="F51" s="27">
        <v>0</v>
      </c>
      <c r="G51" s="27">
        <v>0</v>
      </c>
      <c r="H51" s="27">
        <v>0</v>
      </c>
      <c r="I51" s="27">
        <v>0</v>
      </c>
      <c r="J51" s="27">
        <v>0</v>
      </c>
      <c r="K51" s="27">
        <v>0</v>
      </c>
      <c r="L51" s="27">
        <v>0</v>
      </c>
      <c r="M51" s="27">
        <v>0</v>
      </c>
      <c r="N51" s="27">
        <v>0</v>
      </c>
      <c r="O51" s="27">
        <v>0</v>
      </c>
      <c r="P51" s="27">
        <v>0</v>
      </c>
      <c r="Q51" s="103">
        <f t="shared" si="7"/>
        <v>0</v>
      </c>
      <c r="R51" s="3"/>
      <c r="S51" s="35"/>
      <c r="T51" s="40">
        <f t="shared" si="1"/>
        <v>0</v>
      </c>
    </row>
    <row r="52" spans="1:20" s="3" customFormat="1" ht="24.95" hidden="1" customHeight="1">
      <c r="A52" s="50" t="s">
        <v>534</v>
      </c>
      <c r="B52" s="3" t="s">
        <v>706</v>
      </c>
      <c r="D52" s="26" t="s">
        <v>193</v>
      </c>
      <c r="E52" s="27">
        <v>0</v>
      </c>
      <c r="F52" s="27">
        <v>0</v>
      </c>
      <c r="G52" s="27">
        <v>0</v>
      </c>
      <c r="H52" s="27">
        <v>0</v>
      </c>
      <c r="I52" s="27">
        <v>0</v>
      </c>
      <c r="J52" s="27">
        <v>0</v>
      </c>
      <c r="K52" s="27">
        <v>0</v>
      </c>
      <c r="L52" s="27">
        <v>0</v>
      </c>
      <c r="M52" s="27">
        <v>0</v>
      </c>
      <c r="N52" s="27">
        <v>0</v>
      </c>
      <c r="O52" s="27">
        <v>0</v>
      </c>
      <c r="P52" s="27">
        <v>0</v>
      </c>
      <c r="Q52" s="103">
        <f t="shared" si="7"/>
        <v>0</v>
      </c>
      <c r="S52" s="35"/>
      <c r="T52" s="40">
        <f t="shared" si="1"/>
        <v>0</v>
      </c>
    </row>
    <row r="53" spans="1:20" s="3" customFormat="1" ht="24.95" hidden="1" customHeight="1">
      <c r="A53" s="271" t="s">
        <v>536</v>
      </c>
      <c r="B53" s="51" t="s">
        <v>706</v>
      </c>
      <c r="D53" s="26" t="s">
        <v>195</v>
      </c>
      <c r="E53" s="27">
        <v>0</v>
      </c>
      <c r="F53" s="27">
        <v>0</v>
      </c>
      <c r="G53" s="27">
        <v>0</v>
      </c>
      <c r="H53" s="27">
        <v>0</v>
      </c>
      <c r="I53" s="27">
        <v>0</v>
      </c>
      <c r="J53" s="27">
        <v>0</v>
      </c>
      <c r="K53" s="27">
        <v>0</v>
      </c>
      <c r="L53" s="27">
        <v>0</v>
      </c>
      <c r="M53" s="27">
        <v>0</v>
      </c>
      <c r="N53" s="27">
        <v>0</v>
      </c>
      <c r="O53" s="27">
        <v>0</v>
      </c>
      <c r="P53" s="27">
        <v>0</v>
      </c>
      <c r="Q53" s="103">
        <f t="shared" si="7"/>
        <v>0</v>
      </c>
      <c r="S53" s="35"/>
      <c r="T53" s="40">
        <f t="shared" si="1"/>
        <v>0</v>
      </c>
    </row>
    <row r="54" spans="1:20" s="3" customFormat="1" ht="24.95" hidden="1" customHeight="1">
      <c r="A54" s="271" t="s">
        <v>538</v>
      </c>
      <c r="B54" s="51" t="s">
        <v>706</v>
      </c>
      <c r="D54" s="26" t="s">
        <v>197</v>
      </c>
      <c r="E54" s="27">
        <v>0</v>
      </c>
      <c r="F54" s="27">
        <v>0</v>
      </c>
      <c r="G54" s="27">
        <v>0</v>
      </c>
      <c r="H54" s="27">
        <v>0</v>
      </c>
      <c r="I54" s="27">
        <v>0</v>
      </c>
      <c r="J54" s="27">
        <v>0</v>
      </c>
      <c r="K54" s="27">
        <v>0</v>
      </c>
      <c r="L54" s="27">
        <v>0</v>
      </c>
      <c r="M54" s="27">
        <v>0</v>
      </c>
      <c r="N54" s="27">
        <v>0</v>
      </c>
      <c r="O54" s="27">
        <v>0</v>
      </c>
      <c r="P54" s="27">
        <v>0</v>
      </c>
      <c r="Q54" s="103">
        <f t="shared" si="7"/>
        <v>0</v>
      </c>
      <c r="S54" s="35"/>
      <c r="T54" s="40">
        <f t="shared" si="1"/>
        <v>0</v>
      </c>
    </row>
    <row r="55" spans="1:20" s="3" customFormat="1" ht="24.95" hidden="1" customHeight="1">
      <c r="A55" s="271" t="s">
        <v>540</v>
      </c>
      <c r="B55" s="51" t="s">
        <v>706</v>
      </c>
      <c r="D55" s="26" t="s">
        <v>199</v>
      </c>
      <c r="E55" s="27">
        <v>0</v>
      </c>
      <c r="F55" s="27">
        <v>0</v>
      </c>
      <c r="G55" s="27">
        <v>0</v>
      </c>
      <c r="H55" s="27">
        <v>0</v>
      </c>
      <c r="I55" s="27">
        <v>0</v>
      </c>
      <c r="J55" s="27">
        <v>0</v>
      </c>
      <c r="K55" s="27">
        <v>0</v>
      </c>
      <c r="L55" s="27">
        <v>0</v>
      </c>
      <c r="M55" s="27">
        <v>0</v>
      </c>
      <c r="N55" s="27">
        <v>0</v>
      </c>
      <c r="O55" s="27">
        <v>0</v>
      </c>
      <c r="P55" s="27">
        <v>0</v>
      </c>
      <c r="Q55" s="103">
        <f t="shared" si="7"/>
        <v>0</v>
      </c>
      <c r="S55" s="35"/>
      <c r="T55" s="40">
        <f t="shared" si="1"/>
        <v>0</v>
      </c>
    </row>
    <row r="56" spans="1:20" s="3" customFormat="1" ht="24.95" hidden="1" customHeight="1">
      <c r="A56" s="271" t="s">
        <v>542</v>
      </c>
      <c r="B56" s="51" t="s">
        <v>706</v>
      </c>
      <c r="D56" s="26" t="s">
        <v>201</v>
      </c>
      <c r="E56" s="27">
        <v>0</v>
      </c>
      <c r="F56" s="27">
        <v>0</v>
      </c>
      <c r="G56" s="27">
        <v>0</v>
      </c>
      <c r="H56" s="27">
        <v>0</v>
      </c>
      <c r="I56" s="27">
        <v>0</v>
      </c>
      <c r="J56" s="27">
        <v>0</v>
      </c>
      <c r="K56" s="27">
        <v>0</v>
      </c>
      <c r="L56" s="27">
        <v>0</v>
      </c>
      <c r="M56" s="27">
        <v>0</v>
      </c>
      <c r="N56" s="27">
        <v>0</v>
      </c>
      <c r="O56" s="27">
        <v>0</v>
      </c>
      <c r="P56" s="27">
        <v>0</v>
      </c>
      <c r="Q56" s="103">
        <f t="shared" si="7"/>
        <v>0</v>
      </c>
      <c r="S56" s="35"/>
      <c r="T56" s="40">
        <f t="shared" si="1"/>
        <v>0</v>
      </c>
    </row>
    <row r="57" spans="1:20" s="3" customFormat="1" ht="24.95" hidden="1" customHeight="1">
      <c r="A57" s="271" t="s">
        <v>544</v>
      </c>
      <c r="B57" s="51" t="s">
        <v>706</v>
      </c>
      <c r="D57" s="26" t="s">
        <v>203</v>
      </c>
      <c r="E57" s="27">
        <v>0</v>
      </c>
      <c r="F57" s="27">
        <v>0</v>
      </c>
      <c r="G57" s="27">
        <v>0</v>
      </c>
      <c r="H57" s="27">
        <v>0</v>
      </c>
      <c r="I57" s="27">
        <v>0</v>
      </c>
      <c r="J57" s="27">
        <v>0</v>
      </c>
      <c r="K57" s="27">
        <v>0</v>
      </c>
      <c r="L57" s="27">
        <v>0</v>
      </c>
      <c r="M57" s="27">
        <v>0</v>
      </c>
      <c r="N57" s="27">
        <v>0</v>
      </c>
      <c r="O57" s="27">
        <v>0</v>
      </c>
      <c r="P57" s="27">
        <v>0</v>
      </c>
      <c r="Q57" s="103">
        <f t="shared" si="7"/>
        <v>0</v>
      </c>
      <c r="S57" s="35"/>
      <c r="T57" s="40">
        <f t="shared" si="1"/>
        <v>0</v>
      </c>
    </row>
    <row r="58" spans="1:20" s="3" customFormat="1" ht="24.95" hidden="1" customHeight="1">
      <c r="A58" s="271" t="s">
        <v>546</v>
      </c>
      <c r="B58" s="51" t="s">
        <v>706</v>
      </c>
      <c r="D58" s="26" t="s">
        <v>205</v>
      </c>
      <c r="E58" s="27">
        <v>0</v>
      </c>
      <c r="F58" s="27">
        <v>0</v>
      </c>
      <c r="G58" s="27">
        <v>0</v>
      </c>
      <c r="H58" s="27">
        <v>0</v>
      </c>
      <c r="I58" s="27">
        <v>0</v>
      </c>
      <c r="J58" s="27">
        <v>0</v>
      </c>
      <c r="K58" s="27">
        <v>0</v>
      </c>
      <c r="L58" s="27">
        <v>0</v>
      </c>
      <c r="M58" s="27">
        <v>0</v>
      </c>
      <c r="N58" s="27">
        <v>0</v>
      </c>
      <c r="O58" s="27">
        <v>0</v>
      </c>
      <c r="P58" s="27">
        <v>0</v>
      </c>
      <c r="Q58" s="103">
        <f t="shared" si="7"/>
        <v>0</v>
      </c>
      <c r="S58" s="35"/>
      <c r="T58" s="40">
        <f t="shared" si="1"/>
        <v>0</v>
      </c>
    </row>
    <row r="59" spans="1:20" s="3" customFormat="1" ht="24.95" hidden="1" customHeight="1">
      <c r="A59" s="271" t="s">
        <v>548</v>
      </c>
      <c r="B59" s="51" t="s">
        <v>706</v>
      </c>
      <c r="D59" s="26" t="s">
        <v>207</v>
      </c>
      <c r="E59" s="27">
        <v>0</v>
      </c>
      <c r="F59" s="27">
        <v>0</v>
      </c>
      <c r="G59" s="27">
        <v>0</v>
      </c>
      <c r="H59" s="27">
        <v>0</v>
      </c>
      <c r="I59" s="27">
        <v>0</v>
      </c>
      <c r="J59" s="27">
        <v>0</v>
      </c>
      <c r="K59" s="27">
        <v>0</v>
      </c>
      <c r="L59" s="27">
        <v>0</v>
      </c>
      <c r="M59" s="27">
        <v>0</v>
      </c>
      <c r="N59" s="27">
        <v>0</v>
      </c>
      <c r="O59" s="27">
        <v>0</v>
      </c>
      <c r="P59" s="27">
        <v>0</v>
      </c>
      <c r="Q59" s="103">
        <f t="shared" si="7"/>
        <v>0</v>
      </c>
      <c r="S59" s="35"/>
      <c r="T59" s="40">
        <f t="shared" si="1"/>
        <v>0</v>
      </c>
    </row>
    <row r="60" spans="1:20" s="3" customFormat="1" ht="24.95" hidden="1" customHeight="1">
      <c r="A60" s="271" t="s">
        <v>550</v>
      </c>
      <c r="B60" s="51" t="s">
        <v>706</v>
      </c>
      <c r="D60" s="26" t="s">
        <v>209</v>
      </c>
      <c r="E60" s="27">
        <v>0</v>
      </c>
      <c r="F60" s="27">
        <v>0</v>
      </c>
      <c r="G60" s="27">
        <v>0</v>
      </c>
      <c r="H60" s="27">
        <v>0</v>
      </c>
      <c r="I60" s="27">
        <v>0</v>
      </c>
      <c r="J60" s="27">
        <v>0</v>
      </c>
      <c r="K60" s="27">
        <v>0</v>
      </c>
      <c r="L60" s="27">
        <v>0</v>
      </c>
      <c r="M60" s="27">
        <v>0</v>
      </c>
      <c r="N60" s="27">
        <v>0</v>
      </c>
      <c r="O60" s="27">
        <v>0</v>
      </c>
      <c r="P60" s="27">
        <v>0</v>
      </c>
      <c r="Q60" s="103">
        <f t="shared" si="7"/>
        <v>0</v>
      </c>
      <c r="S60" s="35"/>
      <c r="T60" s="40">
        <f t="shared" si="1"/>
        <v>0</v>
      </c>
    </row>
    <row r="61" spans="1:20" s="19" customFormat="1" ht="24.95" hidden="1" customHeight="1">
      <c r="A61" s="271" t="s">
        <v>552</v>
      </c>
      <c r="B61" s="51" t="s">
        <v>706</v>
      </c>
      <c r="D61" s="26" t="s">
        <v>211</v>
      </c>
      <c r="E61" s="27">
        <v>0</v>
      </c>
      <c r="F61" s="27">
        <v>0</v>
      </c>
      <c r="G61" s="27">
        <v>0</v>
      </c>
      <c r="H61" s="27">
        <v>0</v>
      </c>
      <c r="I61" s="27">
        <v>0</v>
      </c>
      <c r="J61" s="27">
        <v>0</v>
      </c>
      <c r="K61" s="27">
        <v>0</v>
      </c>
      <c r="L61" s="27">
        <v>0</v>
      </c>
      <c r="M61" s="27">
        <v>0</v>
      </c>
      <c r="N61" s="27">
        <v>0</v>
      </c>
      <c r="O61" s="27">
        <v>0</v>
      </c>
      <c r="P61" s="27">
        <v>0</v>
      </c>
      <c r="Q61" s="103">
        <f t="shared" si="7"/>
        <v>0</v>
      </c>
      <c r="R61" s="3"/>
      <c r="S61" s="35"/>
      <c r="T61" s="40">
        <f t="shared" si="1"/>
        <v>0</v>
      </c>
    </row>
    <row r="62" spans="1:20" s="19" customFormat="1" ht="24.95" hidden="1" customHeight="1">
      <c r="A62" s="271" t="s">
        <v>554</v>
      </c>
      <c r="B62" s="51" t="s">
        <v>706</v>
      </c>
      <c r="D62" s="26" t="s">
        <v>213</v>
      </c>
      <c r="E62" s="27">
        <v>0</v>
      </c>
      <c r="F62" s="27">
        <v>0</v>
      </c>
      <c r="G62" s="27">
        <v>0</v>
      </c>
      <c r="H62" s="27">
        <v>0</v>
      </c>
      <c r="I62" s="27">
        <v>0</v>
      </c>
      <c r="J62" s="27">
        <v>0</v>
      </c>
      <c r="K62" s="27">
        <v>0</v>
      </c>
      <c r="L62" s="27">
        <v>0</v>
      </c>
      <c r="M62" s="27">
        <v>0</v>
      </c>
      <c r="N62" s="27">
        <v>0</v>
      </c>
      <c r="O62" s="27">
        <v>0</v>
      </c>
      <c r="P62" s="27">
        <v>0</v>
      </c>
      <c r="Q62" s="103">
        <f t="shared" si="7"/>
        <v>0</v>
      </c>
      <c r="R62" s="3"/>
      <c r="S62" s="35"/>
      <c r="T62" s="40">
        <f t="shared" si="1"/>
        <v>0</v>
      </c>
    </row>
    <row r="63" spans="1:20" s="3" customFormat="1" ht="24.95" hidden="1" customHeight="1">
      <c r="A63" s="3" t="s">
        <v>556</v>
      </c>
      <c r="B63" s="51" t="s">
        <v>706</v>
      </c>
      <c r="D63" s="26" t="s">
        <v>215</v>
      </c>
      <c r="E63" s="27">
        <v>0</v>
      </c>
      <c r="F63" s="27">
        <v>0</v>
      </c>
      <c r="G63" s="27">
        <v>0</v>
      </c>
      <c r="H63" s="27">
        <v>0</v>
      </c>
      <c r="I63" s="27">
        <v>0</v>
      </c>
      <c r="J63" s="27">
        <v>0</v>
      </c>
      <c r="K63" s="27">
        <v>0</v>
      </c>
      <c r="L63" s="27">
        <v>0</v>
      </c>
      <c r="M63" s="27">
        <v>0</v>
      </c>
      <c r="N63" s="27">
        <v>0</v>
      </c>
      <c r="O63" s="27">
        <v>0</v>
      </c>
      <c r="P63" s="27">
        <v>0</v>
      </c>
      <c r="Q63" s="103">
        <f t="shared" si="7"/>
        <v>0</v>
      </c>
      <c r="S63" s="35"/>
      <c r="T63" s="40">
        <f t="shared" si="1"/>
        <v>0</v>
      </c>
    </row>
    <row r="64" spans="1:20" s="3" customFormat="1" ht="24.95" hidden="1" customHeight="1">
      <c r="A64" s="3" t="s">
        <v>558</v>
      </c>
      <c r="B64" s="51" t="s">
        <v>706</v>
      </c>
      <c r="D64" s="26" t="s">
        <v>217</v>
      </c>
      <c r="E64" s="27">
        <v>0</v>
      </c>
      <c r="F64" s="27">
        <v>0</v>
      </c>
      <c r="G64" s="27">
        <v>0</v>
      </c>
      <c r="H64" s="27">
        <v>0</v>
      </c>
      <c r="I64" s="27">
        <v>0</v>
      </c>
      <c r="J64" s="27">
        <v>0</v>
      </c>
      <c r="K64" s="27">
        <v>0</v>
      </c>
      <c r="L64" s="27">
        <v>0</v>
      </c>
      <c r="M64" s="27">
        <v>0</v>
      </c>
      <c r="N64" s="27">
        <v>0</v>
      </c>
      <c r="O64" s="27">
        <v>0</v>
      </c>
      <c r="P64" s="27">
        <v>0</v>
      </c>
      <c r="Q64" s="103">
        <f t="shared" si="7"/>
        <v>0</v>
      </c>
      <c r="S64" s="35"/>
      <c r="T64" s="40">
        <f t="shared" si="1"/>
        <v>0</v>
      </c>
    </row>
    <row r="65" spans="1:22" s="3" customFormat="1" ht="24.95" hidden="1" customHeight="1">
      <c r="A65" s="3" t="s">
        <v>560</v>
      </c>
      <c r="B65" s="51" t="s">
        <v>706</v>
      </c>
      <c r="D65" s="26" t="s">
        <v>219</v>
      </c>
      <c r="E65" s="27">
        <v>0</v>
      </c>
      <c r="F65" s="27">
        <v>0</v>
      </c>
      <c r="G65" s="27">
        <v>0</v>
      </c>
      <c r="H65" s="27">
        <v>0</v>
      </c>
      <c r="I65" s="27">
        <v>0</v>
      </c>
      <c r="J65" s="27">
        <v>0</v>
      </c>
      <c r="K65" s="27">
        <v>0</v>
      </c>
      <c r="L65" s="27">
        <v>0</v>
      </c>
      <c r="M65" s="27">
        <v>0</v>
      </c>
      <c r="N65" s="27">
        <v>0</v>
      </c>
      <c r="O65" s="27">
        <v>0</v>
      </c>
      <c r="P65" s="27">
        <v>0</v>
      </c>
      <c r="Q65" s="103">
        <f t="shared" si="7"/>
        <v>0</v>
      </c>
      <c r="S65" s="35"/>
      <c r="T65" s="40">
        <f t="shared" si="1"/>
        <v>0</v>
      </c>
    </row>
    <row r="66" spans="1:22" s="3" customFormat="1" ht="24.95" hidden="1" customHeight="1">
      <c r="A66" s="3" t="s">
        <v>562</v>
      </c>
      <c r="B66" s="51" t="s">
        <v>706</v>
      </c>
      <c r="D66" s="26" t="s">
        <v>221</v>
      </c>
      <c r="E66" s="27">
        <v>0</v>
      </c>
      <c r="F66" s="27">
        <v>0</v>
      </c>
      <c r="G66" s="27">
        <v>0</v>
      </c>
      <c r="H66" s="27">
        <v>0</v>
      </c>
      <c r="I66" s="27">
        <v>0</v>
      </c>
      <c r="J66" s="27">
        <v>0</v>
      </c>
      <c r="K66" s="27">
        <v>0</v>
      </c>
      <c r="L66" s="27">
        <v>0</v>
      </c>
      <c r="M66" s="27">
        <v>0</v>
      </c>
      <c r="N66" s="27">
        <v>0</v>
      </c>
      <c r="O66" s="27">
        <v>0</v>
      </c>
      <c r="P66" s="27">
        <v>0</v>
      </c>
      <c r="Q66" s="103">
        <f t="shared" si="7"/>
        <v>0</v>
      </c>
      <c r="S66" s="35"/>
      <c r="T66" s="40">
        <f t="shared" si="1"/>
        <v>0</v>
      </c>
    </row>
    <row r="67" spans="1:22" s="3" customFormat="1" ht="24.95" hidden="1" customHeight="1">
      <c r="A67" s="3" t="s">
        <v>564</v>
      </c>
      <c r="B67" s="51" t="s">
        <v>706</v>
      </c>
      <c r="D67" s="26" t="s">
        <v>223</v>
      </c>
      <c r="E67" s="27">
        <v>0</v>
      </c>
      <c r="F67" s="27">
        <v>0</v>
      </c>
      <c r="G67" s="27">
        <v>0</v>
      </c>
      <c r="H67" s="27">
        <v>0</v>
      </c>
      <c r="I67" s="27">
        <v>0</v>
      </c>
      <c r="J67" s="27">
        <v>0</v>
      </c>
      <c r="K67" s="27">
        <v>0</v>
      </c>
      <c r="L67" s="27">
        <v>0</v>
      </c>
      <c r="M67" s="27">
        <v>0</v>
      </c>
      <c r="N67" s="27">
        <v>0</v>
      </c>
      <c r="O67" s="27">
        <v>0</v>
      </c>
      <c r="P67" s="27">
        <v>0</v>
      </c>
      <c r="Q67" s="103">
        <f t="shared" si="7"/>
        <v>0</v>
      </c>
      <c r="S67" s="35"/>
      <c r="T67" s="40">
        <f t="shared" si="1"/>
        <v>0</v>
      </c>
    </row>
    <row r="68" spans="1:22" s="3" customFormat="1" ht="24.95" hidden="1" customHeight="1">
      <c r="A68" s="3" t="s">
        <v>566</v>
      </c>
      <c r="B68" s="51" t="s">
        <v>706</v>
      </c>
      <c r="D68" s="26" t="s">
        <v>225</v>
      </c>
      <c r="E68" s="27">
        <v>0</v>
      </c>
      <c r="F68" s="27">
        <v>0</v>
      </c>
      <c r="G68" s="27">
        <v>0</v>
      </c>
      <c r="H68" s="27">
        <v>0</v>
      </c>
      <c r="I68" s="27">
        <v>0</v>
      </c>
      <c r="J68" s="27">
        <v>0</v>
      </c>
      <c r="K68" s="27">
        <v>0</v>
      </c>
      <c r="L68" s="27">
        <v>0</v>
      </c>
      <c r="M68" s="27">
        <v>0</v>
      </c>
      <c r="N68" s="27">
        <v>0</v>
      </c>
      <c r="O68" s="27">
        <v>0</v>
      </c>
      <c r="P68" s="27">
        <v>0</v>
      </c>
      <c r="Q68" s="103">
        <f t="shared" si="7"/>
        <v>0</v>
      </c>
      <c r="S68" s="35"/>
      <c r="T68" s="40">
        <f t="shared" si="1"/>
        <v>0</v>
      </c>
    </row>
    <row r="69" spans="1:22" s="3" customFormat="1" ht="24.95" customHeight="1">
      <c r="A69" s="3" t="s">
        <v>568</v>
      </c>
      <c r="B69" s="51" t="s">
        <v>706</v>
      </c>
      <c r="D69" s="26" t="s">
        <v>227</v>
      </c>
      <c r="E69" s="27">
        <v>600</v>
      </c>
      <c r="F69" s="27">
        <v>600</v>
      </c>
      <c r="G69" s="27">
        <v>600</v>
      </c>
      <c r="H69" s="27">
        <v>600</v>
      </c>
      <c r="I69" s="27">
        <v>600</v>
      </c>
      <c r="J69" s="27">
        <v>600</v>
      </c>
      <c r="K69" s="27">
        <v>600</v>
      </c>
      <c r="L69" s="27">
        <v>600</v>
      </c>
      <c r="M69" s="27">
        <v>600</v>
      </c>
      <c r="N69" s="27">
        <v>600</v>
      </c>
      <c r="O69" s="27">
        <v>600</v>
      </c>
      <c r="P69" s="27">
        <v>600</v>
      </c>
      <c r="Q69" s="103">
        <f>SUM(E69:P69)</f>
        <v>7200</v>
      </c>
      <c r="R69" s="39">
        <f t="shared" ref="R69:R72" si="8">IF($Q$15=0,0,Q69/$Q$15)</f>
        <v>0</v>
      </c>
      <c r="S69" s="35"/>
      <c r="T69" s="40" t="e">
        <f t="shared" si="1"/>
        <v>#DIV/0!</v>
      </c>
    </row>
    <row r="70" spans="1:22" s="3" customFormat="1" ht="24.95" customHeight="1">
      <c r="A70" s="3" t="s">
        <v>570</v>
      </c>
      <c r="B70" s="51" t="s">
        <v>706</v>
      </c>
      <c r="D70" s="26" t="s">
        <v>229</v>
      </c>
      <c r="E70" s="27">
        <v>200</v>
      </c>
      <c r="F70" s="27">
        <v>200</v>
      </c>
      <c r="G70" s="27">
        <v>200</v>
      </c>
      <c r="H70" s="27">
        <v>200</v>
      </c>
      <c r="I70" s="27">
        <v>200</v>
      </c>
      <c r="J70" s="27">
        <v>200</v>
      </c>
      <c r="K70" s="27">
        <v>200</v>
      </c>
      <c r="L70" s="27">
        <v>200</v>
      </c>
      <c r="M70" s="27">
        <v>200</v>
      </c>
      <c r="N70" s="27">
        <v>200</v>
      </c>
      <c r="O70" s="27">
        <v>200</v>
      </c>
      <c r="P70" s="27">
        <v>200</v>
      </c>
      <c r="Q70" s="103">
        <f t="shared" ref="Q70:Q93" si="9">SUM(E70:P70)</f>
        <v>2400</v>
      </c>
      <c r="R70" s="39">
        <f t="shared" si="8"/>
        <v>0</v>
      </c>
      <c r="S70" s="35"/>
      <c r="T70" s="40" t="e">
        <f t="shared" si="1"/>
        <v>#DIV/0!</v>
      </c>
    </row>
    <row r="71" spans="1:22" s="3" customFormat="1" ht="24.95" customHeight="1">
      <c r="A71" s="271" t="s">
        <v>572</v>
      </c>
      <c r="B71" s="51" t="s">
        <v>706</v>
      </c>
      <c r="D71" s="26" t="s">
        <v>231</v>
      </c>
      <c r="E71" s="27">
        <v>450</v>
      </c>
      <c r="F71" s="27">
        <v>450</v>
      </c>
      <c r="G71" s="27">
        <v>450</v>
      </c>
      <c r="H71" s="27">
        <v>450</v>
      </c>
      <c r="I71" s="27">
        <v>450</v>
      </c>
      <c r="J71" s="27">
        <v>450</v>
      </c>
      <c r="K71" s="27">
        <v>450</v>
      </c>
      <c r="L71" s="27">
        <v>450</v>
      </c>
      <c r="M71" s="27">
        <v>450</v>
      </c>
      <c r="N71" s="27">
        <v>450</v>
      </c>
      <c r="O71" s="27">
        <v>450</v>
      </c>
      <c r="P71" s="27">
        <v>450</v>
      </c>
      <c r="Q71" s="103">
        <f t="shared" si="9"/>
        <v>5400</v>
      </c>
      <c r="R71" s="39">
        <f t="shared" si="8"/>
        <v>0</v>
      </c>
      <c r="S71" s="35"/>
      <c r="T71" s="40" t="e">
        <f t="shared" si="1"/>
        <v>#DIV/0!</v>
      </c>
    </row>
    <row r="72" spans="1:22" s="3" customFormat="1" ht="24.95" customHeight="1">
      <c r="A72" s="271" t="s">
        <v>574</v>
      </c>
      <c r="B72" s="51" t="s">
        <v>706</v>
      </c>
      <c r="D72" s="26" t="s">
        <v>233</v>
      </c>
      <c r="E72" s="27"/>
      <c r="F72" s="27"/>
      <c r="G72" s="27"/>
      <c r="H72" s="27"/>
      <c r="I72" s="27"/>
      <c r="J72" s="27"/>
      <c r="K72" s="27">
        <v>1200</v>
      </c>
      <c r="L72" s="27"/>
      <c r="M72" s="27"/>
      <c r="N72" s="27"/>
      <c r="O72" s="27"/>
      <c r="P72" s="27"/>
      <c r="Q72" s="103">
        <f t="shared" si="9"/>
        <v>1200</v>
      </c>
      <c r="R72" s="39">
        <f t="shared" si="8"/>
        <v>0</v>
      </c>
      <c r="S72" s="35"/>
      <c r="T72" s="40" t="e">
        <f t="shared" si="1"/>
        <v>#DIV/0!</v>
      </c>
    </row>
    <row r="73" spans="1:22" s="3" customFormat="1" ht="24.95" customHeight="1">
      <c r="A73" s="271" t="s">
        <v>434</v>
      </c>
      <c r="B73" s="51" t="s">
        <v>706</v>
      </c>
      <c r="D73" s="26" t="s">
        <v>435</v>
      </c>
      <c r="E73" s="97"/>
      <c r="F73" s="97"/>
      <c r="G73" s="97"/>
      <c r="H73" s="97"/>
      <c r="I73" s="97"/>
      <c r="J73" s="97"/>
      <c r="K73" s="97"/>
      <c r="L73" s="97"/>
      <c r="M73" s="97"/>
      <c r="N73" s="97"/>
      <c r="O73" s="97"/>
      <c r="P73" s="97"/>
      <c r="Q73" s="103">
        <f t="shared" si="9"/>
        <v>0</v>
      </c>
      <c r="R73" s="39">
        <f>IF($Q$15=0,0,Q73/$Q$15)</f>
        <v>0</v>
      </c>
      <c r="S73" s="35"/>
      <c r="T73" s="40">
        <f>-IF(Q73-S73=0,0,(Q73-S73)/S73)</f>
        <v>0</v>
      </c>
    </row>
    <row r="74" spans="1:22" ht="26.25" hidden="1" customHeight="1">
      <c r="A74" s="5" t="s">
        <v>576</v>
      </c>
      <c r="B74" s="5" t="s">
        <v>706</v>
      </c>
      <c r="D74" s="26" t="s">
        <v>235</v>
      </c>
      <c r="E74" s="27">
        <v>0</v>
      </c>
      <c r="F74" s="27">
        <v>0</v>
      </c>
      <c r="G74" s="27">
        <v>0</v>
      </c>
      <c r="H74" s="27">
        <v>0</v>
      </c>
      <c r="I74" s="27">
        <v>0</v>
      </c>
      <c r="J74" s="27">
        <v>0</v>
      </c>
      <c r="K74" s="27">
        <v>0</v>
      </c>
      <c r="L74" s="27">
        <v>0</v>
      </c>
      <c r="M74" s="27">
        <v>0</v>
      </c>
      <c r="N74" s="27">
        <v>0</v>
      </c>
      <c r="O74" s="27">
        <v>0</v>
      </c>
      <c r="P74" s="27">
        <v>0</v>
      </c>
      <c r="Q74" s="103">
        <f t="shared" si="9"/>
        <v>0</v>
      </c>
      <c r="R74" s="39">
        <f t="shared" ref="R74:R95" si="10">IF($Q$15=0,0,Q74/$Q$15)</f>
        <v>0</v>
      </c>
      <c r="S74" s="35"/>
      <c r="T74" s="40">
        <f t="shared" ref="T74:T94" si="11">-IF(Q74-S74=0,0,(Q74-S74)/S74)</f>
        <v>0</v>
      </c>
      <c r="V74" s="3"/>
    </row>
    <row r="75" spans="1:22" ht="26.25" hidden="1" customHeight="1">
      <c r="A75" s="5" t="s">
        <v>578</v>
      </c>
      <c r="B75" s="5" t="s">
        <v>706</v>
      </c>
      <c r="D75" s="26" t="s">
        <v>237</v>
      </c>
      <c r="E75" s="27">
        <v>0</v>
      </c>
      <c r="F75" s="27">
        <v>0</v>
      </c>
      <c r="G75" s="27">
        <v>0</v>
      </c>
      <c r="H75" s="27">
        <v>0</v>
      </c>
      <c r="I75" s="27">
        <v>0</v>
      </c>
      <c r="J75" s="27">
        <v>0</v>
      </c>
      <c r="K75" s="27">
        <v>0</v>
      </c>
      <c r="L75" s="27">
        <v>0</v>
      </c>
      <c r="M75" s="27">
        <v>0</v>
      </c>
      <c r="N75" s="27">
        <v>0</v>
      </c>
      <c r="O75" s="27">
        <v>0</v>
      </c>
      <c r="P75" s="27">
        <v>0</v>
      </c>
      <c r="Q75" s="103">
        <f t="shared" si="9"/>
        <v>0</v>
      </c>
      <c r="R75" s="39">
        <f t="shared" si="10"/>
        <v>0</v>
      </c>
      <c r="S75" s="35"/>
      <c r="T75" s="40">
        <f t="shared" si="11"/>
        <v>0</v>
      </c>
      <c r="V75" s="3"/>
    </row>
    <row r="76" spans="1:22" ht="26.25" hidden="1" customHeight="1">
      <c r="A76" s="5" t="s">
        <v>580</v>
      </c>
      <c r="B76" s="5" t="s">
        <v>706</v>
      </c>
      <c r="D76" s="26" t="s">
        <v>239</v>
      </c>
      <c r="E76" s="27">
        <v>0</v>
      </c>
      <c r="F76" s="27">
        <v>0</v>
      </c>
      <c r="G76" s="27">
        <v>0</v>
      </c>
      <c r="H76" s="27">
        <v>0</v>
      </c>
      <c r="I76" s="27">
        <v>0</v>
      </c>
      <c r="J76" s="27">
        <v>0</v>
      </c>
      <c r="K76" s="27">
        <v>0</v>
      </c>
      <c r="L76" s="27">
        <v>0</v>
      </c>
      <c r="M76" s="27">
        <v>0</v>
      </c>
      <c r="N76" s="27">
        <v>0</v>
      </c>
      <c r="O76" s="27">
        <v>0</v>
      </c>
      <c r="P76" s="27">
        <v>0</v>
      </c>
      <c r="Q76" s="103">
        <f t="shared" si="9"/>
        <v>0</v>
      </c>
      <c r="R76" s="39">
        <f t="shared" si="10"/>
        <v>0</v>
      </c>
      <c r="S76" s="35"/>
      <c r="T76" s="40">
        <f t="shared" si="11"/>
        <v>0</v>
      </c>
      <c r="V76" s="3"/>
    </row>
    <row r="77" spans="1:22" ht="26.25" hidden="1" customHeight="1">
      <c r="A77" s="5" t="s">
        <v>582</v>
      </c>
      <c r="B77" s="5" t="s">
        <v>706</v>
      </c>
      <c r="D77" s="26" t="s">
        <v>241</v>
      </c>
      <c r="E77" s="27">
        <v>0</v>
      </c>
      <c r="F77" s="27">
        <v>0</v>
      </c>
      <c r="G77" s="27">
        <v>0</v>
      </c>
      <c r="H77" s="27">
        <v>0</v>
      </c>
      <c r="I77" s="27">
        <v>0</v>
      </c>
      <c r="J77" s="27">
        <v>0</v>
      </c>
      <c r="K77" s="27">
        <v>0</v>
      </c>
      <c r="L77" s="27">
        <v>0</v>
      </c>
      <c r="M77" s="27">
        <v>0</v>
      </c>
      <c r="N77" s="27">
        <v>0</v>
      </c>
      <c r="O77" s="27">
        <v>0</v>
      </c>
      <c r="P77" s="27">
        <v>0</v>
      </c>
      <c r="Q77" s="103">
        <f t="shared" si="9"/>
        <v>0</v>
      </c>
      <c r="R77" s="39">
        <f t="shared" si="10"/>
        <v>0</v>
      </c>
      <c r="S77" s="35"/>
      <c r="T77" s="40">
        <f t="shared" si="11"/>
        <v>0</v>
      </c>
      <c r="V77" s="3"/>
    </row>
    <row r="78" spans="1:22" ht="26.25" hidden="1" customHeight="1">
      <c r="A78" s="5" t="s">
        <v>584</v>
      </c>
      <c r="B78" s="5" t="s">
        <v>706</v>
      </c>
      <c r="D78" s="26" t="s">
        <v>243</v>
      </c>
      <c r="E78" s="27">
        <v>0</v>
      </c>
      <c r="F78" s="27">
        <v>0</v>
      </c>
      <c r="G78" s="27">
        <v>0</v>
      </c>
      <c r="H78" s="27">
        <v>0</v>
      </c>
      <c r="I78" s="27">
        <v>0</v>
      </c>
      <c r="J78" s="27">
        <v>0</v>
      </c>
      <c r="K78" s="27">
        <v>0</v>
      </c>
      <c r="L78" s="27">
        <v>0</v>
      </c>
      <c r="M78" s="27">
        <v>0</v>
      </c>
      <c r="N78" s="27">
        <v>0</v>
      </c>
      <c r="O78" s="27">
        <v>0</v>
      </c>
      <c r="P78" s="27">
        <v>0</v>
      </c>
      <c r="Q78" s="103">
        <f t="shared" si="9"/>
        <v>0</v>
      </c>
      <c r="R78" s="39">
        <f t="shared" si="10"/>
        <v>0</v>
      </c>
      <c r="S78" s="35"/>
      <c r="T78" s="40">
        <f t="shared" si="11"/>
        <v>0</v>
      </c>
      <c r="V78" s="3"/>
    </row>
    <row r="79" spans="1:22" ht="26.25" hidden="1" customHeight="1">
      <c r="A79" s="5" t="s">
        <v>586</v>
      </c>
      <c r="B79" s="5" t="s">
        <v>706</v>
      </c>
      <c r="D79" s="26" t="s">
        <v>245</v>
      </c>
      <c r="E79" s="27">
        <v>0</v>
      </c>
      <c r="F79" s="27">
        <v>0</v>
      </c>
      <c r="G79" s="27">
        <v>0</v>
      </c>
      <c r="H79" s="27">
        <v>0</v>
      </c>
      <c r="I79" s="27">
        <v>0</v>
      </c>
      <c r="J79" s="27">
        <v>0</v>
      </c>
      <c r="K79" s="27">
        <v>0</v>
      </c>
      <c r="L79" s="27">
        <v>0</v>
      </c>
      <c r="M79" s="27">
        <v>0</v>
      </c>
      <c r="N79" s="27">
        <v>0</v>
      </c>
      <c r="O79" s="27">
        <v>0</v>
      </c>
      <c r="P79" s="27">
        <v>0</v>
      </c>
      <c r="Q79" s="103">
        <f t="shared" si="9"/>
        <v>0</v>
      </c>
      <c r="R79" s="39">
        <f t="shared" si="10"/>
        <v>0</v>
      </c>
      <c r="S79" s="35"/>
      <c r="T79" s="40">
        <f t="shared" si="11"/>
        <v>0</v>
      </c>
      <c r="V79" s="3"/>
    </row>
    <row r="80" spans="1:22" ht="26.25" hidden="1" customHeight="1">
      <c r="A80" s="5" t="s">
        <v>588</v>
      </c>
      <c r="B80" s="5" t="s">
        <v>706</v>
      </c>
      <c r="D80" s="26" t="s">
        <v>247</v>
      </c>
      <c r="E80" s="27">
        <v>0</v>
      </c>
      <c r="F80" s="27">
        <v>0</v>
      </c>
      <c r="G80" s="27">
        <v>0</v>
      </c>
      <c r="H80" s="27">
        <v>0</v>
      </c>
      <c r="I80" s="27">
        <v>0</v>
      </c>
      <c r="J80" s="27">
        <v>0</v>
      </c>
      <c r="K80" s="27">
        <v>0</v>
      </c>
      <c r="L80" s="27">
        <v>0</v>
      </c>
      <c r="M80" s="27">
        <v>0</v>
      </c>
      <c r="N80" s="27">
        <v>0</v>
      </c>
      <c r="O80" s="27">
        <v>0</v>
      </c>
      <c r="P80" s="27">
        <v>0</v>
      </c>
      <c r="Q80" s="103">
        <f t="shared" si="9"/>
        <v>0</v>
      </c>
      <c r="R80" s="39">
        <f t="shared" si="10"/>
        <v>0</v>
      </c>
      <c r="S80" s="35"/>
      <c r="T80" s="40">
        <f t="shared" si="11"/>
        <v>0</v>
      </c>
      <c r="V80" s="3"/>
    </row>
    <row r="81" spans="1:23" ht="26.25" hidden="1" customHeight="1">
      <c r="A81" s="5" t="s">
        <v>590</v>
      </c>
      <c r="B81" s="5" t="s">
        <v>706</v>
      </c>
      <c r="D81" s="26" t="s">
        <v>249</v>
      </c>
      <c r="E81" s="27">
        <v>0</v>
      </c>
      <c r="F81" s="27">
        <v>0</v>
      </c>
      <c r="G81" s="27">
        <v>0</v>
      </c>
      <c r="H81" s="27">
        <v>0</v>
      </c>
      <c r="I81" s="27">
        <v>0</v>
      </c>
      <c r="J81" s="27">
        <v>0</v>
      </c>
      <c r="K81" s="27">
        <v>0</v>
      </c>
      <c r="L81" s="27">
        <v>0</v>
      </c>
      <c r="M81" s="27">
        <v>0</v>
      </c>
      <c r="N81" s="27">
        <v>0</v>
      </c>
      <c r="O81" s="27">
        <v>0</v>
      </c>
      <c r="P81" s="27">
        <v>0</v>
      </c>
      <c r="Q81" s="103">
        <f t="shared" si="9"/>
        <v>0</v>
      </c>
      <c r="R81" s="39">
        <f t="shared" si="10"/>
        <v>0</v>
      </c>
      <c r="S81" s="35"/>
      <c r="T81" s="40">
        <f t="shared" si="11"/>
        <v>0</v>
      </c>
      <c r="V81" s="3"/>
    </row>
    <row r="82" spans="1:23" ht="26.25" hidden="1" customHeight="1">
      <c r="A82" s="5" t="s">
        <v>592</v>
      </c>
      <c r="B82" s="5" t="s">
        <v>706</v>
      </c>
      <c r="D82" s="26" t="s">
        <v>251</v>
      </c>
      <c r="E82" s="27">
        <v>0</v>
      </c>
      <c r="F82" s="27">
        <v>0</v>
      </c>
      <c r="G82" s="27">
        <v>0</v>
      </c>
      <c r="H82" s="27">
        <v>0</v>
      </c>
      <c r="I82" s="27">
        <v>0</v>
      </c>
      <c r="J82" s="27">
        <v>0</v>
      </c>
      <c r="K82" s="27">
        <v>0</v>
      </c>
      <c r="L82" s="27">
        <v>0</v>
      </c>
      <c r="M82" s="27">
        <v>0</v>
      </c>
      <c r="N82" s="27">
        <v>0</v>
      </c>
      <c r="O82" s="27">
        <v>0</v>
      </c>
      <c r="P82" s="27">
        <v>0</v>
      </c>
      <c r="Q82" s="103">
        <f t="shared" si="9"/>
        <v>0</v>
      </c>
      <c r="R82" s="39">
        <f t="shared" si="10"/>
        <v>0</v>
      </c>
      <c r="S82" s="35"/>
      <c r="T82" s="40">
        <f t="shared" si="11"/>
        <v>0</v>
      </c>
      <c r="V82" s="3"/>
    </row>
    <row r="83" spans="1:23" ht="26.25" hidden="1" customHeight="1">
      <c r="A83" s="5" t="s">
        <v>594</v>
      </c>
      <c r="B83" s="5" t="s">
        <v>706</v>
      </c>
      <c r="D83" s="26" t="s">
        <v>253</v>
      </c>
      <c r="E83" s="27">
        <v>0</v>
      </c>
      <c r="F83" s="27">
        <v>0</v>
      </c>
      <c r="G83" s="27">
        <v>0</v>
      </c>
      <c r="H83" s="27">
        <v>0</v>
      </c>
      <c r="I83" s="27">
        <v>0</v>
      </c>
      <c r="J83" s="27">
        <v>0</v>
      </c>
      <c r="K83" s="27">
        <v>0</v>
      </c>
      <c r="L83" s="27">
        <v>0</v>
      </c>
      <c r="M83" s="27">
        <v>0</v>
      </c>
      <c r="N83" s="27">
        <v>0</v>
      </c>
      <c r="O83" s="27">
        <v>0</v>
      </c>
      <c r="P83" s="27">
        <v>0</v>
      </c>
      <c r="Q83" s="103">
        <f t="shared" si="9"/>
        <v>0</v>
      </c>
      <c r="R83" s="39">
        <f t="shared" si="10"/>
        <v>0</v>
      </c>
      <c r="S83" s="35"/>
      <c r="T83" s="40">
        <f t="shared" si="11"/>
        <v>0</v>
      </c>
      <c r="V83" s="3"/>
    </row>
    <row r="84" spans="1:23" ht="26.25" hidden="1" customHeight="1">
      <c r="A84" s="5" t="s">
        <v>596</v>
      </c>
      <c r="B84" s="5" t="s">
        <v>706</v>
      </c>
      <c r="D84" s="26" t="s">
        <v>255</v>
      </c>
      <c r="E84" s="27">
        <v>0</v>
      </c>
      <c r="F84" s="27">
        <v>0</v>
      </c>
      <c r="G84" s="27">
        <v>0</v>
      </c>
      <c r="H84" s="27">
        <v>0</v>
      </c>
      <c r="I84" s="27">
        <v>0</v>
      </c>
      <c r="J84" s="27">
        <v>0</v>
      </c>
      <c r="K84" s="27">
        <v>0</v>
      </c>
      <c r="L84" s="27">
        <v>0</v>
      </c>
      <c r="M84" s="27">
        <v>0</v>
      </c>
      <c r="N84" s="27">
        <v>0</v>
      </c>
      <c r="O84" s="27">
        <v>0</v>
      </c>
      <c r="P84" s="27">
        <v>0</v>
      </c>
      <c r="Q84" s="103">
        <f t="shared" si="9"/>
        <v>0</v>
      </c>
      <c r="R84" s="39">
        <f t="shared" si="10"/>
        <v>0</v>
      </c>
      <c r="S84" s="35"/>
      <c r="T84" s="40">
        <f t="shared" si="11"/>
        <v>0</v>
      </c>
      <c r="V84" s="3"/>
    </row>
    <row r="85" spans="1:23" ht="26.25" hidden="1" customHeight="1">
      <c r="A85" s="5" t="s">
        <v>598</v>
      </c>
      <c r="B85" s="5" t="s">
        <v>706</v>
      </c>
      <c r="D85" s="26" t="s">
        <v>257</v>
      </c>
      <c r="E85" s="27">
        <v>0</v>
      </c>
      <c r="F85" s="27">
        <v>0</v>
      </c>
      <c r="G85" s="27">
        <v>0</v>
      </c>
      <c r="H85" s="27">
        <v>0</v>
      </c>
      <c r="I85" s="27">
        <v>0</v>
      </c>
      <c r="J85" s="27">
        <v>0</v>
      </c>
      <c r="K85" s="27">
        <v>0</v>
      </c>
      <c r="L85" s="27">
        <v>0</v>
      </c>
      <c r="M85" s="27">
        <v>0</v>
      </c>
      <c r="N85" s="27">
        <v>0</v>
      </c>
      <c r="O85" s="27">
        <v>0</v>
      </c>
      <c r="P85" s="27">
        <v>0</v>
      </c>
      <c r="Q85" s="103">
        <f t="shared" si="9"/>
        <v>0</v>
      </c>
      <c r="R85" s="39">
        <f t="shared" si="10"/>
        <v>0</v>
      </c>
      <c r="S85" s="35"/>
      <c r="T85" s="40">
        <f t="shared" si="11"/>
        <v>0</v>
      </c>
      <c r="V85" s="3"/>
    </row>
    <row r="86" spans="1:23" ht="26.25" hidden="1" customHeight="1">
      <c r="A86" s="5" t="s">
        <v>600</v>
      </c>
      <c r="B86" s="5" t="s">
        <v>706</v>
      </c>
      <c r="D86" s="26" t="s">
        <v>259</v>
      </c>
      <c r="E86" s="27">
        <v>0</v>
      </c>
      <c r="F86" s="27">
        <v>0</v>
      </c>
      <c r="G86" s="27">
        <v>0</v>
      </c>
      <c r="H86" s="27">
        <v>0</v>
      </c>
      <c r="I86" s="27">
        <v>0</v>
      </c>
      <c r="J86" s="27">
        <v>0</v>
      </c>
      <c r="K86" s="27">
        <v>0</v>
      </c>
      <c r="L86" s="27">
        <v>0</v>
      </c>
      <c r="M86" s="27">
        <v>0</v>
      </c>
      <c r="N86" s="27">
        <v>0</v>
      </c>
      <c r="O86" s="27">
        <v>0</v>
      </c>
      <c r="P86" s="27">
        <v>0</v>
      </c>
      <c r="Q86" s="103">
        <f t="shared" si="9"/>
        <v>0</v>
      </c>
      <c r="R86" s="39">
        <f t="shared" si="10"/>
        <v>0</v>
      </c>
      <c r="S86" s="35"/>
      <c r="T86" s="40">
        <f t="shared" si="11"/>
        <v>0</v>
      </c>
      <c r="V86" s="3"/>
    </row>
    <row r="87" spans="1:23" ht="26.25" hidden="1" customHeight="1">
      <c r="A87" s="5" t="s">
        <v>602</v>
      </c>
      <c r="B87" s="5" t="s">
        <v>706</v>
      </c>
      <c r="D87" s="26" t="s">
        <v>261</v>
      </c>
      <c r="E87" s="27">
        <v>0</v>
      </c>
      <c r="F87" s="27">
        <v>0</v>
      </c>
      <c r="G87" s="27">
        <v>0</v>
      </c>
      <c r="H87" s="27">
        <v>0</v>
      </c>
      <c r="I87" s="27">
        <v>0</v>
      </c>
      <c r="J87" s="27">
        <v>0</v>
      </c>
      <c r="K87" s="27">
        <v>0</v>
      </c>
      <c r="L87" s="27">
        <v>0</v>
      </c>
      <c r="M87" s="27">
        <v>0</v>
      </c>
      <c r="N87" s="27">
        <v>0</v>
      </c>
      <c r="O87" s="27">
        <v>0</v>
      </c>
      <c r="P87" s="27">
        <v>0</v>
      </c>
      <c r="Q87" s="103">
        <f t="shared" si="9"/>
        <v>0</v>
      </c>
      <c r="R87" s="39">
        <f t="shared" si="10"/>
        <v>0</v>
      </c>
      <c r="S87" s="35"/>
      <c r="T87" s="40">
        <f t="shared" si="11"/>
        <v>0</v>
      </c>
      <c r="V87" s="3"/>
    </row>
    <row r="88" spans="1:23" ht="26.25" hidden="1" customHeight="1">
      <c r="A88" s="5" t="s">
        <v>604</v>
      </c>
      <c r="B88" s="5" t="s">
        <v>706</v>
      </c>
      <c r="D88" s="26" t="s">
        <v>263</v>
      </c>
      <c r="E88" s="27">
        <v>0</v>
      </c>
      <c r="F88" s="27">
        <v>0</v>
      </c>
      <c r="G88" s="27">
        <v>0</v>
      </c>
      <c r="H88" s="27">
        <v>0</v>
      </c>
      <c r="I88" s="27">
        <v>0</v>
      </c>
      <c r="J88" s="27">
        <v>0</v>
      </c>
      <c r="K88" s="27">
        <v>0</v>
      </c>
      <c r="L88" s="27">
        <v>0</v>
      </c>
      <c r="M88" s="27">
        <v>0</v>
      </c>
      <c r="N88" s="27">
        <v>0</v>
      </c>
      <c r="O88" s="27">
        <v>0</v>
      </c>
      <c r="P88" s="27">
        <v>0</v>
      </c>
      <c r="Q88" s="103">
        <f t="shared" si="9"/>
        <v>0</v>
      </c>
      <c r="R88" s="39">
        <f t="shared" si="10"/>
        <v>0</v>
      </c>
      <c r="S88" s="35"/>
      <c r="T88" s="40">
        <f t="shared" si="11"/>
        <v>0</v>
      </c>
      <c r="V88" s="3"/>
    </row>
    <row r="89" spans="1:23" ht="26.25" hidden="1" customHeight="1">
      <c r="A89" s="5" t="s">
        <v>606</v>
      </c>
      <c r="B89" s="5" t="s">
        <v>706</v>
      </c>
      <c r="D89" s="26" t="s">
        <v>265</v>
      </c>
      <c r="E89" s="27">
        <v>0</v>
      </c>
      <c r="F89" s="27">
        <v>0</v>
      </c>
      <c r="G89" s="27">
        <v>0</v>
      </c>
      <c r="H89" s="27">
        <v>0</v>
      </c>
      <c r="I89" s="27">
        <v>0</v>
      </c>
      <c r="J89" s="27">
        <v>0</v>
      </c>
      <c r="K89" s="27">
        <v>0</v>
      </c>
      <c r="L89" s="27">
        <v>0</v>
      </c>
      <c r="M89" s="27">
        <v>0</v>
      </c>
      <c r="N89" s="27">
        <v>0</v>
      </c>
      <c r="O89" s="27">
        <v>0</v>
      </c>
      <c r="P89" s="27">
        <v>0</v>
      </c>
      <c r="Q89" s="103">
        <f t="shared" si="9"/>
        <v>0</v>
      </c>
      <c r="R89" s="39">
        <f t="shared" si="10"/>
        <v>0</v>
      </c>
      <c r="S89" s="35"/>
      <c r="T89" s="40">
        <f t="shared" si="11"/>
        <v>0</v>
      </c>
      <c r="V89" s="3"/>
    </row>
    <row r="90" spans="1:23" ht="26.25" hidden="1" customHeight="1">
      <c r="A90" s="5" t="s">
        <v>608</v>
      </c>
      <c r="B90" s="5" t="s">
        <v>706</v>
      </c>
      <c r="D90" s="26" t="s">
        <v>267</v>
      </c>
      <c r="E90" s="27">
        <v>0</v>
      </c>
      <c r="F90" s="27">
        <v>0</v>
      </c>
      <c r="G90" s="27">
        <v>0</v>
      </c>
      <c r="H90" s="27">
        <v>0</v>
      </c>
      <c r="I90" s="27">
        <v>0</v>
      </c>
      <c r="J90" s="27">
        <v>0</v>
      </c>
      <c r="K90" s="27">
        <v>0</v>
      </c>
      <c r="L90" s="27">
        <v>0</v>
      </c>
      <c r="M90" s="27">
        <v>0</v>
      </c>
      <c r="N90" s="27">
        <v>0</v>
      </c>
      <c r="O90" s="27">
        <v>0</v>
      </c>
      <c r="P90" s="27">
        <v>0</v>
      </c>
      <c r="Q90" s="103">
        <f t="shared" si="9"/>
        <v>0</v>
      </c>
      <c r="R90" s="39">
        <f t="shared" si="10"/>
        <v>0</v>
      </c>
      <c r="S90" s="35"/>
      <c r="T90" s="40">
        <f t="shared" si="11"/>
        <v>0</v>
      </c>
      <c r="V90" s="3"/>
    </row>
    <row r="91" spans="1:23" ht="26.25" hidden="1" customHeight="1">
      <c r="A91" s="5" t="s">
        <v>268</v>
      </c>
      <c r="B91" s="5" t="s">
        <v>706</v>
      </c>
      <c r="D91" s="26" t="s">
        <v>269</v>
      </c>
      <c r="E91" s="27">
        <v>0</v>
      </c>
      <c r="F91" s="27">
        <v>0</v>
      </c>
      <c r="G91" s="27">
        <v>0</v>
      </c>
      <c r="H91" s="27">
        <v>0</v>
      </c>
      <c r="I91" s="27">
        <v>0</v>
      </c>
      <c r="J91" s="27">
        <v>0</v>
      </c>
      <c r="K91" s="27">
        <v>0</v>
      </c>
      <c r="L91" s="27">
        <v>0</v>
      </c>
      <c r="M91" s="27">
        <v>0</v>
      </c>
      <c r="N91" s="27">
        <v>0</v>
      </c>
      <c r="O91" s="27">
        <v>0</v>
      </c>
      <c r="P91" s="27">
        <v>0</v>
      </c>
      <c r="Q91" s="103">
        <f t="shared" si="9"/>
        <v>0</v>
      </c>
      <c r="R91" s="39">
        <f t="shared" si="10"/>
        <v>0</v>
      </c>
      <c r="S91" s="35"/>
      <c r="T91" s="40">
        <f t="shared" si="11"/>
        <v>0</v>
      </c>
      <c r="V91" s="3"/>
    </row>
    <row r="92" spans="1:23" ht="26.25" hidden="1" customHeight="1">
      <c r="A92" s="5" t="s">
        <v>270</v>
      </c>
      <c r="B92" s="5" t="s">
        <v>706</v>
      </c>
      <c r="D92" s="26" t="s">
        <v>271</v>
      </c>
      <c r="E92" s="27">
        <v>0</v>
      </c>
      <c r="F92" s="27">
        <v>0</v>
      </c>
      <c r="G92" s="27">
        <v>0</v>
      </c>
      <c r="H92" s="27">
        <v>0</v>
      </c>
      <c r="I92" s="27">
        <v>0</v>
      </c>
      <c r="J92" s="27">
        <v>0</v>
      </c>
      <c r="K92" s="27">
        <v>0</v>
      </c>
      <c r="L92" s="27">
        <v>0</v>
      </c>
      <c r="M92" s="27">
        <v>0</v>
      </c>
      <c r="N92" s="27">
        <v>0</v>
      </c>
      <c r="O92" s="27">
        <v>0</v>
      </c>
      <c r="P92" s="27">
        <v>0</v>
      </c>
      <c r="Q92" s="103">
        <f t="shared" si="9"/>
        <v>0</v>
      </c>
      <c r="R92" s="39">
        <f t="shared" si="10"/>
        <v>0</v>
      </c>
      <c r="S92" s="35"/>
      <c r="T92" s="40">
        <f t="shared" si="11"/>
        <v>0</v>
      </c>
      <c r="V92" s="3"/>
    </row>
    <row r="93" spans="1:23" ht="26.25" customHeight="1">
      <c r="A93" s="5" t="s">
        <v>611</v>
      </c>
      <c r="B93" s="5" t="s">
        <v>706</v>
      </c>
      <c r="D93" s="26" t="s">
        <v>273</v>
      </c>
      <c r="E93" s="27">
        <v>0</v>
      </c>
      <c r="F93" s="27">
        <v>0</v>
      </c>
      <c r="G93" s="27">
        <v>0</v>
      </c>
      <c r="H93" s="27">
        <v>0</v>
      </c>
      <c r="I93" s="27">
        <v>0</v>
      </c>
      <c r="J93" s="27">
        <v>0</v>
      </c>
      <c r="K93" s="27">
        <v>0</v>
      </c>
      <c r="L93" s="27">
        <v>0</v>
      </c>
      <c r="M93" s="27">
        <v>0</v>
      </c>
      <c r="N93" s="27">
        <v>0</v>
      </c>
      <c r="O93" s="27">
        <v>0</v>
      </c>
      <c r="P93" s="27">
        <v>0</v>
      </c>
      <c r="Q93" s="103">
        <f t="shared" si="9"/>
        <v>0</v>
      </c>
      <c r="R93" s="39">
        <f t="shared" si="10"/>
        <v>0</v>
      </c>
      <c r="S93" s="35"/>
      <c r="T93" s="40">
        <f t="shared" si="11"/>
        <v>0</v>
      </c>
      <c r="U93" s="3"/>
      <c r="V93" s="3"/>
      <c r="W93" s="281"/>
    </row>
    <row r="94" spans="1:23" ht="26.25" customHeight="1">
      <c r="D94" s="21" t="s">
        <v>774</v>
      </c>
      <c r="E94" s="98">
        <f>SUM(E26:E93)</f>
        <v>1250</v>
      </c>
      <c r="F94" s="98">
        <f t="shared" ref="F94:P94" si="12">SUM(F26:F93)</f>
        <v>1250</v>
      </c>
      <c r="G94" s="98">
        <f t="shared" si="12"/>
        <v>1250</v>
      </c>
      <c r="H94" s="98">
        <f t="shared" si="12"/>
        <v>1250</v>
      </c>
      <c r="I94" s="98">
        <f t="shared" si="12"/>
        <v>1250</v>
      </c>
      <c r="J94" s="98">
        <f t="shared" si="12"/>
        <v>1250</v>
      </c>
      <c r="K94" s="98">
        <f t="shared" si="12"/>
        <v>2450</v>
      </c>
      <c r="L94" s="98">
        <f t="shared" si="12"/>
        <v>1250</v>
      </c>
      <c r="M94" s="98">
        <f t="shared" si="12"/>
        <v>1250</v>
      </c>
      <c r="N94" s="98">
        <f t="shared" si="12"/>
        <v>1250</v>
      </c>
      <c r="O94" s="98">
        <f t="shared" si="12"/>
        <v>1250</v>
      </c>
      <c r="P94" s="98">
        <f t="shared" si="12"/>
        <v>1250</v>
      </c>
      <c r="Q94" s="98">
        <f>SUM(Q26:Q93)</f>
        <v>16200</v>
      </c>
      <c r="R94" s="39">
        <f t="shared" si="10"/>
        <v>0</v>
      </c>
      <c r="S94" s="35"/>
      <c r="T94" s="40" t="e">
        <f t="shared" si="11"/>
        <v>#DIV/0!</v>
      </c>
    </row>
    <row r="95" spans="1:23" ht="26.25" customHeight="1">
      <c r="D95" s="21" t="s">
        <v>775</v>
      </c>
      <c r="E95" s="98">
        <f>E15-E21-E23-E94</f>
        <v>-1250</v>
      </c>
      <c r="F95" s="98">
        <f t="shared" ref="F95:Q95" si="13">F15-F21-F23-F94</f>
        <v>-1250</v>
      </c>
      <c r="G95" s="98">
        <f t="shared" si="13"/>
        <v>-1250</v>
      </c>
      <c r="H95" s="98">
        <f t="shared" si="13"/>
        <v>-1250</v>
      </c>
      <c r="I95" s="98">
        <f t="shared" si="13"/>
        <v>-1250</v>
      </c>
      <c r="J95" s="98">
        <f t="shared" si="13"/>
        <v>-1250</v>
      </c>
      <c r="K95" s="98">
        <f t="shared" si="13"/>
        <v>-2450</v>
      </c>
      <c r="L95" s="98">
        <f t="shared" si="13"/>
        <v>-1250</v>
      </c>
      <c r="M95" s="98">
        <f t="shared" si="13"/>
        <v>-1250</v>
      </c>
      <c r="N95" s="98">
        <f t="shared" si="13"/>
        <v>-1250</v>
      </c>
      <c r="O95" s="98">
        <f t="shared" si="13"/>
        <v>-1250</v>
      </c>
      <c r="P95" s="98">
        <f t="shared" si="13"/>
        <v>-1250</v>
      </c>
      <c r="Q95" s="98">
        <f t="shared" si="13"/>
        <v>-16200</v>
      </c>
      <c r="R95" s="39">
        <f t="shared" si="10"/>
        <v>0</v>
      </c>
      <c r="S95" s="35"/>
      <c r="T95" s="40" t="e">
        <f t="shared" ref="T95:T100" si="14">IF(Q95-S95=0,0,(Q95-S95)/S95)</f>
        <v>#DIV/0!</v>
      </c>
      <c r="W95" s="121"/>
    </row>
    <row r="96" spans="1:23" ht="26.25" customHeight="1">
      <c r="A96" s="5" t="s">
        <v>776</v>
      </c>
      <c r="B96" s="5" t="s">
        <v>706</v>
      </c>
      <c r="D96" s="21" t="s">
        <v>351</v>
      </c>
      <c r="E96" s="97"/>
      <c r="F96" s="97"/>
      <c r="G96" s="97"/>
      <c r="H96" s="97"/>
      <c r="I96" s="97"/>
      <c r="J96" s="97"/>
      <c r="K96" s="97"/>
      <c r="L96" s="97"/>
      <c r="M96" s="97"/>
      <c r="N96" s="97"/>
      <c r="O96" s="97"/>
      <c r="P96" s="97"/>
      <c r="Q96" s="97"/>
      <c r="S96" s="35"/>
      <c r="T96" s="40"/>
    </row>
    <row r="97" spans="1:20" ht="26.25" customHeight="1">
      <c r="E97" s="105">
        <f>IF(E15=0,0,E95/E15)</f>
        <v>0</v>
      </c>
      <c r="F97" s="105">
        <f t="shared" ref="F97:Q97" si="15">IF(F15=0,0,F95/F15)</f>
        <v>0</v>
      </c>
      <c r="G97" s="105">
        <f t="shared" si="15"/>
        <v>0</v>
      </c>
      <c r="H97" s="105">
        <f t="shared" si="15"/>
        <v>0</v>
      </c>
      <c r="I97" s="105">
        <f t="shared" si="15"/>
        <v>0</v>
      </c>
      <c r="J97" s="105">
        <f t="shared" si="15"/>
        <v>0</v>
      </c>
      <c r="K97" s="105">
        <f t="shared" si="15"/>
        <v>0</v>
      </c>
      <c r="L97" s="105">
        <f t="shared" si="15"/>
        <v>0</v>
      </c>
      <c r="M97" s="105">
        <f t="shared" si="15"/>
        <v>0</v>
      </c>
      <c r="N97" s="105">
        <f t="shared" si="15"/>
        <v>0</v>
      </c>
      <c r="O97" s="105">
        <f t="shared" si="15"/>
        <v>0</v>
      </c>
      <c r="P97" s="105">
        <f t="shared" si="15"/>
        <v>0</v>
      </c>
      <c r="Q97" s="105">
        <f t="shared" si="15"/>
        <v>0</v>
      </c>
      <c r="S97" s="115"/>
      <c r="T97" s="40">
        <f t="shared" si="14"/>
        <v>0</v>
      </c>
    </row>
    <row r="98" spans="1:20" ht="26.25" customHeight="1">
      <c r="D98" s="21" t="s">
        <v>777</v>
      </c>
      <c r="E98" s="72"/>
      <c r="F98" s="106"/>
      <c r="G98" s="72"/>
      <c r="H98" s="107"/>
      <c r="I98" s="72"/>
      <c r="J98" s="106"/>
      <c r="K98" s="72"/>
      <c r="L98" s="109"/>
      <c r="M98" s="72"/>
      <c r="N98" s="106"/>
      <c r="O98" s="110"/>
      <c r="P98" s="110"/>
      <c r="Q98" s="110"/>
      <c r="S98" s="35"/>
      <c r="T98" s="40"/>
    </row>
    <row r="99" spans="1:20" ht="26.25" customHeight="1">
      <c r="D99" s="21" t="s">
        <v>778</v>
      </c>
      <c r="E99" s="72"/>
      <c r="F99" s="106"/>
      <c r="G99" s="72"/>
      <c r="H99" s="107"/>
      <c r="I99" s="72"/>
      <c r="J99" s="106"/>
      <c r="K99" s="72"/>
      <c r="L99" s="109"/>
      <c r="M99" s="72"/>
      <c r="N99" s="106"/>
      <c r="O99" s="110"/>
      <c r="P99" s="110"/>
      <c r="Q99" s="110"/>
      <c r="S99" s="35"/>
      <c r="T99" s="40"/>
    </row>
    <row r="100" spans="1:20" ht="26.25" hidden="1" customHeight="1">
      <c r="A100" s="5" t="s">
        <v>295</v>
      </c>
      <c r="B100" s="5" t="s">
        <v>706</v>
      </c>
      <c r="D100" s="26" t="s">
        <v>779</v>
      </c>
      <c r="E100" s="27">
        <v>0</v>
      </c>
      <c r="F100" s="27">
        <v>0</v>
      </c>
      <c r="G100" s="27">
        <v>0</v>
      </c>
      <c r="H100" s="27">
        <v>0</v>
      </c>
      <c r="I100" s="27">
        <v>0</v>
      </c>
      <c r="J100" s="27">
        <v>0</v>
      </c>
      <c r="K100" s="27">
        <v>0</v>
      </c>
      <c r="L100" s="27">
        <v>0</v>
      </c>
      <c r="M100" s="27">
        <v>0</v>
      </c>
      <c r="N100" s="27">
        <v>0</v>
      </c>
      <c r="O100" s="27">
        <v>0</v>
      </c>
      <c r="P100" s="27">
        <v>0</v>
      </c>
      <c r="Q100" s="103">
        <f>SUM(E100:P100)</f>
        <v>0</v>
      </c>
      <c r="S100" s="35"/>
      <c r="T100" s="40">
        <f t="shared" si="14"/>
        <v>0</v>
      </c>
    </row>
    <row r="101" spans="1:20" ht="26.25" customHeight="1">
      <c r="A101" s="5" t="s">
        <v>298</v>
      </c>
      <c r="B101" s="5" t="s">
        <v>706</v>
      </c>
      <c r="D101" s="26" t="s">
        <v>780</v>
      </c>
      <c r="E101" s="27">
        <v>0</v>
      </c>
      <c r="F101" s="27">
        <v>0</v>
      </c>
      <c r="G101" s="27">
        <v>0</v>
      </c>
      <c r="H101" s="27">
        <v>0</v>
      </c>
      <c r="I101" s="27">
        <v>0</v>
      </c>
      <c r="J101" s="27">
        <v>0</v>
      </c>
      <c r="K101" s="27">
        <v>0</v>
      </c>
      <c r="L101" s="27">
        <v>0</v>
      </c>
      <c r="M101" s="27">
        <v>0</v>
      </c>
      <c r="N101" s="27">
        <v>0</v>
      </c>
      <c r="O101" s="27">
        <v>0</v>
      </c>
      <c r="P101" s="27">
        <v>0</v>
      </c>
      <c r="Q101" s="103">
        <f>SUM(E101:P101)</f>
        <v>0</v>
      </c>
      <c r="S101" s="35"/>
      <c r="T101" s="40">
        <f>-IF(Q101-S101=0,0,(Q101-S101)/S101)</f>
        <v>0</v>
      </c>
    </row>
    <row r="102" spans="1:20" ht="26.25" customHeight="1">
      <c r="D102" s="21" t="s">
        <v>781</v>
      </c>
      <c r="E102" s="124">
        <f>SUM(E100:E101)</f>
        <v>0</v>
      </c>
      <c r="F102" s="124">
        <f t="shared" ref="F102:P102" si="16">SUM(F100:F101)</f>
        <v>0</v>
      </c>
      <c r="G102" s="124">
        <f t="shared" si="16"/>
        <v>0</v>
      </c>
      <c r="H102" s="124">
        <f t="shared" si="16"/>
        <v>0</v>
      </c>
      <c r="I102" s="124">
        <f t="shared" si="16"/>
        <v>0</v>
      </c>
      <c r="J102" s="124">
        <f t="shared" si="16"/>
        <v>0</v>
      </c>
      <c r="K102" s="124">
        <f t="shared" si="16"/>
        <v>0</v>
      </c>
      <c r="L102" s="124">
        <f t="shared" si="16"/>
        <v>0</v>
      </c>
      <c r="M102" s="124">
        <f t="shared" si="16"/>
        <v>0</v>
      </c>
      <c r="N102" s="124">
        <f t="shared" si="16"/>
        <v>0</v>
      </c>
      <c r="O102" s="124">
        <f t="shared" si="16"/>
        <v>0</v>
      </c>
      <c r="P102" s="124">
        <f t="shared" si="16"/>
        <v>0</v>
      </c>
      <c r="Q102" s="124">
        <f t="shared" ref="Q102" si="17">SUM(Q100:Q101)</f>
        <v>0</v>
      </c>
      <c r="S102" s="35"/>
      <c r="T102" s="40">
        <f t="shared" ref="T102:T131" si="18">-IF(Q102-S102=0,0,(Q102-S102)/S102)</f>
        <v>0</v>
      </c>
    </row>
    <row r="103" spans="1:20" ht="26.25" customHeight="1">
      <c r="E103" s="72"/>
      <c r="F103" s="106"/>
      <c r="G103" s="72"/>
      <c r="H103" s="107"/>
      <c r="I103" s="72"/>
      <c r="J103" s="106"/>
      <c r="K103" s="72"/>
      <c r="L103" s="109"/>
      <c r="M103" s="72"/>
      <c r="N103" s="106"/>
      <c r="O103" s="110"/>
      <c r="P103" s="110"/>
      <c r="Q103" s="110"/>
      <c r="S103" s="35"/>
      <c r="T103" s="40"/>
    </row>
    <row r="104" spans="1:20" ht="26.25" hidden="1" customHeight="1">
      <c r="A104" s="5" t="s">
        <v>619</v>
      </c>
      <c r="B104" s="5" t="s">
        <v>706</v>
      </c>
      <c r="D104" s="26" t="s">
        <v>782</v>
      </c>
      <c r="E104" s="27">
        <v>0</v>
      </c>
      <c r="F104" s="27">
        <v>0</v>
      </c>
      <c r="G104" s="27">
        <v>0</v>
      </c>
      <c r="H104" s="27">
        <v>0</v>
      </c>
      <c r="I104" s="27">
        <v>0</v>
      </c>
      <c r="J104" s="27">
        <v>0</v>
      </c>
      <c r="K104" s="27">
        <v>0</v>
      </c>
      <c r="L104" s="27">
        <v>0</v>
      </c>
      <c r="M104" s="27">
        <v>0</v>
      </c>
      <c r="N104" s="27">
        <v>0</v>
      </c>
      <c r="O104" s="27">
        <v>0</v>
      </c>
      <c r="P104" s="27">
        <v>0</v>
      </c>
      <c r="Q104" s="103">
        <f>SUM(E104:P104)</f>
        <v>0</v>
      </c>
      <c r="S104" s="35"/>
      <c r="T104" s="40">
        <f t="shared" si="18"/>
        <v>0</v>
      </c>
    </row>
    <row r="105" spans="1:20" ht="26.25" hidden="1" customHeight="1">
      <c r="A105" s="5" t="s">
        <v>308</v>
      </c>
      <c r="B105" s="5" t="s">
        <v>706</v>
      </c>
      <c r="D105" s="26" t="s">
        <v>783</v>
      </c>
      <c r="E105" s="27">
        <v>0</v>
      </c>
      <c r="F105" s="27">
        <v>0</v>
      </c>
      <c r="G105" s="27">
        <v>0</v>
      </c>
      <c r="H105" s="27">
        <v>0</v>
      </c>
      <c r="I105" s="27">
        <v>0</v>
      </c>
      <c r="J105" s="27">
        <v>0</v>
      </c>
      <c r="K105" s="27">
        <v>0</v>
      </c>
      <c r="L105" s="27">
        <v>0</v>
      </c>
      <c r="M105" s="27">
        <v>0</v>
      </c>
      <c r="N105" s="27">
        <v>0</v>
      </c>
      <c r="O105" s="27">
        <v>0</v>
      </c>
      <c r="P105" s="27">
        <v>0</v>
      </c>
      <c r="Q105" s="103">
        <f>SUM(E105:P105)</f>
        <v>0</v>
      </c>
      <c r="S105" s="35"/>
      <c r="T105" s="40">
        <f t="shared" si="18"/>
        <v>0</v>
      </c>
    </row>
    <row r="106" spans="1:20" ht="26.25" hidden="1" customHeight="1">
      <c r="A106" s="5" t="s">
        <v>620</v>
      </c>
      <c r="B106" s="5" t="s">
        <v>706</v>
      </c>
      <c r="D106" s="26" t="s">
        <v>784</v>
      </c>
      <c r="E106" s="27">
        <v>0</v>
      </c>
      <c r="F106" s="27">
        <v>0</v>
      </c>
      <c r="G106" s="27">
        <v>0</v>
      </c>
      <c r="H106" s="27">
        <v>0</v>
      </c>
      <c r="I106" s="27">
        <v>0</v>
      </c>
      <c r="J106" s="27">
        <v>0</v>
      </c>
      <c r="K106" s="27">
        <v>0</v>
      </c>
      <c r="L106" s="27">
        <v>0</v>
      </c>
      <c r="M106" s="27">
        <v>0</v>
      </c>
      <c r="N106" s="27">
        <v>0</v>
      </c>
      <c r="O106" s="27">
        <v>0</v>
      </c>
      <c r="P106" s="27">
        <v>0</v>
      </c>
      <c r="Q106" s="103">
        <f>SUM(E106:P106)</f>
        <v>0</v>
      </c>
      <c r="S106" s="35"/>
      <c r="T106" s="40">
        <f t="shared" si="18"/>
        <v>0</v>
      </c>
    </row>
    <row r="107" spans="1:20" ht="26.25" hidden="1" customHeight="1">
      <c r="A107" s="5" t="s">
        <v>621</v>
      </c>
      <c r="B107" s="5" t="s">
        <v>706</v>
      </c>
      <c r="D107" s="26" t="s">
        <v>785</v>
      </c>
      <c r="E107" s="27">
        <v>0</v>
      </c>
      <c r="F107" s="27">
        <v>0</v>
      </c>
      <c r="G107" s="27">
        <v>0</v>
      </c>
      <c r="H107" s="27">
        <v>0</v>
      </c>
      <c r="I107" s="27">
        <v>0</v>
      </c>
      <c r="J107" s="27">
        <v>0</v>
      </c>
      <c r="K107" s="27">
        <v>0</v>
      </c>
      <c r="L107" s="27">
        <v>0</v>
      </c>
      <c r="M107" s="27">
        <v>0</v>
      </c>
      <c r="N107" s="27">
        <v>0</v>
      </c>
      <c r="O107" s="27">
        <v>0</v>
      </c>
      <c r="P107" s="27">
        <v>0</v>
      </c>
      <c r="Q107" s="103">
        <f>SUM(E107:P107)</f>
        <v>0</v>
      </c>
      <c r="S107" s="35"/>
      <c r="T107" s="40">
        <f t="shared" si="18"/>
        <v>0</v>
      </c>
    </row>
    <row r="108" spans="1:20" ht="26.25" customHeight="1">
      <c r="A108" s="5" t="s">
        <v>622</v>
      </c>
      <c r="B108" s="5" t="s">
        <v>706</v>
      </c>
      <c r="D108" s="26" t="s">
        <v>786</v>
      </c>
      <c r="E108" s="97">
        <f>Summary!E$1003</f>
        <v>0</v>
      </c>
      <c r="F108" s="97">
        <f>Summary!F$1003</f>
        <v>0</v>
      </c>
      <c r="G108" s="97">
        <f>Summary!G$1003</f>
        <v>0</v>
      </c>
      <c r="H108" s="97">
        <f>Summary!H$1003</f>
        <v>0</v>
      </c>
      <c r="I108" s="97">
        <f>Summary!I$1003</f>
        <v>0</v>
      </c>
      <c r="J108" s="97">
        <f>Summary!J$1003</f>
        <v>0</v>
      </c>
      <c r="K108" s="97">
        <f>Summary!K$1003</f>
        <v>0</v>
      </c>
      <c r="L108" s="97">
        <f>Summary!L$1003</f>
        <v>0</v>
      </c>
      <c r="M108" s="97">
        <f>Summary!M$1003</f>
        <v>0</v>
      </c>
      <c r="N108" s="97">
        <f>Summary!N$1003</f>
        <v>0</v>
      </c>
      <c r="O108" s="97">
        <f>Summary!O$1003</f>
        <v>0</v>
      </c>
      <c r="P108" s="97">
        <f>Summary!P$1003</f>
        <v>0</v>
      </c>
      <c r="Q108" s="103">
        <f>SUM(E108:P108)</f>
        <v>0</v>
      </c>
      <c r="R108" s="39">
        <f t="shared" ref="R108:R109" si="19">IF($Q$15=0,0,Q108/$Q$15)</f>
        <v>0</v>
      </c>
      <c r="S108" s="35"/>
      <c r="T108" s="40">
        <f t="shared" si="18"/>
        <v>0</v>
      </c>
    </row>
    <row r="109" spans="1:20" ht="26.25" customHeight="1">
      <c r="D109" s="21" t="s">
        <v>787</v>
      </c>
      <c r="E109" s="98">
        <f>SUM(E104:E108)</f>
        <v>0</v>
      </c>
      <c r="F109" s="98">
        <f t="shared" ref="F109:P109" si="20">SUM(F104:F108)</f>
        <v>0</v>
      </c>
      <c r="G109" s="98">
        <f t="shared" si="20"/>
        <v>0</v>
      </c>
      <c r="H109" s="98">
        <f t="shared" si="20"/>
        <v>0</v>
      </c>
      <c r="I109" s="98">
        <f t="shared" si="20"/>
        <v>0</v>
      </c>
      <c r="J109" s="98">
        <f t="shared" si="20"/>
        <v>0</v>
      </c>
      <c r="K109" s="98">
        <f t="shared" si="20"/>
        <v>0</v>
      </c>
      <c r="L109" s="98">
        <f t="shared" si="20"/>
        <v>0</v>
      </c>
      <c r="M109" s="98">
        <f t="shared" si="20"/>
        <v>0</v>
      </c>
      <c r="N109" s="98">
        <f t="shared" si="20"/>
        <v>0</v>
      </c>
      <c r="O109" s="98">
        <f t="shared" si="20"/>
        <v>0</v>
      </c>
      <c r="P109" s="98">
        <f t="shared" si="20"/>
        <v>0</v>
      </c>
      <c r="Q109" s="98">
        <f t="shared" ref="Q109" si="21">SUM(Q104:Q108)</f>
        <v>0</v>
      </c>
      <c r="R109" s="39">
        <f t="shared" si="19"/>
        <v>0</v>
      </c>
      <c r="S109" s="35"/>
      <c r="T109" s="40">
        <f t="shared" si="18"/>
        <v>0</v>
      </c>
    </row>
    <row r="110" spans="1:20" ht="26.25" customHeight="1">
      <c r="E110" s="72"/>
      <c r="F110" s="106"/>
      <c r="G110" s="72"/>
      <c r="H110" s="72"/>
      <c r="I110" s="72"/>
      <c r="J110" s="106"/>
      <c r="K110" s="72"/>
      <c r="L110" s="109"/>
      <c r="M110" s="72"/>
      <c r="N110" s="106"/>
      <c r="O110" s="110"/>
      <c r="P110" s="110"/>
      <c r="Q110" s="110"/>
      <c r="S110" s="35"/>
      <c r="T110" s="40"/>
    </row>
    <row r="111" spans="1:20" ht="26.25" hidden="1" customHeight="1">
      <c r="A111" s="5" t="s">
        <v>625</v>
      </c>
      <c r="B111" s="5" t="s">
        <v>706</v>
      </c>
      <c r="D111" s="26" t="s">
        <v>788</v>
      </c>
      <c r="E111" s="27">
        <v>0</v>
      </c>
      <c r="F111" s="27">
        <v>0</v>
      </c>
      <c r="G111" s="27">
        <v>0</v>
      </c>
      <c r="H111" s="27">
        <v>0</v>
      </c>
      <c r="I111" s="27">
        <v>0</v>
      </c>
      <c r="J111" s="27">
        <v>0</v>
      </c>
      <c r="K111" s="27">
        <v>0</v>
      </c>
      <c r="L111" s="27">
        <v>0</v>
      </c>
      <c r="M111" s="27">
        <v>0</v>
      </c>
      <c r="N111" s="27">
        <v>0</v>
      </c>
      <c r="O111" s="27">
        <v>0</v>
      </c>
      <c r="P111" s="27">
        <v>0</v>
      </c>
      <c r="Q111" s="103">
        <f>SUM(E111:P111)</f>
        <v>0</v>
      </c>
      <c r="S111" s="35"/>
      <c r="T111" s="40">
        <f t="shared" si="18"/>
        <v>0</v>
      </c>
    </row>
    <row r="112" spans="1:20" ht="26.25" hidden="1" customHeight="1">
      <c r="A112" s="5" t="s">
        <v>626</v>
      </c>
      <c r="B112" s="5" t="s">
        <v>706</v>
      </c>
      <c r="D112" s="26" t="s">
        <v>789</v>
      </c>
      <c r="E112" s="27">
        <v>0</v>
      </c>
      <c r="F112" s="27">
        <v>0</v>
      </c>
      <c r="G112" s="27">
        <v>0</v>
      </c>
      <c r="H112" s="27">
        <v>0</v>
      </c>
      <c r="I112" s="27">
        <v>0</v>
      </c>
      <c r="J112" s="27">
        <v>0</v>
      </c>
      <c r="K112" s="27">
        <v>0</v>
      </c>
      <c r="L112" s="27">
        <v>0</v>
      </c>
      <c r="M112" s="27">
        <v>0</v>
      </c>
      <c r="N112" s="27">
        <v>0</v>
      </c>
      <c r="O112" s="27">
        <v>0</v>
      </c>
      <c r="P112" s="27">
        <v>0</v>
      </c>
      <c r="Q112" s="103">
        <f t="shared" ref="Q112:Q118" si="22">SUM(E112:P112)</f>
        <v>0</v>
      </c>
      <c r="S112" s="35"/>
      <c r="T112" s="40">
        <f t="shared" si="18"/>
        <v>0</v>
      </c>
    </row>
    <row r="113" spans="1:20" ht="26.25" hidden="1" customHeight="1">
      <c r="A113" s="5" t="s">
        <v>627</v>
      </c>
      <c r="B113" s="5" t="s">
        <v>706</v>
      </c>
      <c r="D113" s="26" t="s">
        <v>790</v>
      </c>
      <c r="E113" s="27">
        <v>0</v>
      </c>
      <c r="F113" s="27">
        <v>0</v>
      </c>
      <c r="G113" s="27">
        <v>0</v>
      </c>
      <c r="H113" s="27">
        <v>0</v>
      </c>
      <c r="I113" s="27">
        <v>0</v>
      </c>
      <c r="J113" s="27">
        <v>0</v>
      </c>
      <c r="K113" s="27">
        <v>0</v>
      </c>
      <c r="L113" s="27">
        <v>0</v>
      </c>
      <c r="M113" s="27">
        <v>0</v>
      </c>
      <c r="N113" s="27">
        <v>0</v>
      </c>
      <c r="O113" s="27">
        <v>0</v>
      </c>
      <c r="P113" s="27">
        <v>0</v>
      </c>
      <c r="Q113" s="103">
        <f t="shared" si="22"/>
        <v>0</v>
      </c>
      <c r="S113" s="35"/>
      <c r="T113" s="40">
        <f t="shared" si="18"/>
        <v>0</v>
      </c>
    </row>
    <row r="114" spans="1:20" ht="26.25" hidden="1" customHeight="1">
      <c r="A114" s="5" t="s">
        <v>628</v>
      </c>
      <c r="B114" s="5" t="s">
        <v>706</v>
      </c>
      <c r="D114" s="26" t="s">
        <v>791</v>
      </c>
      <c r="E114" s="27">
        <v>0</v>
      </c>
      <c r="F114" s="27">
        <v>0</v>
      </c>
      <c r="G114" s="27">
        <v>0</v>
      </c>
      <c r="H114" s="27">
        <v>0</v>
      </c>
      <c r="I114" s="27">
        <v>0</v>
      </c>
      <c r="J114" s="27">
        <v>0</v>
      </c>
      <c r="K114" s="27">
        <v>0</v>
      </c>
      <c r="L114" s="27">
        <v>0</v>
      </c>
      <c r="M114" s="27">
        <v>0</v>
      </c>
      <c r="N114" s="27">
        <v>0</v>
      </c>
      <c r="O114" s="27">
        <v>0</v>
      </c>
      <c r="P114" s="27">
        <v>0</v>
      </c>
      <c r="Q114" s="103">
        <f t="shared" si="22"/>
        <v>0</v>
      </c>
      <c r="S114" s="35"/>
      <c r="T114" s="40">
        <f t="shared" si="18"/>
        <v>0</v>
      </c>
    </row>
    <row r="115" spans="1:20" ht="26.25" hidden="1" customHeight="1">
      <c r="A115" s="5" t="s">
        <v>629</v>
      </c>
      <c r="B115" s="5" t="s">
        <v>706</v>
      </c>
      <c r="D115" s="26" t="s">
        <v>792</v>
      </c>
      <c r="E115" s="27">
        <v>0</v>
      </c>
      <c r="F115" s="27">
        <v>0</v>
      </c>
      <c r="G115" s="27">
        <v>0</v>
      </c>
      <c r="H115" s="27">
        <v>0</v>
      </c>
      <c r="I115" s="27">
        <v>0</v>
      </c>
      <c r="J115" s="27">
        <v>0</v>
      </c>
      <c r="K115" s="27">
        <v>0</v>
      </c>
      <c r="L115" s="27">
        <v>0</v>
      </c>
      <c r="M115" s="27">
        <v>0</v>
      </c>
      <c r="N115" s="27">
        <v>0</v>
      </c>
      <c r="O115" s="27">
        <v>0</v>
      </c>
      <c r="P115" s="27">
        <v>0</v>
      </c>
      <c r="Q115" s="103">
        <f t="shared" si="22"/>
        <v>0</v>
      </c>
      <c r="S115" s="35"/>
      <c r="T115" s="40">
        <f t="shared" si="18"/>
        <v>0</v>
      </c>
    </row>
    <row r="116" spans="1:20" ht="26.25" hidden="1" customHeight="1">
      <c r="A116" s="5" t="s">
        <v>630</v>
      </c>
      <c r="B116" s="5" t="s">
        <v>706</v>
      </c>
      <c r="D116" s="26" t="s">
        <v>793</v>
      </c>
      <c r="E116" s="27">
        <v>0</v>
      </c>
      <c r="F116" s="27">
        <v>0</v>
      </c>
      <c r="G116" s="27">
        <v>0</v>
      </c>
      <c r="H116" s="27">
        <v>0</v>
      </c>
      <c r="I116" s="27">
        <v>0</v>
      </c>
      <c r="J116" s="27">
        <v>0</v>
      </c>
      <c r="K116" s="27">
        <v>0</v>
      </c>
      <c r="L116" s="27">
        <v>0</v>
      </c>
      <c r="M116" s="27">
        <v>0</v>
      </c>
      <c r="N116" s="27">
        <v>0</v>
      </c>
      <c r="O116" s="27">
        <v>0</v>
      </c>
      <c r="P116" s="27">
        <v>0</v>
      </c>
      <c r="Q116" s="103">
        <f t="shared" si="22"/>
        <v>0</v>
      </c>
      <c r="S116" s="35"/>
      <c r="T116" s="40">
        <f t="shared" si="18"/>
        <v>0</v>
      </c>
    </row>
    <row r="117" spans="1:20" ht="26.25" hidden="1" customHeight="1">
      <c r="A117" s="5" t="s">
        <v>631</v>
      </c>
      <c r="B117" s="5" t="s">
        <v>706</v>
      </c>
      <c r="D117" s="26" t="s">
        <v>794</v>
      </c>
      <c r="E117" s="27">
        <v>0</v>
      </c>
      <c r="F117" s="27">
        <v>0</v>
      </c>
      <c r="G117" s="27">
        <v>0</v>
      </c>
      <c r="H117" s="27">
        <v>0</v>
      </c>
      <c r="I117" s="27">
        <v>0</v>
      </c>
      <c r="J117" s="27">
        <v>0</v>
      </c>
      <c r="K117" s="27">
        <v>0</v>
      </c>
      <c r="L117" s="27">
        <v>0</v>
      </c>
      <c r="M117" s="27">
        <v>0</v>
      </c>
      <c r="N117" s="27">
        <v>0</v>
      </c>
      <c r="O117" s="27">
        <v>0</v>
      </c>
      <c r="P117" s="27">
        <v>0</v>
      </c>
      <c r="Q117" s="103">
        <f t="shared" si="22"/>
        <v>0</v>
      </c>
      <c r="S117" s="35"/>
      <c r="T117" s="40">
        <f t="shared" si="18"/>
        <v>0</v>
      </c>
    </row>
    <row r="118" spans="1:20" ht="26.25" customHeight="1">
      <c r="A118" s="5" t="s">
        <v>632</v>
      </c>
      <c r="B118" s="5" t="s">
        <v>706</v>
      </c>
      <c r="D118" s="26" t="s">
        <v>795</v>
      </c>
      <c r="E118" s="27">
        <v>0</v>
      </c>
      <c r="F118" s="27">
        <v>0</v>
      </c>
      <c r="G118" s="27">
        <v>0</v>
      </c>
      <c r="H118" s="27">
        <v>0</v>
      </c>
      <c r="I118" s="27">
        <v>0</v>
      </c>
      <c r="J118" s="27">
        <v>0</v>
      </c>
      <c r="K118" s="27">
        <v>0</v>
      </c>
      <c r="L118" s="27">
        <v>0</v>
      </c>
      <c r="M118" s="27">
        <v>0</v>
      </c>
      <c r="N118" s="27">
        <v>0</v>
      </c>
      <c r="O118" s="27">
        <v>0</v>
      </c>
      <c r="P118" s="27">
        <v>0</v>
      </c>
      <c r="Q118" s="103">
        <f t="shared" si="22"/>
        <v>0</v>
      </c>
      <c r="S118" s="35"/>
      <c r="T118" s="40">
        <f t="shared" si="18"/>
        <v>0</v>
      </c>
    </row>
    <row r="119" spans="1:20" ht="26.25" customHeight="1">
      <c r="D119" s="21" t="s">
        <v>796</v>
      </c>
      <c r="E119" s="125">
        <f>SUM(E111:E118)</f>
        <v>0</v>
      </c>
      <c r="F119" s="125">
        <f t="shared" ref="F119:Q119" si="23">SUM(F111:F118)</f>
        <v>0</v>
      </c>
      <c r="G119" s="125">
        <f t="shared" si="23"/>
        <v>0</v>
      </c>
      <c r="H119" s="125">
        <f t="shared" si="23"/>
        <v>0</v>
      </c>
      <c r="I119" s="125">
        <f t="shared" si="23"/>
        <v>0</v>
      </c>
      <c r="J119" s="125">
        <f t="shared" si="23"/>
        <v>0</v>
      </c>
      <c r="K119" s="125">
        <f t="shared" si="23"/>
        <v>0</v>
      </c>
      <c r="L119" s="125">
        <f t="shared" si="23"/>
        <v>0</v>
      </c>
      <c r="M119" s="125">
        <f t="shared" si="23"/>
        <v>0</v>
      </c>
      <c r="N119" s="125">
        <f t="shared" si="23"/>
        <v>0</v>
      </c>
      <c r="O119" s="125">
        <f t="shared" si="23"/>
        <v>0</v>
      </c>
      <c r="P119" s="125">
        <f t="shared" si="23"/>
        <v>0</v>
      </c>
      <c r="Q119" s="125">
        <f t="shared" si="23"/>
        <v>0</v>
      </c>
      <c r="S119" s="35"/>
      <c r="T119" s="40">
        <f t="shared" si="18"/>
        <v>0</v>
      </c>
    </row>
    <row r="120" spans="1:20" ht="26.25" customHeight="1">
      <c r="E120" s="72"/>
      <c r="F120" s="106"/>
      <c r="G120" s="72"/>
      <c r="H120" s="72"/>
      <c r="I120" s="72"/>
      <c r="J120" s="106"/>
      <c r="K120" s="72"/>
      <c r="L120" s="109"/>
      <c r="M120" s="72"/>
      <c r="N120" s="106"/>
      <c r="O120" s="110"/>
      <c r="P120" s="110"/>
      <c r="Q120" s="110"/>
      <c r="S120" s="35"/>
      <c r="T120" s="40"/>
    </row>
    <row r="121" spans="1:20" ht="26.25" hidden="1" customHeight="1">
      <c r="A121" s="5" t="s">
        <v>633</v>
      </c>
      <c r="B121" s="5" t="s">
        <v>706</v>
      </c>
      <c r="D121" s="26" t="s">
        <v>797</v>
      </c>
      <c r="E121" s="27">
        <v>0</v>
      </c>
      <c r="F121" s="27">
        <v>0</v>
      </c>
      <c r="G121" s="27">
        <v>0</v>
      </c>
      <c r="H121" s="27">
        <v>0</v>
      </c>
      <c r="I121" s="27">
        <v>0</v>
      </c>
      <c r="J121" s="27">
        <v>0</v>
      </c>
      <c r="K121" s="27">
        <v>0</v>
      </c>
      <c r="L121" s="27">
        <v>0</v>
      </c>
      <c r="M121" s="27">
        <v>0</v>
      </c>
      <c r="N121" s="27">
        <v>0</v>
      </c>
      <c r="O121" s="27">
        <v>0</v>
      </c>
      <c r="P121" s="27">
        <v>0</v>
      </c>
      <c r="Q121" s="103">
        <f t="shared" ref="Q121:Q128" si="24">SUM(E121:P121)</f>
        <v>0</v>
      </c>
      <c r="S121" s="35"/>
      <c r="T121" s="40">
        <f t="shared" si="18"/>
        <v>0</v>
      </c>
    </row>
    <row r="122" spans="1:20" ht="26.25" hidden="1" customHeight="1">
      <c r="A122" s="5" t="s">
        <v>634</v>
      </c>
      <c r="B122" s="5" t="s">
        <v>706</v>
      </c>
      <c r="D122" s="26" t="s">
        <v>798</v>
      </c>
      <c r="E122" s="27">
        <v>0</v>
      </c>
      <c r="F122" s="27">
        <v>0</v>
      </c>
      <c r="G122" s="27">
        <v>0</v>
      </c>
      <c r="H122" s="27">
        <v>0</v>
      </c>
      <c r="I122" s="27">
        <v>0</v>
      </c>
      <c r="J122" s="27">
        <v>0</v>
      </c>
      <c r="K122" s="27">
        <v>0</v>
      </c>
      <c r="L122" s="27">
        <v>0</v>
      </c>
      <c r="M122" s="27">
        <v>0</v>
      </c>
      <c r="N122" s="27">
        <v>0</v>
      </c>
      <c r="O122" s="27">
        <v>0</v>
      </c>
      <c r="P122" s="27">
        <v>0</v>
      </c>
      <c r="Q122" s="103">
        <f t="shared" si="24"/>
        <v>0</v>
      </c>
      <c r="S122" s="35"/>
      <c r="T122" s="40">
        <f t="shared" si="18"/>
        <v>0</v>
      </c>
    </row>
    <row r="123" spans="1:20" ht="26.25" hidden="1" customHeight="1">
      <c r="A123" s="5" t="s">
        <v>635</v>
      </c>
      <c r="B123" s="5" t="s">
        <v>706</v>
      </c>
      <c r="D123" s="26" t="s">
        <v>799</v>
      </c>
      <c r="E123" s="27">
        <v>0</v>
      </c>
      <c r="F123" s="27">
        <v>0</v>
      </c>
      <c r="G123" s="27">
        <v>0</v>
      </c>
      <c r="H123" s="27">
        <v>0</v>
      </c>
      <c r="I123" s="27">
        <v>0</v>
      </c>
      <c r="J123" s="27">
        <v>0</v>
      </c>
      <c r="K123" s="27">
        <v>0</v>
      </c>
      <c r="L123" s="27">
        <v>0</v>
      </c>
      <c r="M123" s="27">
        <v>0</v>
      </c>
      <c r="N123" s="27">
        <v>0</v>
      </c>
      <c r="O123" s="27">
        <v>0</v>
      </c>
      <c r="P123" s="27">
        <v>0</v>
      </c>
      <c r="Q123" s="103">
        <f t="shared" si="24"/>
        <v>0</v>
      </c>
      <c r="S123" s="35"/>
      <c r="T123" s="40">
        <f t="shared" si="18"/>
        <v>0</v>
      </c>
    </row>
    <row r="124" spans="1:20" ht="26.25" hidden="1" customHeight="1">
      <c r="A124" s="5" t="s">
        <v>636</v>
      </c>
      <c r="B124" s="5" t="s">
        <v>706</v>
      </c>
      <c r="D124" s="26" t="s">
        <v>800</v>
      </c>
      <c r="E124" s="27">
        <v>0</v>
      </c>
      <c r="F124" s="27">
        <v>0</v>
      </c>
      <c r="G124" s="27">
        <v>0</v>
      </c>
      <c r="H124" s="27">
        <v>0</v>
      </c>
      <c r="I124" s="27">
        <v>0</v>
      </c>
      <c r="J124" s="27">
        <v>0</v>
      </c>
      <c r="K124" s="27">
        <v>0</v>
      </c>
      <c r="L124" s="27">
        <v>0</v>
      </c>
      <c r="M124" s="27">
        <v>0</v>
      </c>
      <c r="N124" s="27">
        <v>0</v>
      </c>
      <c r="O124" s="27">
        <v>0</v>
      </c>
      <c r="P124" s="27">
        <v>0</v>
      </c>
      <c r="Q124" s="103">
        <f t="shared" si="24"/>
        <v>0</v>
      </c>
      <c r="S124" s="35"/>
      <c r="T124" s="40">
        <f t="shared" si="18"/>
        <v>0</v>
      </c>
    </row>
    <row r="125" spans="1:20" ht="26.25" hidden="1" customHeight="1">
      <c r="A125" s="5" t="s">
        <v>637</v>
      </c>
      <c r="B125" s="5" t="s">
        <v>706</v>
      </c>
      <c r="D125" s="26" t="s">
        <v>801</v>
      </c>
      <c r="E125" s="27">
        <v>0</v>
      </c>
      <c r="F125" s="27">
        <v>0</v>
      </c>
      <c r="G125" s="27">
        <v>0</v>
      </c>
      <c r="H125" s="27">
        <v>0</v>
      </c>
      <c r="I125" s="27">
        <v>0</v>
      </c>
      <c r="J125" s="27">
        <v>0</v>
      </c>
      <c r="K125" s="27">
        <v>0</v>
      </c>
      <c r="L125" s="27">
        <v>0</v>
      </c>
      <c r="M125" s="27">
        <v>0</v>
      </c>
      <c r="N125" s="27">
        <v>0</v>
      </c>
      <c r="O125" s="27">
        <v>0</v>
      </c>
      <c r="P125" s="27">
        <v>0</v>
      </c>
      <c r="Q125" s="103">
        <f t="shared" si="24"/>
        <v>0</v>
      </c>
      <c r="S125" s="35"/>
      <c r="T125" s="40">
        <f t="shared" si="18"/>
        <v>0</v>
      </c>
    </row>
    <row r="126" spans="1:20" ht="26.25" hidden="1" customHeight="1">
      <c r="A126" s="5" t="s">
        <v>344</v>
      </c>
      <c r="B126" s="5" t="s">
        <v>706</v>
      </c>
      <c r="D126" s="26" t="s">
        <v>802</v>
      </c>
      <c r="E126" s="27">
        <v>0</v>
      </c>
      <c r="F126" s="27">
        <v>0</v>
      </c>
      <c r="G126" s="27">
        <v>0</v>
      </c>
      <c r="H126" s="27">
        <v>0</v>
      </c>
      <c r="I126" s="27">
        <v>0</v>
      </c>
      <c r="J126" s="27">
        <v>0</v>
      </c>
      <c r="K126" s="27">
        <v>0</v>
      </c>
      <c r="L126" s="27">
        <v>0</v>
      </c>
      <c r="M126" s="27">
        <v>0</v>
      </c>
      <c r="N126" s="27">
        <v>0</v>
      </c>
      <c r="O126" s="27">
        <v>0</v>
      </c>
      <c r="P126" s="27">
        <v>0</v>
      </c>
      <c r="Q126" s="103">
        <f t="shared" si="24"/>
        <v>0</v>
      </c>
      <c r="S126" s="35"/>
      <c r="T126" s="40">
        <f t="shared" si="18"/>
        <v>0</v>
      </c>
    </row>
    <row r="127" spans="1:20" ht="26.25" customHeight="1">
      <c r="A127" s="5" t="s">
        <v>640</v>
      </c>
      <c r="B127" s="5" t="s">
        <v>706</v>
      </c>
      <c r="D127" s="26" t="s">
        <v>803</v>
      </c>
      <c r="E127" s="27">
        <v>0</v>
      </c>
      <c r="F127" s="27">
        <v>0</v>
      </c>
      <c r="G127" s="27">
        <v>0</v>
      </c>
      <c r="H127" s="27">
        <v>0</v>
      </c>
      <c r="I127" s="27">
        <v>0</v>
      </c>
      <c r="J127" s="27">
        <v>0</v>
      </c>
      <c r="K127" s="27">
        <v>0</v>
      </c>
      <c r="L127" s="27">
        <v>0</v>
      </c>
      <c r="M127" s="27">
        <v>0</v>
      </c>
      <c r="N127" s="27">
        <v>0</v>
      </c>
      <c r="O127" s="27">
        <v>0</v>
      </c>
      <c r="P127" s="27">
        <v>0</v>
      </c>
      <c r="Q127" s="103">
        <f t="shared" si="24"/>
        <v>0</v>
      </c>
      <c r="S127" s="35"/>
      <c r="T127" s="40">
        <f t="shared" si="18"/>
        <v>0</v>
      </c>
    </row>
    <row r="128" spans="1:20" ht="26.25" customHeight="1">
      <c r="D128" s="26" t="s">
        <v>804</v>
      </c>
      <c r="E128" s="126">
        <f>SUM(E121:E127)</f>
        <v>0</v>
      </c>
      <c r="F128" s="126">
        <f t="shared" ref="F128:P128" si="25">SUM(F121:F127)</f>
        <v>0</v>
      </c>
      <c r="G128" s="126">
        <f t="shared" si="25"/>
        <v>0</v>
      </c>
      <c r="H128" s="126">
        <f t="shared" si="25"/>
        <v>0</v>
      </c>
      <c r="I128" s="126">
        <f t="shared" si="25"/>
        <v>0</v>
      </c>
      <c r="J128" s="126">
        <f t="shared" si="25"/>
        <v>0</v>
      </c>
      <c r="K128" s="126">
        <f t="shared" si="25"/>
        <v>0</v>
      </c>
      <c r="L128" s="126">
        <f t="shared" si="25"/>
        <v>0</v>
      </c>
      <c r="M128" s="126">
        <f t="shared" si="25"/>
        <v>0</v>
      </c>
      <c r="N128" s="126">
        <f t="shared" si="25"/>
        <v>0</v>
      </c>
      <c r="O128" s="126">
        <f t="shared" si="25"/>
        <v>0</v>
      </c>
      <c r="P128" s="126">
        <f t="shared" si="25"/>
        <v>0</v>
      </c>
      <c r="Q128" s="127">
        <f t="shared" si="24"/>
        <v>0</v>
      </c>
      <c r="S128" s="35"/>
      <c r="T128" s="40">
        <f t="shared" si="18"/>
        <v>0</v>
      </c>
    </row>
    <row r="129" spans="1:20" ht="26.25" customHeight="1">
      <c r="D129" s="21" t="s">
        <v>805</v>
      </c>
      <c r="E129" s="128">
        <f>E102+E109+E119+E128</f>
        <v>0</v>
      </c>
      <c r="F129" s="128">
        <f t="shared" ref="F129:Q129" si="26">F102+F109+F119+F128</f>
        <v>0</v>
      </c>
      <c r="G129" s="128">
        <f t="shared" si="26"/>
        <v>0</v>
      </c>
      <c r="H129" s="128">
        <f t="shared" si="26"/>
        <v>0</v>
      </c>
      <c r="I129" s="128">
        <f t="shared" si="26"/>
        <v>0</v>
      </c>
      <c r="J129" s="128">
        <f t="shared" si="26"/>
        <v>0</v>
      </c>
      <c r="K129" s="128">
        <f t="shared" si="26"/>
        <v>0</v>
      </c>
      <c r="L129" s="128">
        <f t="shared" si="26"/>
        <v>0</v>
      </c>
      <c r="M129" s="128">
        <f t="shared" si="26"/>
        <v>0</v>
      </c>
      <c r="N129" s="128">
        <f t="shared" si="26"/>
        <v>0</v>
      </c>
      <c r="O129" s="128">
        <f t="shared" si="26"/>
        <v>0</v>
      </c>
      <c r="P129" s="128">
        <f t="shared" si="26"/>
        <v>0</v>
      </c>
      <c r="Q129" s="128">
        <f t="shared" si="26"/>
        <v>0</v>
      </c>
      <c r="R129" s="39"/>
      <c r="S129" s="35"/>
      <c r="T129" s="40">
        <f t="shared" si="18"/>
        <v>0</v>
      </c>
    </row>
    <row r="130" spans="1:20" ht="26.25" customHeight="1">
      <c r="D130" s="21"/>
      <c r="E130" s="72"/>
      <c r="F130" s="106"/>
      <c r="G130" s="72"/>
      <c r="H130" s="72"/>
      <c r="I130" s="72"/>
      <c r="J130" s="106"/>
      <c r="K130" s="72"/>
      <c r="L130" s="109"/>
      <c r="M130" s="72"/>
      <c r="N130" s="106"/>
      <c r="O130" s="110"/>
      <c r="P130" s="110"/>
      <c r="Q130" s="110"/>
      <c r="S130" s="35"/>
      <c r="T130" s="40"/>
    </row>
    <row r="131" spans="1:20" ht="26.25" customHeight="1">
      <c r="A131" s="5" t="s">
        <v>105</v>
      </c>
      <c r="B131" s="5" t="s">
        <v>706</v>
      </c>
      <c r="D131" s="21" t="s">
        <v>806</v>
      </c>
      <c r="E131" s="99">
        <v>0</v>
      </c>
      <c r="F131" s="99">
        <v>0</v>
      </c>
      <c r="G131" s="99">
        <v>0</v>
      </c>
      <c r="H131" s="99">
        <v>0</v>
      </c>
      <c r="I131" s="99">
        <v>0</v>
      </c>
      <c r="J131" s="99">
        <v>0</v>
      </c>
      <c r="K131" s="99">
        <v>0</v>
      </c>
      <c r="L131" s="99">
        <v>0</v>
      </c>
      <c r="M131" s="99">
        <v>0</v>
      </c>
      <c r="N131" s="99">
        <v>0</v>
      </c>
      <c r="O131" s="99">
        <v>0</v>
      </c>
      <c r="P131" s="99">
        <v>0</v>
      </c>
      <c r="Q131" s="99">
        <v>0</v>
      </c>
      <c r="S131" s="35"/>
      <c r="T131" s="40">
        <f t="shared" si="18"/>
        <v>0</v>
      </c>
    </row>
  </sheetData>
  <phoneticPr fontId="57" type="noConversion"/>
  <dataValidations count="19">
    <dataValidation type="textLength" errorStyle="information" allowBlank="1" showInputMessage="1" showErrorMessage="1" error="XLBVal:6=-1648.51_x000d__x000a_" sqref="E96">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337_x000d__x000a_" sqref="E23:P23">
      <formula1>0</formula1>
      <formula2>300</formula2>
    </dataValidation>
    <dataValidation type="textLength" errorStyle="information" allowBlank="1" showInputMessage="1" showErrorMessage="1" error="XLBVal:6=1531.53_x000d__x000a_" sqref="E12:P12">
      <formula1>0</formula1>
      <formula2>300</formula2>
    </dataValidation>
    <dataValidation type="textLength" errorStyle="information" allowBlank="1" showInputMessage="1" showErrorMessage="1" error="XLBVal:6=28280_x000d__x000a_" sqref="Q17">
      <formula1>0</formula1>
      <formula2>300</formula2>
    </dataValidation>
    <dataValidation type="textLength" errorStyle="information" allowBlank="1" showInputMessage="1" showErrorMessage="1" error="XLBVal:6=-7167.63_x000d__x000a_" sqref="F96">
      <formula1>0</formula1>
      <formula2>300</formula2>
    </dataValidation>
    <dataValidation type="textLength" errorStyle="information" allowBlank="1" showInputMessage="1" showErrorMessage="1" error="XLBVal:6=-1453.98_x000d__x000a_" sqref="E73:P73">
      <formula1>0</formula1>
      <formula2>300</formula2>
    </dataValidation>
    <dataValidation type="textLength" errorStyle="information" allowBlank="1" showInputMessage="1" showErrorMessage="1" error="XLBVal:6=-1394.78_x000d__x000a_" sqref="J96">
      <formula1>0</formula1>
      <formula2>300</formula2>
    </dataValidation>
    <dataValidation type="textLength" errorStyle="information" allowBlank="1" showInputMessage="1" showErrorMessage="1" error="XLBVal:6=-57.85_x000d__x000a_" sqref="G96">
      <formula1>0</formula1>
      <formula2>300</formula2>
    </dataValidation>
    <dataValidation type="textLength" errorStyle="information" allowBlank="1" showInputMessage="1" showErrorMessage="1" error="XLBVal:6=314.3_x000d__x000a_" sqref="E108:P108">
      <formula1>0</formula1>
      <formula2>300</formula2>
    </dataValidation>
    <dataValidation type="textLength" errorStyle="information" allowBlank="1" showInputMessage="1" showErrorMessage="1" error="XLBVal:6=-537.3_x000d__x000a_" sqref="H96">
      <formula1>0</formula1>
      <formula2>300</formula2>
    </dataValidation>
    <dataValidation type="textLength" errorStyle="information" allowBlank="1" showInputMessage="1" showErrorMessage="1" error="XLBVal:6=743.54_x000d__x000a_" sqref="I96">
      <formula1>0</formula1>
      <formula2>300</formula2>
    </dataValidation>
    <dataValidation type="textLength" errorStyle="information" allowBlank="1" showInputMessage="1" showErrorMessage="1" error="XLBVal:6=-741.12_x000d__x000a_" sqref="K96">
      <formula1>0</formula1>
      <formula2>300</formula2>
    </dataValidation>
    <dataValidation type="textLength" errorStyle="information" allowBlank="1" showInputMessage="1" showErrorMessage="1" error="XLBVal:6=1958_x000d__x000a_" sqref="L96">
      <formula1>0</formula1>
      <formula2>300</formula2>
    </dataValidation>
    <dataValidation type="textLength" errorStyle="information" allowBlank="1" showInputMessage="1" showErrorMessage="1" error="XLBVal:6=-2000_x000d__x000a_" sqref="M96:P96">
      <formula1>0</formula1>
      <formula2>300</formula2>
    </dataValidation>
    <dataValidation type="textLength" errorStyle="information" allowBlank="1" showInputMessage="1" showErrorMessage="1" error="XLBVal:6=-24000_x000d__x000a_" sqref="Q96">
      <formula1>0</formula1>
      <formula2>300</formula2>
    </dataValidation>
    <dataValidation type="textLength" errorStyle="information" allowBlank="1" showInputMessage="1" showErrorMessage="1" error="XLBVal:2=0_x000d__x000a_" sqref="E131:Q131 Q12:Q14 Q18:Q94 Q104:Q108 E13:P14 E17:P20 E74:P94 E121:Q128 E104:P107 E100:Q101 E111:Q119 E26:P72">
      <formula1>0</formula1>
      <formula2>300</formula2>
    </dataValidation>
    <dataValidation type="textLength" errorStyle="information" allowBlank="1" showInputMessage="1" showErrorMessage="1" error="XLBVal:6=3239.86_x000d__x000a_" sqref="E21:P22 E24:P25">
      <formula1>0</formula1>
      <formula2>300</formula2>
    </dataValidation>
    <dataValidation type="textLength" errorStyle="information" allowBlank="1" showInputMessage="1" showErrorMessage="1" error="XLBVal:6=6688509.16_x000d__x000a_" sqref="E15:Q16">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1:W134"/>
  <sheetViews>
    <sheetView zoomScale="50" zoomScaleNormal="50" zoomScaleSheetLayoutView="40" workbookViewId="0">
      <pane xSplit="4" ySplit="10" topLeftCell="E11" activePane="bottomRight" state="frozen"/>
      <selection activeCell="D1" sqref="D1"/>
      <selection pane="topRight" activeCell="E1" sqref="E1"/>
      <selection pane="bottomLeft" activeCell="D11" sqref="D11"/>
      <selection pane="bottomRight" activeCell="W15" sqref="W15"/>
    </sheetView>
  </sheetViews>
  <sheetFormatPr defaultColWidth="8.875" defaultRowHeight="26.25" customHeight="1" outlineLevelRow="1" outlineLevelCol="1"/>
  <cols>
    <col min="1" max="1" width="25.875" style="5" hidden="1" customWidth="1" outlineLevel="1"/>
    <col min="2" max="3" width="15.5" style="5" hidden="1" customWidth="1" outlineLevel="1"/>
    <col min="4" max="4" width="57.5" style="6" customWidth="1" collapsed="1"/>
    <col min="5" max="5" width="22.875" style="7" customWidth="1"/>
    <col min="6" max="6" width="22.875" style="89" customWidth="1"/>
    <col min="7" max="7" width="22.875" style="7" customWidth="1"/>
    <col min="8" max="8" width="22.875" style="6" customWidth="1"/>
    <col min="9" max="9" width="22.875" style="7" customWidth="1"/>
    <col min="10" max="10" width="22.875" style="89" customWidth="1"/>
    <col min="11" max="11" width="22.875" style="7" customWidth="1"/>
    <col min="12" max="12" width="22.875" style="90" customWidth="1"/>
    <col min="13" max="13" width="22.875" style="7" customWidth="1"/>
    <col min="14" max="14" width="22.875" style="89" customWidth="1"/>
    <col min="15" max="16" width="22.875" style="5" customWidth="1"/>
    <col min="17" max="17" width="25.375" style="5" customWidth="1"/>
    <col min="18" max="18" width="12.5" style="5" customWidth="1"/>
    <col min="19" max="19" width="22.5" style="8" hidden="1" customWidth="1"/>
    <col min="20" max="20" width="22.5" style="5" hidden="1" customWidth="1"/>
    <col min="21"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91"/>
      <c r="G4" s="11"/>
      <c r="H4" s="92"/>
      <c r="I4" s="12"/>
      <c r="J4" s="100"/>
      <c r="K4" s="13"/>
      <c r="L4" s="101"/>
      <c r="M4" s="13"/>
      <c r="N4" s="93"/>
      <c r="S4" s="33"/>
    </row>
    <row r="5" spans="1:20" s="2" customFormat="1" ht="24.95" customHeight="1">
      <c r="D5" s="10" t="str">
        <f>Summary!$D$5</f>
        <v>酒店预算报表</v>
      </c>
      <c r="E5" s="11"/>
      <c r="F5" s="91"/>
      <c r="G5" s="11"/>
      <c r="H5" s="92"/>
      <c r="I5" s="12"/>
      <c r="J5" s="100"/>
      <c r="K5" s="13"/>
      <c r="L5" s="101"/>
      <c r="M5" s="13"/>
      <c r="N5" s="93"/>
      <c r="S5" s="33"/>
    </row>
    <row r="6" spans="1:20" s="2" customFormat="1" ht="24.95" customHeight="1">
      <c r="D6" s="14" t="s">
        <v>1192</v>
      </c>
      <c r="E6" s="13"/>
      <c r="F6" s="93"/>
      <c r="G6" s="13"/>
      <c r="H6" s="94"/>
      <c r="I6" s="13"/>
      <c r="J6" s="93"/>
      <c r="K6" s="13"/>
      <c r="L6" s="101"/>
      <c r="M6" s="13"/>
      <c r="N6" s="93"/>
      <c r="S6" s="33"/>
    </row>
    <row r="7" spans="1:20" s="2" customFormat="1" ht="24.95" customHeight="1">
      <c r="D7" s="15" t="s">
        <v>1203</v>
      </c>
      <c r="E7" s="13"/>
      <c r="F7" s="93"/>
      <c r="G7" s="13"/>
      <c r="H7" s="94"/>
      <c r="I7" s="13"/>
      <c r="J7" s="93"/>
      <c r="K7" s="13"/>
      <c r="L7" s="101"/>
      <c r="M7" s="13"/>
      <c r="N7" s="93"/>
      <c r="S7" s="33"/>
    </row>
    <row r="8" spans="1:20" s="2" customFormat="1" ht="24.95" customHeight="1">
      <c r="D8" s="14"/>
      <c r="E8" s="13"/>
      <c r="F8" s="93"/>
      <c r="G8" s="13"/>
      <c r="H8" s="94"/>
      <c r="I8" s="13"/>
      <c r="J8" s="93"/>
      <c r="K8" s="13"/>
      <c r="L8" s="101"/>
      <c r="M8" s="13"/>
      <c r="N8" s="93"/>
      <c r="S8" s="33"/>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75" customHeight="1">
      <c r="D11" s="21" t="s">
        <v>113</v>
      </c>
      <c r="E11" s="76"/>
      <c r="F11" s="95"/>
      <c r="G11" s="76"/>
      <c r="H11" s="95"/>
      <c r="I11" s="76"/>
      <c r="J11" s="95"/>
      <c r="K11" s="77"/>
      <c r="L11" s="102"/>
      <c r="M11" s="77"/>
      <c r="N11" s="95"/>
      <c r="S11" s="35"/>
    </row>
    <row r="12" spans="1:20" s="3" customFormat="1" ht="24.95" customHeight="1">
      <c r="A12" s="3" t="s">
        <v>1198</v>
      </c>
      <c r="B12" s="3" t="s">
        <v>709</v>
      </c>
      <c r="C12" s="3" t="s">
        <v>1199</v>
      </c>
      <c r="D12" s="26" t="s">
        <v>1193</v>
      </c>
      <c r="E12" s="27">
        <v>5500</v>
      </c>
      <c r="F12" s="27">
        <v>5500</v>
      </c>
      <c r="G12" s="27">
        <v>4500</v>
      </c>
      <c r="H12" s="27">
        <v>4500</v>
      </c>
      <c r="I12" s="27">
        <v>5500</v>
      </c>
      <c r="J12" s="27">
        <v>4500</v>
      </c>
      <c r="K12" s="27">
        <v>4500</v>
      </c>
      <c r="L12" s="27">
        <v>4500</v>
      </c>
      <c r="M12" s="27">
        <v>4500</v>
      </c>
      <c r="N12" s="27">
        <v>5500</v>
      </c>
      <c r="O12" s="27">
        <v>5800</v>
      </c>
      <c r="P12" s="27">
        <v>5800</v>
      </c>
      <c r="Q12" s="27">
        <f>SUM(E12:P12)</f>
        <v>60600</v>
      </c>
      <c r="S12" s="35"/>
      <c r="T12" s="40" t="e">
        <f>IF(Q12-S12=0,0,(Q12-S12)/S12)</f>
        <v>#DIV/0!</v>
      </c>
    </row>
    <row r="13" spans="1:20" s="3" customFormat="1" ht="24.95" customHeight="1">
      <c r="A13" s="3" t="s">
        <v>1198</v>
      </c>
      <c r="B13" s="3" t="s">
        <v>709</v>
      </c>
      <c r="C13" s="3" t="s">
        <v>1200</v>
      </c>
      <c r="D13" s="26" t="s">
        <v>1194</v>
      </c>
      <c r="E13" s="27">
        <v>0</v>
      </c>
      <c r="F13" s="27">
        <v>0</v>
      </c>
      <c r="G13" s="27">
        <v>0</v>
      </c>
      <c r="H13" s="27">
        <v>0</v>
      </c>
      <c r="I13" s="27">
        <v>0</v>
      </c>
      <c r="J13" s="27">
        <v>0</v>
      </c>
      <c r="K13" s="27">
        <v>0</v>
      </c>
      <c r="L13" s="27">
        <v>0</v>
      </c>
      <c r="M13" s="27">
        <v>0</v>
      </c>
      <c r="N13" s="27">
        <v>0</v>
      </c>
      <c r="O13" s="27">
        <v>0</v>
      </c>
      <c r="P13" s="27">
        <v>0</v>
      </c>
      <c r="Q13" s="27">
        <f t="shared" ref="Q13" si="0">SUM(E13:P13)</f>
        <v>0</v>
      </c>
      <c r="S13" s="35"/>
      <c r="T13" s="40">
        <f t="shared" ref="T13" si="1">IF(Q13-S13=0,0,(Q13-S13)/S13)</f>
        <v>0</v>
      </c>
    </row>
    <row r="14" spans="1:20" s="3" customFormat="1" ht="24.95" customHeight="1">
      <c r="A14" s="3" t="s">
        <v>1198</v>
      </c>
      <c r="B14" s="3" t="s">
        <v>709</v>
      </c>
      <c r="C14" s="3" t="s">
        <v>1201</v>
      </c>
      <c r="D14" s="26" t="s">
        <v>1195</v>
      </c>
      <c r="E14" s="27">
        <v>0</v>
      </c>
      <c r="F14" s="27">
        <v>0</v>
      </c>
      <c r="G14" s="27">
        <v>0</v>
      </c>
      <c r="H14" s="27">
        <v>0</v>
      </c>
      <c r="I14" s="27">
        <v>0</v>
      </c>
      <c r="J14" s="27">
        <v>0</v>
      </c>
      <c r="K14" s="27">
        <v>0</v>
      </c>
      <c r="L14" s="27">
        <v>0</v>
      </c>
      <c r="M14" s="27">
        <v>0</v>
      </c>
      <c r="N14" s="27">
        <v>0</v>
      </c>
      <c r="O14" s="27">
        <v>0</v>
      </c>
      <c r="P14" s="27">
        <v>0</v>
      </c>
      <c r="Q14" s="27">
        <f t="shared" ref="Q14" si="2">SUM(E14:P14)</f>
        <v>0</v>
      </c>
      <c r="S14" s="35"/>
      <c r="T14" s="40">
        <f t="shared" ref="T14" si="3">IF(Q14-S14=0,0,(Q14-S14)/S14)</f>
        <v>0</v>
      </c>
    </row>
    <row r="15" spans="1:20" s="3" customFormat="1" ht="24.95" customHeight="1">
      <c r="A15" s="3" t="s">
        <v>1198</v>
      </c>
      <c r="B15" s="3" t="s">
        <v>709</v>
      </c>
      <c r="C15" s="3" t="s">
        <v>1202</v>
      </c>
      <c r="D15" s="26" t="s">
        <v>1196</v>
      </c>
      <c r="E15" s="27">
        <v>0</v>
      </c>
      <c r="F15" s="27">
        <v>0</v>
      </c>
      <c r="G15" s="27">
        <v>0</v>
      </c>
      <c r="H15" s="27">
        <v>0</v>
      </c>
      <c r="I15" s="27">
        <v>0</v>
      </c>
      <c r="J15" s="27">
        <v>0</v>
      </c>
      <c r="K15" s="27">
        <v>0</v>
      </c>
      <c r="L15" s="27">
        <v>0</v>
      </c>
      <c r="M15" s="27">
        <v>0</v>
      </c>
      <c r="N15" s="27">
        <v>0</v>
      </c>
      <c r="O15" s="27">
        <v>0</v>
      </c>
      <c r="P15" s="27">
        <v>0</v>
      </c>
      <c r="Q15" s="27">
        <f t="shared" ref="Q15:Q16" si="4">SUM(E15:P15)</f>
        <v>0</v>
      </c>
      <c r="S15" s="35"/>
      <c r="T15" s="40">
        <f t="shared" ref="T15:T75" si="5">IF(Q15-S15=0,0,(Q15-S15)/S15)</f>
        <v>0</v>
      </c>
    </row>
    <row r="16" spans="1:20" s="3" customFormat="1" ht="24.95" customHeight="1">
      <c r="A16" s="3" t="s">
        <v>763</v>
      </c>
      <c r="B16" s="3" t="s">
        <v>709</v>
      </c>
      <c r="D16" s="26" t="s">
        <v>1197</v>
      </c>
      <c r="E16" s="27">
        <v>0</v>
      </c>
      <c r="F16" s="27">
        <v>0</v>
      </c>
      <c r="G16" s="27">
        <v>0</v>
      </c>
      <c r="H16" s="27">
        <v>0</v>
      </c>
      <c r="I16" s="27">
        <v>0</v>
      </c>
      <c r="J16" s="27">
        <v>0</v>
      </c>
      <c r="K16" s="27">
        <v>0</v>
      </c>
      <c r="L16" s="27">
        <v>0</v>
      </c>
      <c r="M16" s="27">
        <v>0</v>
      </c>
      <c r="N16" s="27">
        <v>0</v>
      </c>
      <c r="O16" s="27">
        <v>0</v>
      </c>
      <c r="P16" s="27">
        <v>0</v>
      </c>
      <c r="Q16" s="27">
        <f t="shared" si="4"/>
        <v>0</v>
      </c>
      <c r="S16" s="35"/>
      <c r="T16" s="40">
        <f t="shared" si="5"/>
        <v>0</v>
      </c>
    </row>
    <row r="17" spans="1:20" s="3" customFormat="1" ht="24.95" customHeight="1">
      <c r="D17" s="21" t="s">
        <v>671</v>
      </c>
      <c r="E17" s="30">
        <f>SUM(E12:E16)</f>
        <v>5500</v>
      </c>
      <c r="F17" s="30">
        <f t="shared" ref="F17:Q17" si="6">SUM(F12:F16)</f>
        <v>5500</v>
      </c>
      <c r="G17" s="30">
        <f t="shared" si="6"/>
        <v>4500</v>
      </c>
      <c r="H17" s="30">
        <f t="shared" si="6"/>
        <v>4500</v>
      </c>
      <c r="I17" s="30">
        <f t="shared" si="6"/>
        <v>5500</v>
      </c>
      <c r="J17" s="30">
        <f t="shared" si="6"/>
        <v>4500</v>
      </c>
      <c r="K17" s="30">
        <f t="shared" si="6"/>
        <v>4500</v>
      </c>
      <c r="L17" s="30">
        <f t="shared" si="6"/>
        <v>4500</v>
      </c>
      <c r="M17" s="30">
        <f t="shared" si="6"/>
        <v>4500</v>
      </c>
      <c r="N17" s="30">
        <f t="shared" si="6"/>
        <v>5500</v>
      </c>
      <c r="O17" s="30">
        <f t="shared" si="6"/>
        <v>5800</v>
      </c>
      <c r="P17" s="30">
        <f t="shared" si="6"/>
        <v>5800</v>
      </c>
      <c r="Q17" s="30">
        <f t="shared" si="6"/>
        <v>60600</v>
      </c>
      <c r="S17" s="35"/>
      <c r="T17" s="40" t="e">
        <f t="shared" si="5"/>
        <v>#DIV/0!</v>
      </c>
    </row>
    <row r="18" spans="1:20" s="3" customFormat="1" ht="24.95" customHeight="1">
      <c r="D18" s="21"/>
      <c r="E18" s="82"/>
      <c r="F18" s="82"/>
      <c r="G18" s="82"/>
      <c r="H18" s="82"/>
      <c r="I18" s="82"/>
      <c r="J18" s="82"/>
      <c r="K18" s="82"/>
      <c r="L18" s="82"/>
      <c r="M18" s="82"/>
      <c r="N18" s="82"/>
      <c r="O18" s="82"/>
      <c r="P18" s="82"/>
      <c r="Q18" s="82"/>
      <c r="S18" s="35"/>
      <c r="T18" s="40"/>
    </row>
    <row r="19" spans="1:20" s="3" customFormat="1" ht="24.95" customHeight="1">
      <c r="D19" s="21" t="s">
        <v>423</v>
      </c>
      <c r="E19" s="27"/>
      <c r="F19" s="96"/>
      <c r="G19" s="27"/>
      <c r="H19" s="96"/>
      <c r="I19" s="27"/>
      <c r="J19" s="96"/>
      <c r="K19" s="27"/>
      <c r="L19" s="96"/>
      <c r="M19" s="27"/>
      <c r="N19" s="96"/>
      <c r="O19" s="103"/>
      <c r="P19" s="103"/>
      <c r="Q19" s="103"/>
      <c r="S19" s="35"/>
      <c r="T19" s="40">
        <f t="shared" si="5"/>
        <v>0</v>
      </c>
    </row>
    <row r="20" spans="1:20" s="3" customFormat="1" ht="24.95" customHeight="1">
      <c r="A20" s="3" t="s">
        <v>765</v>
      </c>
      <c r="B20" s="3" t="s">
        <v>709</v>
      </c>
      <c r="C20" s="3" t="s">
        <v>1199</v>
      </c>
      <c r="D20" s="26" t="s">
        <v>1193</v>
      </c>
      <c r="E20" s="27">
        <v>0</v>
      </c>
      <c r="F20" s="27">
        <v>0</v>
      </c>
      <c r="G20" s="27">
        <v>0</v>
      </c>
      <c r="H20" s="27">
        <v>0</v>
      </c>
      <c r="I20" s="27">
        <v>0</v>
      </c>
      <c r="J20" s="27">
        <v>0</v>
      </c>
      <c r="K20" s="27">
        <v>0</v>
      </c>
      <c r="L20" s="27">
        <v>0</v>
      </c>
      <c r="M20" s="27">
        <v>0</v>
      </c>
      <c r="N20" s="27">
        <v>0</v>
      </c>
      <c r="O20" s="27">
        <v>0</v>
      </c>
      <c r="P20" s="27">
        <v>0</v>
      </c>
      <c r="Q20" s="103">
        <f>SUM(E20:P20)</f>
        <v>0</v>
      </c>
      <c r="S20" s="35"/>
      <c r="T20" s="40">
        <f t="shared" si="5"/>
        <v>0</v>
      </c>
    </row>
    <row r="21" spans="1:20" s="3" customFormat="1" ht="24.95" customHeight="1">
      <c r="A21" s="3" t="s">
        <v>765</v>
      </c>
      <c r="B21" s="3" t="s">
        <v>709</v>
      </c>
      <c r="C21" s="3" t="s">
        <v>1200</v>
      </c>
      <c r="D21" s="26" t="s">
        <v>1194</v>
      </c>
      <c r="E21" s="27">
        <v>0</v>
      </c>
      <c r="F21" s="27">
        <v>0</v>
      </c>
      <c r="G21" s="27">
        <v>0</v>
      </c>
      <c r="H21" s="27">
        <v>0</v>
      </c>
      <c r="I21" s="27">
        <v>0</v>
      </c>
      <c r="J21" s="27">
        <v>0</v>
      </c>
      <c r="K21" s="27">
        <v>0</v>
      </c>
      <c r="L21" s="27">
        <v>0</v>
      </c>
      <c r="M21" s="27">
        <v>0</v>
      </c>
      <c r="N21" s="27">
        <v>0</v>
      </c>
      <c r="O21" s="27">
        <v>0</v>
      </c>
      <c r="P21" s="27">
        <v>0</v>
      </c>
      <c r="Q21" s="103">
        <f t="shared" ref="Q21" si="7">SUM(E21:P21)</f>
        <v>0</v>
      </c>
      <c r="S21" s="35"/>
      <c r="T21" s="40">
        <f t="shared" ref="T21" si="8">IF(Q21-S21=0,0,(Q21-S21)/S21)</f>
        <v>0</v>
      </c>
    </row>
    <row r="22" spans="1:20" s="3" customFormat="1" ht="24.95" customHeight="1">
      <c r="A22" s="3" t="s">
        <v>765</v>
      </c>
      <c r="B22" s="3" t="s">
        <v>709</v>
      </c>
      <c r="C22" s="3" t="s">
        <v>1201</v>
      </c>
      <c r="D22" s="26" t="s">
        <v>1195</v>
      </c>
      <c r="E22" s="27">
        <v>0</v>
      </c>
      <c r="F22" s="27">
        <v>0</v>
      </c>
      <c r="G22" s="27">
        <v>0</v>
      </c>
      <c r="H22" s="27">
        <v>0</v>
      </c>
      <c r="I22" s="27">
        <v>0</v>
      </c>
      <c r="J22" s="27">
        <v>0</v>
      </c>
      <c r="K22" s="27">
        <v>0</v>
      </c>
      <c r="L22" s="27">
        <v>0</v>
      </c>
      <c r="M22" s="27">
        <v>0</v>
      </c>
      <c r="N22" s="27">
        <v>0</v>
      </c>
      <c r="O22" s="27">
        <v>0</v>
      </c>
      <c r="P22" s="27">
        <v>0</v>
      </c>
      <c r="Q22" s="103">
        <f t="shared" ref="Q22:Q24" si="9">SUM(E22:P22)</f>
        <v>0</v>
      </c>
      <c r="S22" s="35"/>
      <c r="T22" s="40">
        <f t="shared" si="5"/>
        <v>0</v>
      </c>
    </row>
    <row r="23" spans="1:20" s="3" customFormat="1" ht="24.95" customHeight="1">
      <c r="A23" s="3" t="s">
        <v>765</v>
      </c>
      <c r="B23" s="3" t="s">
        <v>709</v>
      </c>
      <c r="C23" s="3" t="s">
        <v>1202</v>
      </c>
      <c r="D23" s="26" t="s">
        <v>1196</v>
      </c>
      <c r="E23" s="27">
        <v>0</v>
      </c>
      <c r="F23" s="27">
        <v>0</v>
      </c>
      <c r="G23" s="27">
        <v>0</v>
      </c>
      <c r="H23" s="27">
        <v>0</v>
      </c>
      <c r="I23" s="27">
        <v>0</v>
      </c>
      <c r="J23" s="27">
        <v>0</v>
      </c>
      <c r="K23" s="27">
        <v>0</v>
      </c>
      <c r="L23" s="27">
        <v>0</v>
      </c>
      <c r="M23" s="27">
        <v>0</v>
      </c>
      <c r="N23" s="27">
        <v>0</v>
      </c>
      <c r="O23" s="27">
        <v>0</v>
      </c>
      <c r="P23" s="27">
        <v>0</v>
      </c>
      <c r="Q23" s="103">
        <f t="shared" si="9"/>
        <v>0</v>
      </c>
      <c r="S23" s="35"/>
      <c r="T23" s="40">
        <f>-IF(Q23-S23=0,0,(Q23-S23)/S23)</f>
        <v>0</v>
      </c>
    </row>
    <row r="24" spans="1:20" s="19" customFormat="1" ht="24.95" customHeight="1">
      <c r="A24" s="3" t="s">
        <v>823</v>
      </c>
      <c r="B24" s="3" t="s">
        <v>709</v>
      </c>
      <c r="C24" s="3"/>
      <c r="D24" s="21" t="s">
        <v>771</v>
      </c>
      <c r="E24" s="98">
        <f>SUM(E20:E23)</f>
        <v>0</v>
      </c>
      <c r="F24" s="98">
        <f t="shared" ref="F24:P24" si="10">SUM(F20:F23)</f>
        <v>0</v>
      </c>
      <c r="G24" s="98">
        <f t="shared" si="10"/>
        <v>0</v>
      </c>
      <c r="H24" s="98">
        <f t="shared" si="10"/>
        <v>0</v>
      </c>
      <c r="I24" s="98">
        <f t="shared" si="10"/>
        <v>0</v>
      </c>
      <c r="J24" s="98">
        <f t="shared" si="10"/>
        <v>0</v>
      </c>
      <c r="K24" s="98">
        <f t="shared" si="10"/>
        <v>0</v>
      </c>
      <c r="L24" s="98">
        <f t="shared" si="10"/>
        <v>0</v>
      </c>
      <c r="M24" s="98">
        <f t="shared" si="10"/>
        <v>0</v>
      </c>
      <c r="N24" s="98">
        <f t="shared" si="10"/>
        <v>0</v>
      </c>
      <c r="O24" s="98">
        <f t="shared" si="10"/>
        <v>0</v>
      </c>
      <c r="P24" s="98">
        <f t="shared" si="10"/>
        <v>0</v>
      </c>
      <c r="Q24" s="118">
        <f t="shared" si="9"/>
        <v>0</v>
      </c>
      <c r="R24" s="39">
        <f>IF($Q$17=0,0,Q24/$Q$17)</f>
        <v>0</v>
      </c>
      <c r="S24" s="35"/>
      <c r="T24" s="40">
        <f>-IF(Q24-S24=0,0,(Q24-S24)/S24)</f>
        <v>0</v>
      </c>
    </row>
    <row r="25" spans="1:20" s="19" customFormat="1" ht="24.95" customHeight="1">
      <c r="A25" s="3"/>
      <c r="B25" s="3"/>
      <c r="C25" s="3"/>
      <c r="D25" s="21"/>
      <c r="E25" s="99"/>
      <c r="F25" s="99"/>
      <c r="G25" s="99"/>
      <c r="H25" s="99"/>
      <c r="I25" s="99"/>
      <c r="J25" s="99"/>
      <c r="K25" s="99"/>
      <c r="L25" s="99"/>
      <c r="M25" s="99"/>
      <c r="N25" s="99"/>
      <c r="O25" s="99"/>
      <c r="P25" s="99"/>
      <c r="Q25" s="103"/>
      <c r="R25" s="3"/>
      <c r="S25" s="35"/>
      <c r="T25" s="40"/>
    </row>
    <row r="26" spans="1:20" s="19" customFormat="1" ht="24.95" customHeight="1">
      <c r="A26" s="19" t="s">
        <v>482</v>
      </c>
      <c r="B26" s="19" t="s">
        <v>709</v>
      </c>
      <c r="D26" s="19" t="s">
        <v>772</v>
      </c>
      <c r="E26" s="99">
        <f>E132</f>
        <v>0</v>
      </c>
      <c r="F26" s="99">
        <f t="shared" ref="F26:P26" si="11">F132</f>
        <v>0</v>
      </c>
      <c r="G26" s="99">
        <f t="shared" si="11"/>
        <v>0</v>
      </c>
      <c r="H26" s="99">
        <f t="shared" si="11"/>
        <v>0</v>
      </c>
      <c r="I26" s="99">
        <f t="shared" si="11"/>
        <v>0</v>
      </c>
      <c r="J26" s="99">
        <f t="shared" si="11"/>
        <v>0</v>
      </c>
      <c r="K26" s="99">
        <f t="shared" si="11"/>
        <v>0</v>
      </c>
      <c r="L26" s="99">
        <f t="shared" si="11"/>
        <v>0</v>
      </c>
      <c r="M26" s="99">
        <f t="shared" si="11"/>
        <v>0</v>
      </c>
      <c r="N26" s="99">
        <f t="shared" si="11"/>
        <v>0</v>
      </c>
      <c r="O26" s="99">
        <f t="shared" si="11"/>
        <v>0</v>
      </c>
      <c r="P26" s="99">
        <f t="shared" si="11"/>
        <v>0</v>
      </c>
      <c r="Q26" s="104">
        <f>SUM(E26:P26)</f>
        <v>0</v>
      </c>
      <c r="R26" s="39">
        <f>IF($Q$17=0,0,Q26/$Q$17)</f>
        <v>0</v>
      </c>
      <c r="S26" s="35"/>
      <c r="T26" s="40">
        <f>-IF(Q26-S26=0,0,(Q26-S26)/S26)</f>
        <v>0</v>
      </c>
    </row>
    <row r="27" spans="1:20" s="19" customFormat="1" ht="24.95" customHeight="1">
      <c r="D27" s="26"/>
      <c r="E27" s="99"/>
      <c r="F27" s="99"/>
      <c r="G27" s="99"/>
      <c r="H27" s="99"/>
      <c r="I27" s="99"/>
      <c r="J27" s="99"/>
      <c r="K27" s="99"/>
      <c r="L27" s="99"/>
      <c r="M27" s="99"/>
      <c r="N27" s="99"/>
      <c r="O27" s="99"/>
      <c r="P27" s="99"/>
      <c r="Q27" s="103"/>
      <c r="R27" s="3"/>
      <c r="S27" s="35"/>
      <c r="T27" s="40"/>
    </row>
    <row r="28" spans="1:20" s="19" customFormat="1" ht="24.95" customHeight="1">
      <c r="D28" s="21" t="s">
        <v>773</v>
      </c>
      <c r="E28" s="99"/>
      <c r="F28" s="99"/>
      <c r="G28" s="99"/>
      <c r="H28" s="99"/>
      <c r="I28" s="99"/>
      <c r="J28" s="99"/>
      <c r="K28" s="99"/>
      <c r="L28" s="99"/>
      <c r="M28" s="99"/>
      <c r="N28" s="99"/>
      <c r="O28" s="99"/>
      <c r="P28" s="99"/>
      <c r="Q28" s="103"/>
      <c r="R28" s="3"/>
      <c r="S28" s="35"/>
      <c r="T28" s="40"/>
    </row>
    <row r="29" spans="1:20" s="19" customFormat="1" ht="24.95" hidden="1" customHeight="1">
      <c r="A29" s="19" t="s">
        <v>484</v>
      </c>
      <c r="B29" s="19" t="s">
        <v>709</v>
      </c>
      <c r="D29" s="26" t="s">
        <v>141</v>
      </c>
      <c r="E29" s="27">
        <v>0</v>
      </c>
      <c r="F29" s="27">
        <v>0</v>
      </c>
      <c r="G29" s="27">
        <v>0</v>
      </c>
      <c r="H29" s="27">
        <v>0</v>
      </c>
      <c r="I29" s="27">
        <v>0</v>
      </c>
      <c r="J29" s="27">
        <v>0</v>
      </c>
      <c r="K29" s="27">
        <v>0</v>
      </c>
      <c r="L29" s="27">
        <v>0</v>
      </c>
      <c r="M29" s="27">
        <v>0</v>
      </c>
      <c r="N29" s="27">
        <v>0</v>
      </c>
      <c r="O29" s="27">
        <v>0</v>
      </c>
      <c r="P29" s="27">
        <v>0</v>
      </c>
      <c r="Q29" s="103">
        <f>SUM(E29:P29)</f>
        <v>0</v>
      </c>
      <c r="R29" s="3"/>
      <c r="S29" s="35"/>
      <c r="T29" s="40">
        <f t="shared" si="5"/>
        <v>0</v>
      </c>
    </row>
    <row r="30" spans="1:20" s="19" customFormat="1" ht="24.95" hidden="1" customHeight="1">
      <c r="A30" s="19" t="s">
        <v>486</v>
      </c>
      <c r="B30" s="19" t="s">
        <v>709</v>
      </c>
      <c r="D30" s="26" t="s">
        <v>143</v>
      </c>
      <c r="E30" s="27">
        <v>0</v>
      </c>
      <c r="F30" s="27">
        <v>0</v>
      </c>
      <c r="G30" s="27">
        <v>0</v>
      </c>
      <c r="H30" s="27">
        <v>0</v>
      </c>
      <c r="I30" s="27">
        <v>0</v>
      </c>
      <c r="J30" s="27">
        <v>0</v>
      </c>
      <c r="K30" s="27">
        <v>0</v>
      </c>
      <c r="L30" s="27">
        <v>0</v>
      </c>
      <c r="M30" s="27">
        <v>0</v>
      </c>
      <c r="N30" s="27">
        <v>0</v>
      </c>
      <c r="O30" s="27">
        <v>0</v>
      </c>
      <c r="P30" s="27">
        <v>0</v>
      </c>
      <c r="Q30" s="103">
        <f t="shared" ref="Q30:Q93" si="12">SUM(E30:P30)</f>
        <v>0</v>
      </c>
      <c r="R30" s="3"/>
      <c r="S30" s="35"/>
      <c r="T30" s="40">
        <f t="shared" si="5"/>
        <v>0</v>
      </c>
    </row>
    <row r="31" spans="1:20" s="19" customFormat="1" ht="24.95" hidden="1" customHeight="1">
      <c r="A31" s="19" t="s">
        <v>488</v>
      </c>
      <c r="B31" s="19" t="s">
        <v>709</v>
      </c>
      <c r="D31" s="26" t="s">
        <v>145</v>
      </c>
      <c r="E31" s="27">
        <v>0</v>
      </c>
      <c r="F31" s="27">
        <v>0</v>
      </c>
      <c r="G31" s="27">
        <v>0</v>
      </c>
      <c r="H31" s="27">
        <v>0</v>
      </c>
      <c r="I31" s="27">
        <v>0</v>
      </c>
      <c r="J31" s="27">
        <v>0</v>
      </c>
      <c r="K31" s="27">
        <v>0</v>
      </c>
      <c r="L31" s="27">
        <v>0</v>
      </c>
      <c r="M31" s="27">
        <v>0</v>
      </c>
      <c r="N31" s="27">
        <v>0</v>
      </c>
      <c r="O31" s="27">
        <v>0</v>
      </c>
      <c r="P31" s="27">
        <v>0</v>
      </c>
      <c r="Q31" s="103">
        <f t="shared" si="12"/>
        <v>0</v>
      </c>
      <c r="R31" s="3"/>
      <c r="S31" s="35"/>
      <c r="T31" s="40">
        <f t="shared" si="5"/>
        <v>0</v>
      </c>
    </row>
    <row r="32" spans="1:20" s="19" customFormat="1" ht="24.95" hidden="1" customHeight="1">
      <c r="A32" s="19" t="s">
        <v>490</v>
      </c>
      <c r="B32" s="19" t="s">
        <v>709</v>
      </c>
      <c r="D32" s="26" t="s">
        <v>147</v>
      </c>
      <c r="E32" s="27">
        <v>0</v>
      </c>
      <c r="F32" s="27">
        <v>0</v>
      </c>
      <c r="G32" s="27">
        <v>0</v>
      </c>
      <c r="H32" s="27">
        <v>0</v>
      </c>
      <c r="I32" s="27">
        <v>0</v>
      </c>
      <c r="J32" s="27">
        <v>0</v>
      </c>
      <c r="K32" s="27">
        <v>0</v>
      </c>
      <c r="L32" s="27">
        <v>0</v>
      </c>
      <c r="M32" s="27">
        <v>0</v>
      </c>
      <c r="N32" s="27">
        <v>0</v>
      </c>
      <c r="O32" s="27">
        <v>0</v>
      </c>
      <c r="P32" s="27">
        <v>0</v>
      </c>
      <c r="Q32" s="103">
        <f t="shared" si="12"/>
        <v>0</v>
      </c>
      <c r="R32" s="3"/>
      <c r="S32" s="35"/>
      <c r="T32" s="40">
        <f t="shared" si="5"/>
        <v>0</v>
      </c>
    </row>
    <row r="33" spans="1:20" s="19" customFormat="1" ht="24.95" hidden="1" customHeight="1">
      <c r="A33" s="19" t="s">
        <v>492</v>
      </c>
      <c r="B33" s="19" t="s">
        <v>709</v>
      </c>
      <c r="D33" s="26" t="s">
        <v>149</v>
      </c>
      <c r="E33" s="27">
        <v>0</v>
      </c>
      <c r="F33" s="27">
        <v>0</v>
      </c>
      <c r="G33" s="27">
        <v>0</v>
      </c>
      <c r="H33" s="27">
        <v>0</v>
      </c>
      <c r="I33" s="27">
        <v>0</v>
      </c>
      <c r="J33" s="27">
        <v>0</v>
      </c>
      <c r="K33" s="27">
        <v>0</v>
      </c>
      <c r="L33" s="27">
        <v>0</v>
      </c>
      <c r="M33" s="27">
        <v>0</v>
      </c>
      <c r="N33" s="27">
        <v>0</v>
      </c>
      <c r="O33" s="27">
        <v>0</v>
      </c>
      <c r="P33" s="27">
        <v>0</v>
      </c>
      <c r="Q33" s="103">
        <f t="shared" si="12"/>
        <v>0</v>
      </c>
      <c r="R33" s="3"/>
      <c r="S33" s="35"/>
      <c r="T33" s="40">
        <f t="shared" si="5"/>
        <v>0</v>
      </c>
    </row>
    <row r="34" spans="1:20" s="19" customFormat="1" ht="24.95" hidden="1" customHeight="1">
      <c r="A34" s="19" t="s">
        <v>494</v>
      </c>
      <c r="B34" s="19" t="s">
        <v>709</v>
      </c>
      <c r="D34" s="26" t="s">
        <v>151</v>
      </c>
      <c r="E34" s="27">
        <v>0</v>
      </c>
      <c r="F34" s="27">
        <v>0</v>
      </c>
      <c r="G34" s="27">
        <v>0</v>
      </c>
      <c r="H34" s="27">
        <v>0</v>
      </c>
      <c r="I34" s="27">
        <v>0</v>
      </c>
      <c r="J34" s="27">
        <v>0</v>
      </c>
      <c r="K34" s="27">
        <v>0</v>
      </c>
      <c r="L34" s="27">
        <v>0</v>
      </c>
      <c r="M34" s="27">
        <v>0</v>
      </c>
      <c r="N34" s="27">
        <v>0</v>
      </c>
      <c r="O34" s="27">
        <v>0</v>
      </c>
      <c r="P34" s="27">
        <v>0</v>
      </c>
      <c r="Q34" s="103">
        <f t="shared" si="12"/>
        <v>0</v>
      </c>
      <c r="R34" s="3"/>
      <c r="S34" s="35"/>
      <c r="T34" s="40">
        <f t="shared" si="5"/>
        <v>0</v>
      </c>
    </row>
    <row r="35" spans="1:20" s="19" customFormat="1" ht="24.95" hidden="1" customHeight="1">
      <c r="A35" s="19" t="s">
        <v>496</v>
      </c>
      <c r="B35" s="19" t="s">
        <v>709</v>
      </c>
      <c r="D35" s="26" t="s">
        <v>153</v>
      </c>
      <c r="E35" s="27">
        <v>0</v>
      </c>
      <c r="F35" s="27">
        <v>0</v>
      </c>
      <c r="G35" s="27">
        <v>0</v>
      </c>
      <c r="H35" s="27">
        <v>0</v>
      </c>
      <c r="I35" s="27">
        <v>0</v>
      </c>
      <c r="J35" s="27">
        <v>0</v>
      </c>
      <c r="K35" s="27">
        <v>0</v>
      </c>
      <c r="L35" s="27">
        <v>0</v>
      </c>
      <c r="M35" s="27">
        <v>0</v>
      </c>
      <c r="N35" s="27">
        <v>0</v>
      </c>
      <c r="O35" s="27">
        <v>0</v>
      </c>
      <c r="P35" s="27">
        <v>0</v>
      </c>
      <c r="Q35" s="103">
        <f t="shared" si="12"/>
        <v>0</v>
      </c>
      <c r="R35" s="3"/>
      <c r="S35" s="35"/>
      <c r="T35" s="40">
        <f t="shared" si="5"/>
        <v>0</v>
      </c>
    </row>
    <row r="36" spans="1:20" s="19" customFormat="1" ht="24.95" hidden="1" customHeight="1">
      <c r="A36" s="19" t="s">
        <v>498</v>
      </c>
      <c r="B36" s="19" t="s">
        <v>709</v>
      </c>
      <c r="D36" s="26" t="s">
        <v>155</v>
      </c>
      <c r="E36" s="27">
        <v>0</v>
      </c>
      <c r="F36" s="27">
        <v>0</v>
      </c>
      <c r="G36" s="27">
        <v>0</v>
      </c>
      <c r="H36" s="27">
        <v>0</v>
      </c>
      <c r="I36" s="27">
        <v>0</v>
      </c>
      <c r="J36" s="27">
        <v>0</v>
      </c>
      <c r="K36" s="27">
        <v>0</v>
      </c>
      <c r="L36" s="27">
        <v>0</v>
      </c>
      <c r="M36" s="27">
        <v>0</v>
      </c>
      <c r="N36" s="27">
        <v>0</v>
      </c>
      <c r="O36" s="27">
        <v>0</v>
      </c>
      <c r="P36" s="27">
        <v>0</v>
      </c>
      <c r="Q36" s="103">
        <f t="shared" si="12"/>
        <v>0</v>
      </c>
      <c r="R36" s="3"/>
      <c r="S36" s="35"/>
      <c r="T36" s="40">
        <f t="shared" si="5"/>
        <v>0</v>
      </c>
    </row>
    <row r="37" spans="1:20" s="19" customFormat="1" ht="24.95" hidden="1" customHeight="1">
      <c r="A37" s="19" t="s">
        <v>500</v>
      </c>
      <c r="B37" s="19" t="s">
        <v>709</v>
      </c>
      <c r="D37" s="26" t="s">
        <v>157</v>
      </c>
      <c r="E37" s="27">
        <v>0</v>
      </c>
      <c r="F37" s="27">
        <v>0</v>
      </c>
      <c r="G37" s="27">
        <v>0</v>
      </c>
      <c r="H37" s="27">
        <v>0</v>
      </c>
      <c r="I37" s="27">
        <v>0</v>
      </c>
      <c r="J37" s="27">
        <v>0</v>
      </c>
      <c r="K37" s="27">
        <v>0</v>
      </c>
      <c r="L37" s="27">
        <v>0</v>
      </c>
      <c r="M37" s="27">
        <v>0</v>
      </c>
      <c r="N37" s="27">
        <v>0</v>
      </c>
      <c r="O37" s="27">
        <v>0</v>
      </c>
      <c r="P37" s="27">
        <v>0</v>
      </c>
      <c r="Q37" s="103">
        <f t="shared" si="12"/>
        <v>0</v>
      </c>
      <c r="R37" s="3"/>
      <c r="S37" s="35"/>
      <c r="T37" s="40">
        <f t="shared" si="5"/>
        <v>0</v>
      </c>
    </row>
    <row r="38" spans="1:20" s="19" customFormat="1" ht="24.95" hidden="1" customHeight="1">
      <c r="A38" s="19" t="s">
        <v>502</v>
      </c>
      <c r="B38" s="19" t="s">
        <v>709</v>
      </c>
      <c r="D38" s="26" t="s">
        <v>159</v>
      </c>
      <c r="E38" s="27">
        <v>0</v>
      </c>
      <c r="F38" s="27">
        <v>0</v>
      </c>
      <c r="G38" s="27">
        <v>0</v>
      </c>
      <c r="H38" s="27">
        <v>0</v>
      </c>
      <c r="I38" s="27">
        <v>0</v>
      </c>
      <c r="J38" s="27">
        <v>0</v>
      </c>
      <c r="K38" s="27">
        <v>0</v>
      </c>
      <c r="L38" s="27">
        <v>0</v>
      </c>
      <c r="M38" s="27">
        <v>0</v>
      </c>
      <c r="N38" s="27">
        <v>0</v>
      </c>
      <c r="O38" s="27">
        <v>0</v>
      </c>
      <c r="P38" s="27">
        <v>0</v>
      </c>
      <c r="Q38" s="103">
        <f t="shared" si="12"/>
        <v>0</v>
      </c>
      <c r="R38" s="3"/>
      <c r="S38" s="35"/>
      <c r="T38" s="40">
        <f t="shared" si="5"/>
        <v>0</v>
      </c>
    </row>
    <row r="39" spans="1:20" s="19" customFormat="1" ht="24.95" hidden="1" customHeight="1">
      <c r="A39" s="19" t="s">
        <v>504</v>
      </c>
      <c r="B39" s="19" t="s">
        <v>709</v>
      </c>
      <c r="D39" s="26" t="s">
        <v>161</v>
      </c>
      <c r="E39" s="27">
        <v>0</v>
      </c>
      <c r="F39" s="27">
        <v>0</v>
      </c>
      <c r="G39" s="27">
        <v>0</v>
      </c>
      <c r="H39" s="27">
        <v>0</v>
      </c>
      <c r="I39" s="27">
        <v>0</v>
      </c>
      <c r="J39" s="27">
        <v>0</v>
      </c>
      <c r="K39" s="27">
        <v>0</v>
      </c>
      <c r="L39" s="27">
        <v>0</v>
      </c>
      <c r="M39" s="27">
        <v>0</v>
      </c>
      <c r="N39" s="27">
        <v>0</v>
      </c>
      <c r="O39" s="27">
        <v>0</v>
      </c>
      <c r="P39" s="27">
        <v>0</v>
      </c>
      <c r="Q39" s="103">
        <f t="shared" si="12"/>
        <v>0</v>
      </c>
      <c r="R39" s="3"/>
      <c r="S39" s="35"/>
      <c r="T39" s="40">
        <f t="shared" si="5"/>
        <v>0</v>
      </c>
    </row>
    <row r="40" spans="1:20" s="19" customFormat="1" ht="24.95" hidden="1" customHeight="1">
      <c r="A40" s="19" t="s">
        <v>506</v>
      </c>
      <c r="B40" s="19" t="s">
        <v>709</v>
      </c>
      <c r="D40" s="26" t="s">
        <v>163</v>
      </c>
      <c r="E40" s="27">
        <v>0</v>
      </c>
      <c r="F40" s="27">
        <v>0</v>
      </c>
      <c r="G40" s="27">
        <v>0</v>
      </c>
      <c r="H40" s="27">
        <v>0</v>
      </c>
      <c r="I40" s="27">
        <v>0</v>
      </c>
      <c r="J40" s="27">
        <v>0</v>
      </c>
      <c r="K40" s="27">
        <v>0</v>
      </c>
      <c r="L40" s="27">
        <v>0</v>
      </c>
      <c r="M40" s="27">
        <v>0</v>
      </c>
      <c r="N40" s="27">
        <v>0</v>
      </c>
      <c r="O40" s="27">
        <v>0</v>
      </c>
      <c r="P40" s="27">
        <v>0</v>
      </c>
      <c r="Q40" s="103">
        <f t="shared" si="12"/>
        <v>0</v>
      </c>
      <c r="R40" s="3"/>
      <c r="S40" s="35"/>
      <c r="T40" s="40">
        <f t="shared" si="5"/>
        <v>0</v>
      </c>
    </row>
    <row r="41" spans="1:20" s="19" customFormat="1" ht="24.95" hidden="1" customHeight="1">
      <c r="A41" s="19" t="s">
        <v>508</v>
      </c>
      <c r="B41" s="19" t="s">
        <v>709</v>
      </c>
      <c r="D41" s="26" t="s">
        <v>165</v>
      </c>
      <c r="E41" s="27">
        <v>0</v>
      </c>
      <c r="F41" s="27">
        <v>0</v>
      </c>
      <c r="G41" s="27">
        <v>0</v>
      </c>
      <c r="H41" s="27">
        <v>0</v>
      </c>
      <c r="I41" s="27">
        <v>0</v>
      </c>
      <c r="J41" s="27">
        <v>0</v>
      </c>
      <c r="K41" s="27">
        <v>0</v>
      </c>
      <c r="L41" s="27">
        <v>0</v>
      </c>
      <c r="M41" s="27">
        <v>0</v>
      </c>
      <c r="N41" s="27">
        <v>0</v>
      </c>
      <c r="O41" s="27">
        <v>0</v>
      </c>
      <c r="P41" s="27">
        <v>0</v>
      </c>
      <c r="Q41" s="103">
        <f t="shared" si="12"/>
        <v>0</v>
      </c>
      <c r="R41" s="3"/>
      <c r="S41" s="35"/>
      <c r="T41" s="40">
        <f t="shared" si="5"/>
        <v>0</v>
      </c>
    </row>
    <row r="42" spans="1:20" s="19" customFormat="1" ht="24.95" hidden="1" customHeight="1">
      <c r="A42" s="19" t="s">
        <v>510</v>
      </c>
      <c r="B42" s="19" t="s">
        <v>709</v>
      </c>
      <c r="D42" s="26" t="s">
        <v>167</v>
      </c>
      <c r="E42" s="27">
        <v>0</v>
      </c>
      <c r="F42" s="27">
        <v>0</v>
      </c>
      <c r="G42" s="27">
        <v>0</v>
      </c>
      <c r="H42" s="27">
        <v>0</v>
      </c>
      <c r="I42" s="27">
        <v>0</v>
      </c>
      <c r="J42" s="27">
        <v>0</v>
      </c>
      <c r="K42" s="27">
        <v>0</v>
      </c>
      <c r="L42" s="27">
        <v>0</v>
      </c>
      <c r="M42" s="27">
        <v>0</v>
      </c>
      <c r="N42" s="27">
        <v>0</v>
      </c>
      <c r="O42" s="27">
        <v>0</v>
      </c>
      <c r="P42" s="27">
        <v>0</v>
      </c>
      <c r="Q42" s="103">
        <f t="shared" si="12"/>
        <v>0</v>
      </c>
      <c r="R42" s="3"/>
      <c r="S42" s="35"/>
      <c r="T42" s="40">
        <f t="shared" si="5"/>
        <v>0</v>
      </c>
    </row>
    <row r="43" spans="1:20" s="3" customFormat="1" ht="24.95" hidden="1" customHeight="1">
      <c r="A43" s="3" t="s">
        <v>512</v>
      </c>
      <c r="B43" s="3" t="s">
        <v>709</v>
      </c>
      <c r="D43" s="26" t="s">
        <v>169</v>
      </c>
      <c r="E43" s="27">
        <v>0</v>
      </c>
      <c r="F43" s="27">
        <v>0</v>
      </c>
      <c r="G43" s="27">
        <v>0</v>
      </c>
      <c r="H43" s="27">
        <v>0</v>
      </c>
      <c r="I43" s="27">
        <v>0</v>
      </c>
      <c r="J43" s="27">
        <v>0</v>
      </c>
      <c r="K43" s="27">
        <v>0</v>
      </c>
      <c r="L43" s="27">
        <v>0</v>
      </c>
      <c r="M43" s="27">
        <v>0</v>
      </c>
      <c r="N43" s="27">
        <v>0</v>
      </c>
      <c r="O43" s="27">
        <v>0</v>
      </c>
      <c r="P43" s="27">
        <v>0</v>
      </c>
      <c r="Q43" s="103">
        <f t="shared" si="12"/>
        <v>0</v>
      </c>
      <c r="S43" s="35"/>
      <c r="T43" s="40">
        <f t="shared" si="5"/>
        <v>0</v>
      </c>
    </row>
    <row r="44" spans="1:20" s="3" customFormat="1" ht="24.95" hidden="1" customHeight="1">
      <c r="A44" s="3" t="s">
        <v>513</v>
      </c>
      <c r="B44" s="3" t="s">
        <v>709</v>
      </c>
      <c r="D44" s="26" t="s">
        <v>171</v>
      </c>
      <c r="E44" s="27">
        <v>0</v>
      </c>
      <c r="F44" s="27">
        <v>0</v>
      </c>
      <c r="G44" s="27">
        <v>0</v>
      </c>
      <c r="H44" s="27">
        <v>0</v>
      </c>
      <c r="I44" s="27">
        <v>0</v>
      </c>
      <c r="J44" s="27">
        <v>0</v>
      </c>
      <c r="K44" s="27">
        <v>0</v>
      </c>
      <c r="L44" s="27">
        <v>0</v>
      </c>
      <c r="M44" s="27">
        <v>0</v>
      </c>
      <c r="N44" s="27">
        <v>0</v>
      </c>
      <c r="O44" s="27">
        <v>0</v>
      </c>
      <c r="P44" s="27">
        <v>0</v>
      </c>
      <c r="Q44" s="103">
        <f t="shared" si="12"/>
        <v>0</v>
      </c>
      <c r="S44" s="35"/>
      <c r="T44" s="40">
        <f t="shared" si="5"/>
        <v>0</v>
      </c>
    </row>
    <row r="45" spans="1:20" s="3" customFormat="1" ht="24.95" hidden="1" customHeight="1">
      <c r="A45" s="271" t="s">
        <v>514</v>
      </c>
      <c r="B45" s="51" t="s">
        <v>709</v>
      </c>
      <c r="D45" s="26" t="s">
        <v>173</v>
      </c>
      <c r="E45" s="27">
        <v>0</v>
      </c>
      <c r="F45" s="27">
        <v>0</v>
      </c>
      <c r="G45" s="27">
        <v>0</v>
      </c>
      <c r="H45" s="27">
        <v>0</v>
      </c>
      <c r="I45" s="27">
        <v>0</v>
      </c>
      <c r="J45" s="27">
        <v>0</v>
      </c>
      <c r="K45" s="27">
        <v>0</v>
      </c>
      <c r="L45" s="27">
        <v>0</v>
      </c>
      <c r="M45" s="27">
        <v>0</v>
      </c>
      <c r="N45" s="27">
        <v>0</v>
      </c>
      <c r="O45" s="27">
        <v>0</v>
      </c>
      <c r="P45" s="27">
        <v>0</v>
      </c>
      <c r="Q45" s="103">
        <f t="shared" si="12"/>
        <v>0</v>
      </c>
      <c r="S45" s="35"/>
      <c r="T45" s="40">
        <f t="shared" si="5"/>
        <v>0</v>
      </c>
    </row>
    <row r="46" spans="1:20" s="3" customFormat="1" ht="24.95" hidden="1" customHeight="1">
      <c r="A46" s="271" t="s">
        <v>516</v>
      </c>
      <c r="B46" s="51" t="s">
        <v>709</v>
      </c>
      <c r="D46" s="26" t="s">
        <v>175</v>
      </c>
      <c r="E46" s="27">
        <v>0</v>
      </c>
      <c r="F46" s="27">
        <v>0</v>
      </c>
      <c r="G46" s="27">
        <v>0</v>
      </c>
      <c r="H46" s="27">
        <v>0</v>
      </c>
      <c r="I46" s="27">
        <v>0</v>
      </c>
      <c r="J46" s="27">
        <v>0</v>
      </c>
      <c r="K46" s="27">
        <v>0</v>
      </c>
      <c r="L46" s="27">
        <v>0</v>
      </c>
      <c r="M46" s="27">
        <v>0</v>
      </c>
      <c r="N46" s="27">
        <v>0</v>
      </c>
      <c r="O46" s="27">
        <v>0</v>
      </c>
      <c r="P46" s="27">
        <v>0</v>
      </c>
      <c r="Q46" s="103">
        <f t="shared" si="12"/>
        <v>0</v>
      </c>
      <c r="S46" s="35"/>
      <c r="T46" s="40">
        <f t="shared" si="5"/>
        <v>0</v>
      </c>
    </row>
    <row r="47" spans="1:20" s="3" customFormat="1" ht="24.95" hidden="1" customHeight="1">
      <c r="A47" s="3" t="s">
        <v>518</v>
      </c>
      <c r="B47" s="51" t="s">
        <v>709</v>
      </c>
      <c r="D47" s="26" t="s">
        <v>177</v>
      </c>
      <c r="E47" s="27">
        <v>0</v>
      </c>
      <c r="F47" s="27">
        <v>0</v>
      </c>
      <c r="G47" s="27">
        <v>0</v>
      </c>
      <c r="H47" s="27">
        <v>0</v>
      </c>
      <c r="I47" s="27">
        <v>0</v>
      </c>
      <c r="J47" s="27">
        <v>0</v>
      </c>
      <c r="K47" s="27">
        <v>0</v>
      </c>
      <c r="L47" s="27">
        <v>0</v>
      </c>
      <c r="M47" s="27">
        <v>0</v>
      </c>
      <c r="N47" s="27">
        <v>0</v>
      </c>
      <c r="O47" s="27">
        <v>0</v>
      </c>
      <c r="P47" s="27">
        <v>0</v>
      </c>
      <c r="Q47" s="103">
        <f t="shared" si="12"/>
        <v>0</v>
      </c>
      <c r="S47" s="35"/>
      <c r="T47" s="40">
        <f t="shared" si="5"/>
        <v>0</v>
      </c>
    </row>
    <row r="48" spans="1:20" s="3" customFormat="1" ht="24.95" hidden="1" customHeight="1">
      <c r="A48" s="3" t="s">
        <v>520</v>
      </c>
      <c r="B48" s="51" t="s">
        <v>709</v>
      </c>
      <c r="D48" s="26" t="s">
        <v>179</v>
      </c>
      <c r="E48" s="27">
        <v>0</v>
      </c>
      <c r="F48" s="27">
        <v>0</v>
      </c>
      <c r="G48" s="27">
        <v>0</v>
      </c>
      <c r="H48" s="27">
        <v>0</v>
      </c>
      <c r="I48" s="27">
        <v>0</v>
      </c>
      <c r="J48" s="27">
        <v>0</v>
      </c>
      <c r="K48" s="27">
        <v>0</v>
      </c>
      <c r="L48" s="27">
        <v>0</v>
      </c>
      <c r="M48" s="27">
        <v>0</v>
      </c>
      <c r="N48" s="27">
        <v>0</v>
      </c>
      <c r="O48" s="27">
        <v>0</v>
      </c>
      <c r="P48" s="27">
        <v>0</v>
      </c>
      <c r="Q48" s="103">
        <f t="shared" si="12"/>
        <v>0</v>
      </c>
      <c r="S48" s="35"/>
      <c r="T48" s="40">
        <f t="shared" si="5"/>
        <v>0</v>
      </c>
    </row>
    <row r="49" spans="1:20" s="3" customFormat="1" ht="24.95" hidden="1" customHeight="1">
      <c r="A49" s="271" t="s">
        <v>522</v>
      </c>
      <c r="B49" s="51" t="s">
        <v>709</v>
      </c>
      <c r="D49" s="26" t="s">
        <v>181</v>
      </c>
      <c r="E49" s="27">
        <v>0</v>
      </c>
      <c r="F49" s="27">
        <v>0</v>
      </c>
      <c r="G49" s="27">
        <v>0</v>
      </c>
      <c r="H49" s="27">
        <v>0</v>
      </c>
      <c r="I49" s="27">
        <v>0</v>
      </c>
      <c r="J49" s="27">
        <v>0</v>
      </c>
      <c r="K49" s="27">
        <v>0</v>
      </c>
      <c r="L49" s="27">
        <v>0</v>
      </c>
      <c r="M49" s="27">
        <v>0</v>
      </c>
      <c r="N49" s="27">
        <v>0</v>
      </c>
      <c r="O49" s="27">
        <v>0</v>
      </c>
      <c r="P49" s="27">
        <v>0</v>
      </c>
      <c r="Q49" s="103">
        <f t="shared" si="12"/>
        <v>0</v>
      </c>
      <c r="S49" s="35"/>
      <c r="T49" s="40">
        <f t="shared" si="5"/>
        <v>0</v>
      </c>
    </row>
    <row r="50" spans="1:20" s="3" customFormat="1" ht="24.95" hidden="1" customHeight="1">
      <c r="A50" s="54" t="s">
        <v>524</v>
      </c>
      <c r="B50" s="51" t="s">
        <v>709</v>
      </c>
      <c r="D50" s="26" t="s">
        <v>183</v>
      </c>
      <c r="E50" s="27">
        <v>0</v>
      </c>
      <c r="F50" s="27">
        <v>0</v>
      </c>
      <c r="G50" s="27">
        <v>0</v>
      </c>
      <c r="H50" s="27">
        <v>0</v>
      </c>
      <c r="I50" s="27">
        <v>0</v>
      </c>
      <c r="J50" s="27">
        <v>0</v>
      </c>
      <c r="K50" s="27">
        <v>0</v>
      </c>
      <c r="L50" s="27">
        <v>0</v>
      </c>
      <c r="M50" s="27">
        <v>0</v>
      </c>
      <c r="N50" s="27">
        <v>0</v>
      </c>
      <c r="O50" s="27">
        <v>0</v>
      </c>
      <c r="P50" s="27">
        <v>0</v>
      </c>
      <c r="Q50" s="103">
        <f t="shared" si="12"/>
        <v>0</v>
      </c>
      <c r="S50" s="35"/>
      <c r="T50" s="40">
        <f t="shared" si="5"/>
        <v>0</v>
      </c>
    </row>
    <row r="51" spans="1:20" s="3" customFormat="1" ht="24.95" hidden="1" customHeight="1">
      <c r="A51" s="271" t="s">
        <v>526</v>
      </c>
      <c r="B51" s="3" t="s">
        <v>709</v>
      </c>
      <c r="D51" s="26" t="s">
        <v>185</v>
      </c>
      <c r="E51" s="27">
        <v>0</v>
      </c>
      <c r="F51" s="27">
        <v>0</v>
      </c>
      <c r="G51" s="27">
        <v>0</v>
      </c>
      <c r="H51" s="27">
        <v>0</v>
      </c>
      <c r="I51" s="27">
        <v>0</v>
      </c>
      <c r="J51" s="27">
        <v>0</v>
      </c>
      <c r="K51" s="27">
        <v>0</v>
      </c>
      <c r="L51" s="27">
        <v>0</v>
      </c>
      <c r="M51" s="27">
        <v>0</v>
      </c>
      <c r="N51" s="27">
        <v>0</v>
      </c>
      <c r="O51" s="27">
        <v>0</v>
      </c>
      <c r="P51" s="27">
        <v>0</v>
      </c>
      <c r="Q51" s="103">
        <f t="shared" si="12"/>
        <v>0</v>
      </c>
      <c r="S51" s="35"/>
      <c r="T51" s="40">
        <f t="shared" si="5"/>
        <v>0</v>
      </c>
    </row>
    <row r="52" spans="1:20" s="3" customFormat="1" ht="24.95" hidden="1" customHeight="1">
      <c r="A52" s="271" t="s">
        <v>528</v>
      </c>
      <c r="B52" s="51" t="s">
        <v>709</v>
      </c>
      <c r="D52" s="26" t="s">
        <v>187</v>
      </c>
      <c r="E52" s="27">
        <v>0</v>
      </c>
      <c r="F52" s="27">
        <v>0</v>
      </c>
      <c r="G52" s="27">
        <v>0</v>
      </c>
      <c r="H52" s="27">
        <v>0</v>
      </c>
      <c r="I52" s="27">
        <v>0</v>
      </c>
      <c r="J52" s="27">
        <v>0</v>
      </c>
      <c r="K52" s="27">
        <v>0</v>
      </c>
      <c r="L52" s="27">
        <v>0</v>
      </c>
      <c r="M52" s="27">
        <v>0</v>
      </c>
      <c r="N52" s="27">
        <v>0</v>
      </c>
      <c r="O52" s="27">
        <v>0</v>
      </c>
      <c r="P52" s="27">
        <v>0</v>
      </c>
      <c r="Q52" s="103">
        <f t="shared" si="12"/>
        <v>0</v>
      </c>
      <c r="S52" s="35"/>
      <c r="T52" s="40">
        <f t="shared" si="5"/>
        <v>0</v>
      </c>
    </row>
    <row r="53" spans="1:20" s="3" customFormat="1" ht="24.95" hidden="1" customHeight="1">
      <c r="A53" s="271" t="s">
        <v>530</v>
      </c>
      <c r="B53" s="51" t="s">
        <v>709</v>
      </c>
      <c r="D53" s="26" t="s">
        <v>189</v>
      </c>
      <c r="E53" s="27">
        <v>0</v>
      </c>
      <c r="F53" s="27">
        <v>0</v>
      </c>
      <c r="G53" s="27">
        <v>0</v>
      </c>
      <c r="H53" s="27">
        <v>0</v>
      </c>
      <c r="I53" s="27">
        <v>0</v>
      </c>
      <c r="J53" s="27">
        <v>0</v>
      </c>
      <c r="K53" s="27">
        <v>0</v>
      </c>
      <c r="L53" s="27">
        <v>0</v>
      </c>
      <c r="M53" s="27">
        <v>0</v>
      </c>
      <c r="N53" s="27">
        <v>0</v>
      </c>
      <c r="O53" s="27">
        <v>0</v>
      </c>
      <c r="P53" s="27">
        <v>0</v>
      </c>
      <c r="Q53" s="103">
        <f t="shared" si="12"/>
        <v>0</v>
      </c>
      <c r="S53" s="35"/>
      <c r="T53" s="40">
        <f t="shared" si="5"/>
        <v>0</v>
      </c>
    </row>
    <row r="54" spans="1:20" s="19" customFormat="1" ht="24.95" hidden="1" customHeight="1">
      <c r="A54" s="271" t="s">
        <v>532</v>
      </c>
      <c r="B54" s="51" t="s">
        <v>709</v>
      </c>
      <c r="D54" s="26" t="s">
        <v>1182</v>
      </c>
      <c r="E54" s="27">
        <v>0</v>
      </c>
      <c r="F54" s="27">
        <v>0</v>
      </c>
      <c r="G54" s="27">
        <v>0</v>
      </c>
      <c r="H54" s="27">
        <v>0</v>
      </c>
      <c r="I54" s="27">
        <v>0</v>
      </c>
      <c r="J54" s="27">
        <v>0</v>
      </c>
      <c r="K54" s="27">
        <v>0</v>
      </c>
      <c r="L54" s="27">
        <v>0</v>
      </c>
      <c r="M54" s="27">
        <v>0</v>
      </c>
      <c r="N54" s="27">
        <v>0</v>
      </c>
      <c r="O54" s="27">
        <v>0</v>
      </c>
      <c r="P54" s="27">
        <v>0</v>
      </c>
      <c r="Q54" s="103">
        <f t="shared" si="12"/>
        <v>0</v>
      </c>
      <c r="R54" s="3"/>
      <c r="S54" s="35"/>
      <c r="T54" s="40">
        <f t="shared" si="5"/>
        <v>0</v>
      </c>
    </row>
    <row r="55" spans="1:20" s="3" customFormat="1" ht="24.95" hidden="1" customHeight="1">
      <c r="A55" s="50" t="s">
        <v>534</v>
      </c>
      <c r="B55" s="3" t="s">
        <v>709</v>
      </c>
      <c r="D55" s="26" t="s">
        <v>193</v>
      </c>
      <c r="E55" s="27">
        <v>0</v>
      </c>
      <c r="F55" s="27">
        <v>0</v>
      </c>
      <c r="G55" s="27">
        <v>0</v>
      </c>
      <c r="H55" s="27">
        <v>0</v>
      </c>
      <c r="I55" s="27">
        <v>0</v>
      </c>
      <c r="J55" s="27">
        <v>0</v>
      </c>
      <c r="K55" s="27">
        <v>0</v>
      </c>
      <c r="L55" s="27">
        <v>0</v>
      </c>
      <c r="M55" s="27">
        <v>0</v>
      </c>
      <c r="N55" s="27">
        <v>0</v>
      </c>
      <c r="O55" s="27">
        <v>0</v>
      </c>
      <c r="P55" s="27">
        <v>0</v>
      </c>
      <c r="Q55" s="103">
        <f t="shared" si="12"/>
        <v>0</v>
      </c>
      <c r="S55" s="35"/>
      <c r="T55" s="40">
        <f t="shared" si="5"/>
        <v>0</v>
      </c>
    </row>
    <row r="56" spans="1:20" s="3" customFormat="1" ht="24.95" hidden="1" customHeight="1">
      <c r="A56" s="271" t="s">
        <v>536</v>
      </c>
      <c r="B56" s="51" t="s">
        <v>709</v>
      </c>
      <c r="D56" s="26" t="s">
        <v>195</v>
      </c>
      <c r="E56" s="27">
        <v>0</v>
      </c>
      <c r="F56" s="27">
        <v>0</v>
      </c>
      <c r="G56" s="27">
        <v>0</v>
      </c>
      <c r="H56" s="27">
        <v>0</v>
      </c>
      <c r="I56" s="27">
        <v>0</v>
      </c>
      <c r="J56" s="27">
        <v>0</v>
      </c>
      <c r="K56" s="27">
        <v>0</v>
      </c>
      <c r="L56" s="27">
        <v>0</v>
      </c>
      <c r="M56" s="27">
        <v>0</v>
      </c>
      <c r="N56" s="27">
        <v>0</v>
      </c>
      <c r="O56" s="27">
        <v>0</v>
      </c>
      <c r="P56" s="27">
        <v>0</v>
      </c>
      <c r="Q56" s="103">
        <f t="shared" si="12"/>
        <v>0</v>
      </c>
      <c r="S56" s="35"/>
      <c r="T56" s="40">
        <f t="shared" si="5"/>
        <v>0</v>
      </c>
    </row>
    <row r="57" spans="1:20" s="3" customFormat="1" ht="24.95" hidden="1" customHeight="1">
      <c r="A57" s="271" t="s">
        <v>538</v>
      </c>
      <c r="B57" s="51" t="s">
        <v>709</v>
      </c>
      <c r="D57" s="26" t="s">
        <v>197</v>
      </c>
      <c r="E57" s="27">
        <v>0</v>
      </c>
      <c r="F57" s="27">
        <v>0</v>
      </c>
      <c r="G57" s="27">
        <v>0</v>
      </c>
      <c r="H57" s="27">
        <v>0</v>
      </c>
      <c r="I57" s="27">
        <v>0</v>
      </c>
      <c r="J57" s="27">
        <v>0</v>
      </c>
      <c r="K57" s="27">
        <v>0</v>
      </c>
      <c r="L57" s="27">
        <v>0</v>
      </c>
      <c r="M57" s="27">
        <v>0</v>
      </c>
      <c r="N57" s="27">
        <v>0</v>
      </c>
      <c r="O57" s="27">
        <v>0</v>
      </c>
      <c r="P57" s="27">
        <v>0</v>
      </c>
      <c r="Q57" s="103">
        <f t="shared" si="12"/>
        <v>0</v>
      </c>
      <c r="S57" s="35"/>
      <c r="T57" s="40">
        <f t="shared" si="5"/>
        <v>0</v>
      </c>
    </row>
    <row r="58" spans="1:20" s="3" customFormat="1" ht="24.95" hidden="1" customHeight="1">
      <c r="A58" s="271" t="s">
        <v>540</v>
      </c>
      <c r="B58" s="51" t="s">
        <v>709</v>
      </c>
      <c r="D58" s="26" t="s">
        <v>199</v>
      </c>
      <c r="E58" s="27">
        <v>0</v>
      </c>
      <c r="F58" s="27">
        <v>0</v>
      </c>
      <c r="G58" s="27">
        <v>0</v>
      </c>
      <c r="H58" s="27">
        <v>0</v>
      </c>
      <c r="I58" s="27">
        <v>0</v>
      </c>
      <c r="J58" s="27">
        <v>0</v>
      </c>
      <c r="K58" s="27">
        <v>0</v>
      </c>
      <c r="L58" s="27">
        <v>0</v>
      </c>
      <c r="M58" s="27">
        <v>0</v>
      </c>
      <c r="N58" s="27">
        <v>0</v>
      </c>
      <c r="O58" s="27">
        <v>0</v>
      </c>
      <c r="P58" s="27">
        <v>0</v>
      </c>
      <c r="Q58" s="103">
        <f t="shared" si="12"/>
        <v>0</v>
      </c>
      <c r="S58" s="35"/>
      <c r="T58" s="40">
        <f t="shared" si="5"/>
        <v>0</v>
      </c>
    </row>
    <row r="59" spans="1:20" s="3" customFormat="1" ht="24.95" hidden="1" customHeight="1">
      <c r="A59" s="271" t="s">
        <v>542</v>
      </c>
      <c r="B59" s="51" t="s">
        <v>709</v>
      </c>
      <c r="D59" s="26" t="s">
        <v>201</v>
      </c>
      <c r="E59" s="27">
        <v>0</v>
      </c>
      <c r="F59" s="27">
        <v>0</v>
      </c>
      <c r="G59" s="27">
        <v>0</v>
      </c>
      <c r="H59" s="27">
        <v>0</v>
      </c>
      <c r="I59" s="27">
        <v>0</v>
      </c>
      <c r="J59" s="27">
        <v>0</v>
      </c>
      <c r="K59" s="27">
        <v>0</v>
      </c>
      <c r="L59" s="27">
        <v>0</v>
      </c>
      <c r="M59" s="27">
        <v>0</v>
      </c>
      <c r="N59" s="27">
        <v>0</v>
      </c>
      <c r="O59" s="27">
        <v>0</v>
      </c>
      <c r="P59" s="27">
        <v>0</v>
      </c>
      <c r="Q59" s="103">
        <f t="shared" si="12"/>
        <v>0</v>
      </c>
      <c r="S59" s="35"/>
      <c r="T59" s="40">
        <f t="shared" si="5"/>
        <v>0</v>
      </c>
    </row>
    <row r="60" spans="1:20" s="3" customFormat="1" ht="24.95" hidden="1" customHeight="1">
      <c r="A60" s="271" t="s">
        <v>544</v>
      </c>
      <c r="B60" s="51" t="s">
        <v>709</v>
      </c>
      <c r="D60" s="26" t="s">
        <v>203</v>
      </c>
      <c r="E60" s="27">
        <v>0</v>
      </c>
      <c r="F60" s="27">
        <v>0</v>
      </c>
      <c r="G60" s="27">
        <v>0</v>
      </c>
      <c r="H60" s="27">
        <v>0</v>
      </c>
      <c r="I60" s="27">
        <v>0</v>
      </c>
      <c r="J60" s="27">
        <v>0</v>
      </c>
      <c r="K60" s="27">
        <v>0</v>
      </c>
      <c r="L60" s="27">
        <v>0</v>
      </c>
      <c r="M60" s="27">
        <v>0</v>
      </c>
      <c r="N60" s="27">
        <v>0</v>
      </c>
      <c r="O60" s="27">
        <v>0</v>
      </c>
      <c r="P60" s="27">
        <v>0</v>
      </c>
      <c r="Q60" s="103">
        <f t="shared" si="12"/>
        <v>0</v>
      </c>
      <c r="S60" s="35"/>
      <c r="T60" s="40">
        <f t="shared" si="5"/>
        <v>0</v>
      </c>
    </row>
    <row r="61" spans="1:20" s="3" customFormat="1" ht="24.95" hidden="1" customHeight="1">
      <c r="A61" s="271" t="s">
        <v>546</v>
      </c>
      <c r="B61" s="51" t="s">
        <v>709</v>
      </c>
      <c r="D61" s="26" t="s">
        <v>205</v>
      </c>
      <c r="E61" s="27">
        <v>0</v>
      </c>
      <c r="F61" s="27">
        <v>0</v>
      </c>
      <c r="G61" s="27">
        <v>0</v>
      </c>
      <c r="H61" s="27">
        <v>0</v>
      </c>
      <c r="I61" s="27">
        <v>0</v>
      </c>
      <c r="J61" s="27">
        <v>0</v>
      </c>
      <c r="K61" s="27">
        <v>0</v>
      </c>
      <c r="L61" s="27">
        <v>0</v>
      </c>
      <c r="M61" s="27">
        <v>0</v>
      </c>
      <c r="N61" s="27">
        <v>0</v>
      </c>
      <c r="O61" s="27">
        <v>0</v>
      </c>
      <c r="P61" s="27">
        <v>0</v>
      </c>
      <c r="Q61" s="103">
        <f t="shared" si="12"/>
        <v>0</v>
      </c>
      <c r="S61" s="35"/>
      <c r="T61" s="40">
        <f t="shared" si="5"/>
        <v>0</v>
      </c>
    </row>
    <row r="62" spans="1:20" s="3" customFormat="1" ht="24.95" hidden="1" customHeight="1">
      <c r="A62" s="271" t="s">
        <v>548</v>
      </c>
      <c r="B62" s="51" t="s">
        <v>709</v>
      </c>
      <c r="D62" s="26" t="s">
        <v>207</v>
      </c>
      <c r="E62" s="27">
        <v>0</v>
      </c>
      <c r="F62" s="27">
        <v>0</v>
      </c>
      <c r="G62" s="27">
        <v>0</v>
      </c>
      <c r="H62" s="27">
        <v>0</v>
      </c>
      <c r="I62" s="27">
        <v>0</v>
      </c>
      <c r="J62" s="27">
        <v>0</v>
      </c>
      <c r="K62" s="27">
        <v>0</v>
      </c>
      <c r="L62" s="27">
        <v>0</v>
      </c>
      <c r="M62" s="27">
        <v>0</v>
      </c>
      <c r="N62" s="27">
        <v>0</v>
      </c>
      <c r="O62" s="27">
        <v>0</v>
      </c>
      <c r="P62" s="27">
        <v>0</v>
      </c>
      <c r="Q62" s="103">
        <f t="shared" si="12"/>
        <v>0</v>
      </c>
      <c r="S62" s="35"/>
      <c r="T62" s="40">
        <f t="shared" si="5"/>
        <v>0</v>
      </c>
    </row>
    <row r="63" spans="1:20" s="3" customFormat="1" ht="24.95" hidden="1" customHeight="1">
      <c r="A63" s="271" t="s">
        <v>550</v>
      </c>
      <c r="B63" s="51" t="s">
        <v>709</v>
      </c>
      <c r="D63" s="26" t="s">
        <v>209</v>
      </c>
      <c r="E63" s="27">
        <v>0</v>
      </c>
      <c r="F63" s="27">
        <v>0</v>
      </c>
      <c r="G63" s="27">
        <v>0</v>
      </c>
      <c r="H63" s="27">
        <v>0</v>
      </c>
      <c r="I63" s="27">
        <v>0</v>
      </c>
      <c r="J63" s="27">
        <v>0</v>
      </c>
      <c r="K63" s="27">
        <v>0</v>
      </c>
      <c r="L63" s="27">
        <v>0</v>
      </c>
      <c r="M63" s="27">
        <v>0</v>
      </c>
      <c r="N63" s="27">
        <v>0</v>
      </c>
      <c r="O63" s="27">
        <v>0</v>
      </c>
      <c r="P63" s="27">
        <v>0</v>
      </c>
      <c r="Q63" s="103">
        <f t="shared" si="12"/>
        <v>0</v>
      </c>
      <c r="S63" s="35"/>
      <c r="T63" s="40">
        <f t="shared" si="5"/>
        <v>0</v>
      </c>
    </row>
    <row r="64" spans="1:20" s="19" customFormat="1" ht="24.95" hidden="1" customHeight="1">
      <c r="A64" s="271" t="s">
        <v>552</v>
      </c>
      <c r="B64" s="51" t="s">
        <v>709</v>
      </c>
      <c r="D64" s="26" t="s">
        <v>211</v>
      </c>
      <c r="E64" s="27">
        <v>0</v>
      </c>
      <c r="F64" s="27">
        <v>0</v>
      </c>
      <c r="G64" s="27">
        <v>0</v>
      </c>
      <c r="H64" s="27">
        <v>0</v>
      </c>
      <c r="I64" s="27">
        <v>0</v>
      </c>
      <c r="J64" s="27">
        <v>0</v>
      </c>
      <c r="K64" s="27">
        <v>0</v>
      </c>
      <c r="L64" s="27">
        <v>0</v>
      </c>
      <c r="M64" s="27">
        <v>0</v>
      </c>
      <c r="N64" s="27">
        <v>0</v>
      </c>
      <c r="O64" s="27">
        <v>0</v>
      </c>
      <c r="P64" s="27">
        <v>0</v>
      </c>
      <c r="Q64" s="103">
        <f t="shared" si="12"/>
        <v>0</v>
      </c>
      <c r="R64" s="3"/>
      <c r="S64" s="35"/>
      <c r="T64" s="40">
        <f t="shared" si="5"/>
        <v>0</v>
      </c>
    </row>
    <row r="65" spans="1:20" s="19" customFormat="1" ht="24.95" hidden="1" customHeight="1">
      <c r="A65" s="271" t="s">
        <v>554</v>
      </c>
      <c r="B65" s="51" t="s">
        <v>709</v>
      </c>
      <c r="D65" s="26" t="s">
        <v>213</v>
      </c>
      <c r="E65" s="27">
        <v>0</v>
      </c>
      <c r="F65" s="27">
        <v>0</v>
      </c>
      <c r="G65" s="27">
        <v>0</v>
      </c>
      <c r="H65" s="27">
        <v>0</v>
      </c>
      <c r="I65" s="27">
        <v>0</v>
      </c>
      <c r="J65" s="27">
        <v>0</v>
      </c>
      <c r="K65" s="27">
        <v>0</v>
      </c>
      <c r="L65" s="27">
        <v>0</v>
      </c>
      <c r="M65" s="27">
        <v>0</v>
      </c>
      <c r="N65" s="27">
        <v>0</v>
      </c>
      <c r="O65" s="27">
        <v>0</v>
      </c>
      <c r="P65" s="27">
        <v>0</v>
      </c>
      <c r="Q65" s="103">
        <f t="shared" si="12"/>
        <v>0</v>
      </c>
      <c r="R65" s="3"/>
      <c r="S65" s="35"/>
      <c r="T65" s="40">
        <f t="shared" si="5"/>
        <v>0</v>
      </c>
    </row>
    <row r="66" spans="1:20" s="3" customFormat="1" ht="24.95" hidden="1" customHeight="1">
      <c r="A66" s="3" t="s">
        <v>556</v>
      </c>
      <c r="B66" s="51" t="s">
        <v>709</v>
      </c>
      <c r="D66" s="26" t="s">
        <v>215</v>
      </c>
      <c r="E66" s="27">
        <v>0</v>
      </c>
      <c r="F66" s="27">
        <v>0</v>
      </c>
      <c r="G66" s="27">
        <v>0</v>
      </c>
      <c r="H66" s="27">
        <v>0</v>
      </c>
      <c r="I66" s="27">
        <v>0</v>
      </c>
      <c r="J66" s="27">
        <v>0</v>
      </c>
      <c r="K66" s="27">
        <v>0</v>
      </c>
      <c r="L66" s="27">
        <v>0</v>
      </c>
      <c r="M66" s="27">
        <v>0</v>
      </c>
      <c r="N66" s="27">
        <v>0</v>
      </c>
      <c r="O66" s="27">
        <v>0</v>
      </c>
      <c r="P66" s="27">
        <v>0</v>
      </c>
      <c r="Q66" s="103">
        <f t="shared" si="12"/>
        <v>0</v>
      </c>
      <c r="S66" s="35"/>
      <c r="T66" s="40">
        <f t="shared" si="5"/>
        <v>0</v>
      </c>
    </row>
    <row r="67" spans="1:20" s="3" customFormat="1" ht="24.95" hidden="1" customHeight="1">
      <c r="A67" s="3" t="s">
        <v>558</v>
      </c>
      <c r="B67" s="51" t="s">
        <v>709</v>
      </c>
      <c r="D67" s="26" t="s">
        <v>217</v>
      </c>
      <c r="E67" s="27">
        <v>0</v>
      </c>
      <c r="F67" s="27">
        <v>0</v>
      </c>
      <c r="G67" s="27">
        <v>0</v>
      </c>
      <c r="H67" s="27">
        <v>0</v>
      </c>
      <c r="I67" s="27">
        <v>0</v>
      </c>
      <c r="J67" s="27">
        <v>0</v>
      </c>
      <c r="K67" s="27">
        <v>0</v>
      </c>
      <c r="L67" s="27">
        <v>0</v>
      </c>
      <c r="M67" s="27">
        <v>0</v>
      </c>
      <c r="N67" s="27">
        <v>0</v>
      </c>
      <c r="O67" s="27">
        <v>0</v>
      </c>
      <c r="P67" s="27">
        <v>0</v>
      </c>
      <c r="Q67" s="103">
        <f t="shared" si="12"/>
        <v>0</v>
      </c>
      <c r="S67" s="35"/>
      <c r="T67" s="40">
        <f t="shared" si="5"/>
        <v>0</v>
      </c>
    </row>
    <row r="68" spans="1:20" s="3" customFormat="1" ht="24.95" hidden="1" customHeight="1">
      <c r="A68" s="3" t="s">
        <v>560</v>
      </c>
      <c r="B68" s="51" t="s">
        <v>709</v>
      </c>
      <c r="D68" s="26" t="s">
        <v>219</v>
      </c>
      <c r="E68" s="27">
        <v>0</v>
      </c>
      <c r="F68" s="27">
        <v>0</v>
      </c>
      <c r="G68" s="27">
        <v>0</v>
      </c>
      <c r="H68" s="27">
        <v>0</v>
      </c>
      <c r="I68" s="27">
        <v>0</v>
      </c>
      <c r="J68" s="27">
        <v>0</v>
      </c>
      <c r="K68" s="27">
        <v>0</v>
      </c>
      <c r="L68" s="27">
        <v>0</v>
      </c>
      <c r="M68" s="27">
        <v>0</v>
      </c>
      <c r="N68" s="27">
        <v>0</v>
      </c>
      <c r="O68" s="27">
        <v>0</v>
      </c>
      <c r="P68" s="27">
        <v>0</v>
      </c>
      <c r="Q68" s="103">
        <f t="shared" si="12"/>
        <v>0</v>
      </c>
      <c r="S68" s="35"/>
      <c r="T68" s="40">
        <f t="shared" si="5"/>
        <v>0</v>
      </c>
    </row>
    <row r="69" spans="1:20" s="3" customFormat="1" ht="24.95" hidden="1" customHeight="1">
      <c r="A69" s="3" t="s">
        <v>562</v>
      </c>
      <c r="B69" s="51" t="s">
        <v>709</v>
      </c>
      <c r="D69" s="26" t="s">
        <v>221</v>
      </c>
      <c r="E69" s="27">
        <v>0</v>
      </c>
      <c r="F69" s="27">
        <v>0</v>
      </c>
      <c r="G69" s="27">
        <v>0</v>
      </c>
      <c r="H69" s="27">
        <v>0</v>
      </c>
      <c r="I69" s="27">
        <v>0</v>
      </c>
      <c r="J69" s="27">
        <v>0</v>
      </c>
      <c r="K69" s="27">
        <v>0</v>
      </c>
      <c r="L69" s="27">
        <v>0</v>
      </c>
      <c r="M69" s="27">
        <v>0</v>
      </c>
      <c r="N69" s="27">
        <v>0</v>
      </c>
      <c r="O69" s="27">
        <v>0</v>
      </c>
      <c r="P69" s="27">
        <v>0</v>
      </c>
      <c r="Q69" s="103">
        <f t="shared" si="12"/>
        <v>0</v>
      </c>
      <c r="S69" s="35"/>
      <c r="T69" s="40">
        <f t="shared" si="5"/>
        <v>0</v>
      </c>
    </row>
    <row r="70" spans="1:20" s="3" customFormat="1" ht="24.95" hidden="1" customHeight="1">
      <c r="A70" s="3" t="s">
        <v>564</v>
      </c>
      <c r="B70" s="51" t="s">
        <v>709</v>
      </c>
      <c r="D70" s="26" t="s">
        <v>223</v>
      </c>
      <c r="E70" s="27">
        <v>0</v>
      </c>
      <c r="F70" s="27">
        <v>0</v>
      </c>
      <c r="G70" s="27">
        <v>0</v>
      </c>
      <c r="H70" s="27">
        <v>0</v>
      </c>
      <c r="I70" s="27">
        <v>0</v>
      </c>
      <c r="J70" s="27">
        <v>0</v>
      </c>
      <c r="K70" s="27">
        <v>0</v>
      </c>
      <c r="L70" s="27">
        <v>0</v>
      </c>
      <c r="M70" s="27">
        <v>0</v>
      </c>
      <c r="N70" s="27">
        <v>0</v>
      </c>
      <c r="O70" s="27">
        <v>0</v>
      </c>
      <c r="P70" s="27">
        <v>0</v>
      </c>
      <c r="Q70" s="103">
        <f t="shared" si="12"/>
        <v>0</v>
      </c>
      <c r="S70" s="35"/>
      <c r="T70" s="40">
        <f t="shared" si="5"/>
        <v>0</v>
      </c>
    </row>
    <row r="71" spans="1:20" s="3" customFormat="1" ht="24.95" hidden="1" customHeight="1">
      <c r="A71" s="3" t="s">
        <v>566</v>
      </c>
      <c r="B71" s="51" t="s">
        <v>709</v>
      </c>
      <c r="D71" s="26" t="s">
        <v>225</v>
      </c>
      <c r="E71" s="27">
        <v>0</v>
      </c>
      <c r="F71" s="27">
        <v>0</v>
      </c>
      <c r="G71" s="27">
        <v>0</v>
      </c>
      <c r="H71" s="27">
        <v>0</v>
      </c>
      <c r="I71" s="27">
        <v>0</v>
      </c>
      <c r="J71" s="27">
        <v>0</v>
      </c>
      <c r="K71" s="27">
        <v>0</v>
      </c>
      <c r="L71" s="27">
        <v>0</v>
      </c>
      <c r="M71" s="27">
        <v>0</v>
      </c>
      <c r="N71" s="27">
        <v>0</v>
      </c>
      <c r="O71" s="27">
        <v>0</v>
      </c>
      <c r="P71" s="27">
        <v>0</v>
      </c>
      <c r="Q71" s="103">
        <f t="shared" si="12"/>
        <v>0</v>
      </c>
      <c r="S71" s="35"/>
      <c r="T71" s="40">
        <f t="shared" si="5"/>
        <v>0</v>
      </c>
    </row>
    <row r="72" spans="1:20" s="3" customFormat="1" ht="24.95" customHeight="1">
      <c r="A72" s="3" t="s">
        <v>568</v>
      </c>
      <c r="B72" s="51" t="s">
        <v>709</v>
      </c>
      <c r="D72" s="26" t="s">
        <v>227</v>
      </c>
      <c r="E72" s="27"/>
      <c r="F72" s="27"/>
      <c r="G72" s="27"/>
      <c r="H72" s="27"/>
      <c r="I72" s="27"/>
      <c r="J72" s="27"/>
      <c r="K72" s="27"/>
      <c r="L72" s="27"/>
      <c r="M72" s="27"/>
      <c r="N72" s="27"/>
      <c r="O72" s="27"/>
      <c r="P72" s="27"/>
      <c r="Q72" s="103">
        <f t="shared" si="12"/>
        <v>0</v>
      </c>
      <c r="R72" s="39">
        <f t="shared" ref="R72:R75" si="13">IF($Q$17=0,0,Q72/$Q$17)</f>
        <v>0</v>
      </c>
      <c r="S72" s="35"/>
      <c r="T72" s="40">
        <f t="shared" si="5"/>
        <v>0</v>
      </c>
    </row>
    <row r="73" spans="1:20" s="3" customFormat="1" ht="24.95" customHeight="1">
      <c r="A73" s="3" t="s">
        <v>570</v>
      </c>
      <c r="B73" s="51" t="s">
        <v>709</v>
      </c>
      <c r="D73" s="26" t="s">
        <v>229</v>
      </c>
      <c r="E73" s="27"/>
      <c r="F73" s="27"/>
      <c r="G73" s="27"/>
      <c r="H73" s="27"/>
      <c r="I73" s="27"/>
      <c r="J73" s="27"/>
      <c r="K73" s="27"/>
      <c r="L73" s="27"/>
      <c r="M73" s="27"/>
      <c r="N73" s="27"/>
      <c r="O73" s="27"/>
      <c r="P73" s="27"/>
      <c r="Q73" s="103">
        <f t="shared" si="12"/>
        <v>0</v>
      </c>
      <c r="R73" s="39">
        <f t="shared" si="13"/>
        <v>0</v>
      </c>
      <c r="S73" s="35"/>
      <c r="T73" s="40">
        <f t="shared" si="5"/>
        <v>0</v>
      </c>
    </row>
    <row r="74" spans="1:20" s="3" customFormat="1" ht="24.95" customHeight="1">
      <c r="A74" s="271" t="s">
        <v>572</v>
      </c>
      <c r="B74" s="51" t="s">
        <v>709</v>
      </c>
      <c r="D74" s="26" t="s">
        <v>231</v>
      </c>
      <c r="E74" s="27"/>
      <c r="F74" s="27"/>
      <c r="G74" s="27"/>
      <c r="H74" s="27"/>
      <c r="I74" s="27"/>
      <c r="J74" s="27"/>
      <c r="K74" s="27"/>
      <c r="L74" s="27"/>
      <c r="M74" s="27"/>
      <c r="N74" s="27"/>
      <c r="O74" s="27"/>
      <c r="P74" s="27"/>
      <c r="Q74" s="103">
        <f t="shared" si="12"/>
        <v>0</v>
      </c>
      <c r="R74" s="39">
        <f t="shared" si="13"/>
        <v>0</v>
      </c>
      <c r="S74" s="35"/>
      <c r="T74" s="40">
        <f t="shared" si="5"/>
        <v>0</v>
      </c>
    </row>
    <row r="75" spans="1:20" s="3" customFormat="1" ht="24.95" customHeight="1">
      <c r="A75" s="271" t="s">
        <v>574</v>
      </c>
      <c r="B75" s="51" t="s">
        <v>709</v>
      </c>
      <c r="D75" s="26" t="s">
        <v>233</v>
      </c>
      <c r="E75" s="27"/>
      <c r="F75" s="27"/>
      <c r="G75" s="27"/>
      <c r="H75" s="27"/>
      <c r="I75" s="27"/>
      <c r="J75" s="27"/>
      <c r="K75" s="27"/>
      <c r="L75" s="27"/>
      <c r="M75" s="27"/>
      <c r="N75" s="27"/>
      <c r="O75" s="27"/>
      <c r="P75" s="27"/>
      <c r="Q75" s="103">
        <f t="shared" si="12"/>
        <v>0</v>
      </c>
      <c r="R75" s="39">
        <f t="shared" si="13"/>
        <v>0</v>
      </c>
      <c r="S75" s="35"/>
      <c r="T75" s="40">
        <f t="shared" si="5"/>
        <v>0</v>
      </c>
    </row>
    <row r="76" spans="1:20" s="3" customFormat="1" ht="24.95" customHeight="1">
      <c r="A76" s="271" t="s">
        <v>434</v>
      </c>
      <c r="B76" s="51" t="s">
        <v>709</v>
      </c>
      <c r="D76" s="26" t="s">
        <v>435</v>
      </c>
      <c r="E76" s="97"/>
      <c r="F76" s="97"/>
      <c r="G76" s="97"/>
      <c r="H76" s="97"/>
      <c r="I76" s="97"/>
      <c r="J76" s="97"/>
      <c r="K76" s="97"/>
      <c r="L76" s="97"/>
      <c r="M76" s="97"/>
      <c r="N76" s="97"/>
      <c r="O76" s="97"/>
      <c r="P76" s="97"/>
      <c r="Q76" s="103">
        <f t="shared" si="12"/>
        <v>0</v>
      </c>
      <c r="R76" s="39">
        <f>IF($Q$17=0,0,Q76/$Q$17)</f>
        <v>0</v>
      </c>
      <c r="S76" s="35"/>
      <c r="T76" s="40">
        <f>-IF(Q76-S76=0,0,(Q76-S76)/S76)</f>
        <v>0</v>
      </c>
    </row>
    <row r="77" spans="1:20" ht="26.25" hidden="1" customHeight="1">
      <c r="A77" s="5" t="s">
        <v>576</v>
      </c>
      <c r="B77" s="5" t="s">
        <v>709</v>
      </c>
      <c r="D77" s="26" t="s">
        <v>235</v>
      </c>
      <c r="E77" s="27"/>
      <c r="F77" s="27"/>
      <c r="G77" s="27"/>
      <c r="H77" s="27"/>
      <c r="I77" s="27"/>
      <c r="J77" s="27"/>
      <c r="K77" s="27"/>
      <c r="L77" s="27"/>
      <c r="M77" s="27"/>
      <c r="N77" s="27"/>
      <c r="O77" s="27"/>
      <c r="P77" s="27"/>
      <c r="Q77" s="103">
        <f t="shared" si="12"/>
        <v>0</v>
      </c>
      <c r="R77" s="39">
        <f t="shared" ref="R77:R98" si="14">IF($Q$17=0,0,Q77/$Q$17)</f>
        <v>0</v>
      </c>
      <c r="S77" s="35"/>
      <c r="T77" s="40">
        <f t="shared" ref="T77:T97" si="15">-IF(Q77-S77=0,0,(Q77-S77)/S77)</f>
        <v>0</v>
      </c>
    </row>
    <row r="78" spans="1:20" ht="26.25" hidden="1" customHeight="1">
      <c r="A78" s="5" t="s">
        <v>578</v>
      </c>
      <c r="B78" s="5" t="s">
        <v>709</v>
      </c>
      <c r="D78" s="26" t="s">
        <v>237</v>
      </c>
      <c r="E78" s="27"/>
      <c r="F78" s="27"/>
      <c r="G78" s="27"/>
      <c r="H78" s="27"/>
      <c r="I78" s="27"/>
      <c r="J78" s="27"/>
      <c r="K78" s="27"/>
      <c r="L78" s="27"/>
      <c r="M78" s="27"/>
      <c r="N78" s="27"/>
      <c r="O78" s="27"/>
      <c r="P78" s="27"/>
      <c r="Q78" s="103">
        <f t="shared" si="12"/>
        <v>0</v>
      </c>
      <c r="R78" s="39">
        <f t="shared" si="14"/>
        <v>0</v>
      </c>
      <c r="S78" s="35"/>
      <c r="T78" s="40">
        <f t="shared" si="15"/>
        <v>0</v>
      </c>
    </row>
    <row r="79" spans="1:20" ht="26.25" hidden="1" customHeight="1">
      <c r="A79" s="5" t="s">
        <v>580</v>
      </c>
      <c r="B79" s="5" t="s">
        <v>709</v>
      </c>
      <c r="D79" s="26" t="s">
        <v>239</v>
      </c>
      <c r="E79" s="27"/>
      <c r="F79" s="27"/>
      <c r="G79" s="27"/>
      <c r="H79" s="27"/>
      <c r="I79" s="27"/>
      <c r="J79" s="27"/>
      <c r="K79" s="27"/>
      <c r="L79" s="27"/>
      <c r="M79" s="27"/>
      <c r="N79" s="27"/>
      <c r="O79" s="27"/>
      <c r="P79" s="27"/>
      <c r="Q79" s="103">
        <f t="shared" si="12"/>
        <v>0</v>
      </c>
      <c r="R79" s="39">
        <f t="shared" si="14"/>
        <v>0</v>
      </c>
      <c r="S79" s="35"/>
      <c r="T79" s="40">
        <f t="shared" si="15"/>
        <v>0</v>
      </c>
    </row>
    <row r="80" spans="1:20" ht="26.25" hidden="1" customHeight="1">
      <c r="A80" s="5" t="s">
        <v>582</v>
      </c>
      <c r="B80" s="5" t="s">
        <v>709</v>
      </c>
      <c r="D80" s="26" t="s">
        <v>241</v>
      </c>
      <c r="E80" s="27"/>
      <c r="F80" s="27"/>
      <c r="G80" s="27"/>
      <c r="H80" s="27"/>
      <c r="I80" s="27"/>
      <c r="J80" s="27"/>
      <c r="K80" s="27"/>
      <c r="L80" s="27"/>
      <c r="M80" s="27"/>
      <c r="N80" s="27"/>
      <c r="O80" s="27"/>
      <c r="P80" s="27"/>
      <c r="Q80" s="103">
        <f t="shared" si="12"/>
        <v>0</v>
      </c>
      <c r="R80" s="39">
        <f t="shared" si="14"/>
        <v>0</v>
      </c>
      <c r="S80" s="35"/>
      <c r="T80" s="40">
        <f t="shared" si="15"/>
        <v>0</v>
      </c>
    </row>
    <row r="81" spans="1:20" ht="26.25" hidden="1" customHeight="1">
      <c r="A81" s="5" t="s">
        <v>584</v>
      </c>
      <c r="B81" s="5" t="s">
        <v>709</v>
      </c>
      <c r="D81" s="26" t="s">
        <v>243</v>
      </c>
      <c r="E81" s="27"/>
      <c r="F81" s="27"/>
      <c r="G81" s="27"/>
      <c r="H81" s="27"/>
      <c r="I81" s="27"/>
      <c r="J81" s="27"/>
      <c r="K81" s="27"/>
      <c r="L81" s="27"/>
      <c r="M81" s="27"/>
      <c r="N81" s="27"/>
      <c r="O81" s="27"/>
      <c r="P81" s="27"/>
      <c r="Q81" s="103">
        <f t="shared" si="12"/>
        <v>0</v>
      </c>
      <c r="R81" s="39">
        <f t="shared" si="14"/>
        <v>0</v>
      </c>
      <c r="S81" s="35"/>
      <c r="T81" s="40">
        <f t="shared" si="15"/>
        <v>0</v>
      </c>
    </row>
    <row r="82" spans="1:20" ht="26.25" hidden="1" customHeight="1">
      <c r="A82" s="5" t="s">
        <v>586</v>
      </c>
      <c r="B82" s="5" t="s">
        <v>709</v>
      </c>
      <c r="D82" s="26" t="s">
        <v>245</v>
      </c>
      <c r="E82" s="27"/>
      <c r="F82" s="27"/>
      <c r="G82" s="27"/>
      <c r="H82" s="27"/>
      <c r="I82" s="27"/>
      <c r="J82" s="27"/>
      <c r="K82" s="27"/>
      <c r="L82" s="27"/>
      <c r="M82" s="27"/>
      <c r="N82" s="27"/>
      <c r="O82" s="27"/>
      <c r="P82" s="27"/>
      <c r="Q82" s="103">
        <f t="shared" si="12"/>
        <v>0</v>
      </c>
      <c r="R82" s="39">
        <f t="shared" si="14"/>
        <v>0</v>
      </c>
      <c r="S82" s="35"/>
      <c r="T82" s="40">
        <f t="shared" si="15"/>
        <v>0</v>
      </c>
    </row>
    <row r="83" spans="1:20" ht="26.25" hidden="1" customHeight="1">
      <c r="A83" s="5" t="s">
        <v>588</v>
      </c>
      <c r="B83" s="5" t="s">
        <v>709</v>
      </c>
      <c r="D83" s="26" t="s">
        <v>247</v>
      </c>
      <c r="E83" s="27"/>
      <c r="F83" s="27"/>
      <c r="G83" s="27"/>
      <c r="H83" s="27"/>
      <c r="I83" s="27"/>
      <c r="J83" s="27"/>
      <c r="K83" s="27"/>
      <c r="L83" s="27"/>
      <c r="M83" s="27"/>
      <c r="N83" s="27"/>
      <c r="O83" s="27"/>
      <c r="P83" s="27"/>
      <c r="Q83" s="103">
        <f t="shared" si="12"/>
        <v>0</v>
      </c>
      <c r="R83" s="39">
        <f t="shared" si="14"/>
        <v>0</v>
      </c>
      <c r="S83" s="35"/>
      <c r="T83" s="40">
        <f t="shared" si="15"/>
        <v>0</v>
      </c>
    </row>
    <row r="84" spans="1:20" ht="26.25" hidden="1" customHeight="1">
      <c r="A84" s="5" t="s">
        <v>590</v>
      </c>
      <c r="B84" s="5" t="s">
        <v>709</v>
      </c>
      <c r="D84" s="26" t="s">
        <v>249</v>
      </c>
      <c r="E84" s="27"/>
      <c r="F84" s="27"/>
      <c r="G84" s="27"/>
      <c r="H84" s="27"/>
      <c r="I84" s="27"/>
      <c r="J84" s="27"/>
      <c r="K84" s="27"/>
      <c r="L84" s="27"/>
      <c r="M84" s="27"/>
      <c r="N84" s="27"/>
      <c r="O84" s="27"/>
      <c r="P84" s="27"/>
      <c r="Q84" s="103">
        <f t="shared" si="12"/>
        <v>0</v>
      </c>
      <c r="R84" s="39">
        <f t="shared" si="14"/>
        <v>0</v>
      </c>
      <c r="S84" s="35"/>
      <c r="T84" s="40">
        <f t="shared" si="15"/>
        <v>0</v>
      </c>
    </row>
    <row r="85" spans="1:20" ht="26.25" hidden="1" customHeight="1">
      <c r="A85" s="5" t="s">
        <v>592</v>
      </c>
      <c r="B85" s="5" t="s">
        <v>709</v>
      </c>
      <c r="D85" s="26" t="s">
        <v>251</v>
      </c>
      <c r="E85" s="27"/>
      <c r="F85" s="27"/>
      <c r="G85" s="27"/>
      <c r="H85" s="27"/>
      <c r="I85" s="27"/>
      <c r="J85" s="27"/>
      <c r="K85" s="27"/>
      <c r="L85" s="27"/>
      <c r="M85" s="27"/>
      <c r="N85" s="27"/>
      <c r="O85" s="27"/>
      <c r="P85" s="27"/>
      <c r="Q85" s="103">
        <f t="shared" si="12"/>
        <v>0</v>
      </c>
      <c r="R85" s="39">
        <f t="shared" si="14"/>
        <v>0</v>
      </c>
      <c r="S85" s="35"/>
      <c r="T85" s="40">
        <f t="shared" si="15"/>
        <v>0</v>
      </c>
    </row>
    <row r="86" spans="1:20" ht="26.25" hidden="1" customHeight="1">
      <c r="A86" s="5" t="s">
        <v>594</v>
      </c>
      <c r="B86" s="5" t="s">
        <v>709</v>
      </c>
      <c r="D86" s="26" t="s">
        <v>253</v>
      </c>
      <c r="E86" s="27"/>
      <c r="F86" s="27"/>
      <c r="G86" s="27"/>
      <c r="H86" s="27"/>
      <c r="I86" s="27"/>
      <c r="J86" s="27"/>
      <c r="K86" s="27"/>
      <c r="L86" s="27"/>
      <c r="M86" s="27"/>
      <c r="N86" s="27"/>
      <c r="O86" s="27"/>
      <c r="P86" s="27"/>
      <c r="Q86" s="103">
        <f t="shared" si="12"/>
        <v>0</v>
      </c>
      <c r="R86" s="39">
        <f t="shared" si="14"/>
        <v>0</v>
      </c>
      <c r="S86" s="35"/>
      <c r="T86" s="40">
        <f t="shared" si="15"/>
        <v>0</v>
      </c>
    </row>
    <row r="87" spans="1:20" ht="26.25" hidden="1" customHeight="1">
      <c r="A87" s="5" t="s">
        <v>596</v>
      </c>
      <c r="B87" s="5" t="s">
        <v>709</v>
      </c>
      <c r="D87" s="26" t="s">
        <v>255</v>
      </c>
      <c r="E87" s="27"/>
      <c r="F87" s="27"/>
      <c r="G87" s="27"/>
      <c r="H87" s="27"/>
      <c r="I87" s="27"/>
      <c r="J87" s="27"/>
      <c r="K87" s="27"/>
      <c r="L87" s="27"/>
      <c r="M87" s="27"/>
      <c r="N87" s="27"/>
      <c r="O87" s="27"/>
      <c r="P87" s="27"/>
      <c r="Q87" s="103">
        <f t="shared" si="12"/>
        <v>0</v>
      </c>
      <c r="R87" s="39">
        <f t="shared" si="14"/>
        <v>0</v>
      </c>
      <c r="S87" s="35"/>
      <c r="T87" s="40">
        <f t="shared" si="15"/>
        <v>0</v>
      </c>
    </row>
    <row r="88" spans="1:20" ht="26.25" hidden="1" customHeight="1">
      <c r="A88" s="5" t="s">
        <v>598</v>
      </c>
      <c r="B88" s="5" t="s">
        <v>709</v>
      </c>
      <c r="D88" s="26" t="s">
        <v>257</v>
      </c>
      <c r="E88" s="27"/>
      <c r="F88" s="27"/>
      <c r="G88" s="27"/>
      <c r="H88" s="27"/>
      <c r="I88" s="27"/>
      <c r="J88" s="27"/>
      <c r="K88" s="27"/>
      <c r="L88" s="27"/>
      <c r="M88" s="27"/>
      <c r="N88" s="27"/>
      <c r="O88" s="27"/>
      <c r="P88" s="27"/>
      <c r="Q88" s="103">
        <f t="shared" si="12"/>
        <v>0</v>
      </c>
      <c r="R88" s="39">
        <f t="shared" si="14"/>
        <v>0</v>
      </c>
      <c r="S88" s="35"/>
      <c r="T88" s="40">
        <f t="shared" si="15"/>
        <v>0</v>
      </c>
    </row>
    <row r="89" spans="1:20" ht="26.25" hidden="1" customHeight="1">
      <c r="A89" s="5" t="s">
        <v>600</v>
      </c>
      <c r="B89" s="5" t="s">
        <v>709</v>
      </c>
      <c r="D89" s="26" t="s">
        <v>259</v>
      </c>
      <c r="E89" s="27"/>
      <c r="F89" s="27"/>
      <c r="G89" s="27"/>
      <c r="H89" s="27"/>
      <c r="I89" s="27"/>
      <c r="J89" s="27"/>
      <c r="K89" s="27"/>
      <c r="L89" s="27"/>
      <c r="M89" s="27"/>
      <c r="N89" s="27"/>
      <c r="O89" s="27"/>
      <c r="P89" s="27"/>
      <c r="Q89" s="103">
        <f t="shared" si="12"/>
        <v>0</v>
      </c>
      <c r="R89" s="39">
        <f t="shared" si="14"/>
        <v>0</v>
      </c>
      <c r="S89" s="35"/>
      <c r="T89" s="40">
        <f t="shared" si="15"/>
        <v>0</v>
      </c>
    </row>
    <row r="90" spans="1:20" ht="26.25" hidden="1" customHeight="1">
      <c r="A90" s="5" t="s">
        <v>602</v>
      </c>
      <c r="B90" s="5" t="s">
        <v>709</v>
      </c>
      <c r="D90" s="26" t="s">
        <v>261</v>
      </c>
      <c r="E90" s="27"/>
      <c r="F90" s="27"/>
      <c r="G90" s="27"/>
      <c r="H90" s="27"/>
      <c r="I90" s="27"/>
      <c r="J90" s="27"/>
      <c r="K90" s="27"/>
      <c r="L90" s="27"/>
      <c r="M90" s="27"/>
      <c r="N90" s="27"/>
      <c r="O90" s="27"/>
      <c r="P90" s="27"/>
      <c r="Q90" s="103">
        <f t="shared" si="12"/>
        <v>0</v>
      </c>
      <c r="R90" s="39">
        <f t="shared" si="14"/>
        <v>0</v>
      </c>
      <c r="S90" s="35"/>
      <c r="T90" s="40">
        <f t="shared" si="15"/>
        <v>0</v>
      </c>
    </row>
    <row r="91" spans="1:20" ht="26.25" hidden="1" customHeight="1">
      <c r="A91" s="5" t="s">
        <v>604</v>
      </c>
      <c r="B91" s="5" t="s">
        <v>709</v>
      </c>
      <c r="D91" s="26" t="s">
        <v>263</v>
      </c>
      <c r="E91" s="27"/>
      <c r="F91" s="27"/>
      <c r="G91" s="27"/>
      <c r="H91" s="27"/>
      <c r="I91" s="27"/>
      <c r="J91" s="27"/>
      <c r="K91" s="27"/>
      <c r="L91" s="27"/>
      <c r="M91" s="27"/>
      <c r="N91" s="27"/>
      <c r="O91" s="27"/>
      <c r="P91" s="27"/>
      <c r="Q91" s="103">
        <f t="shared" si="12"/>
        <v>0</v>
      </c>
      <c r="R91" s="39">
        <f t="shared" si="14"/>
        <v>0</v>
      </c>
      <c r="S91" s="35"/>
      <c r="T91" s="40">
        <f t="shared" si="15"/>
        <v>0</v>
      </c>
    </row>
    <row r="92" spans="1:20" ht="26.25" hidden="1" customHeight="1">
      <c r="A92" s="5" t="s">
        <v>606</v>
      </c>
      <c r="B92" s="5" t="s">
        <v>709</v>
      </c>
      <c r="D92" s="26" t="s">
        <v>265</v>
      </c>
      <c r="E92" s="27"/>
      <c r="F92" s="27"/>
      <c r="G92" s="27"/>
      <c r="H92" s="27"/>
      <c r="I92" s="27"/>
      <c r="J92" s="27"/>
      <c r="K92" s="27"/>
      <c r="L92" s="27"/>
      <c r="M92" s="27"/>
      <c r="N92" s="27"/>
      <c r="O92" s="27"/>
      <c r="P92" s="27"/>
      <c r="Q92" s="103">
        <f t="shared" si="12"/>
        <v>0</v>
      </c>
      <c r="R92" s="39">
        <f t="shared" si="14"/>
        <v>0</v>
      </c>
      <c r="S92" s="35"/>
      <c r="T92" s="40">
        <f t="shared" si="15"/>
        <v>0</v>
      </c>
    </row>
    <row r="93" spans="1:20" ht="26.25" hidden="1" customHeight="1">
      <c r="A93" s="5" t="s">
        <v>608</v>
      </c>
      <c r="B93" s="5" t="s">
        <v>709</v>
      </c>
      <c r="D93" s="26" t="s">
        <v>267</v>
      </c>
      <c r="E93" s="27"/>
      <c r="F93" s="27"/>
      <c r="G93" s="27"/>
      <c r="H93" s="27"/>
      <c r="I93" s="27"/>
      <c r="J93" s="27"/>
      <c r="K93" s="27"/>
      <c r="L93" s="27"/>
      <c r="M93" s="27"/>
      <c r="N93" s="27"/>
      <c r="O93" s="27"/>
      <c r="P93" s="27"/>
      <c r="Q93" s="103">
        <f t="shared" si="12"/>
        <v>0</v>
      </c>
      <c r="R93" s="39">
        <f t="shared" si="14"/>
        <v>0</v>
      </c>
      <c r="S93" s="35"/>
      <c r="T93" s="40">
        <f t="shared" si="15"/>
        <v>0</v>
      </c>
    </row>
    <row r="94" spans="1:20" ht="26.25" hidden="1" customHeight="1">
      <c r="A94" s="5" t="s">
        <v>268</v>
      </c>
      <c r="B94" s="5" t="s">
        <v>709</v>
      </c>
      <c r="D94" s="26" t="s">
        <v>269</v>
      </c>
      <c r="E94" s="27"/>
      <c r="F94" s="27"/>
      <c r="G94" s="27"/>
      <c r="H94" s="27"/>
      <c r="I94" s="27"/>
      <c r="J94" s="27"/>
      <c r="K94" s="27"/>
      <c r="L94" s="27"/>
      <c r="M94" s="27"/>
      <c r="N94" s="27"/>
      <c r="O94" s="27"/>
      <c r="P94" s="27"/>
      <c r="Q94" s="103">
        <f>SUM(E94:P94)</f>
        <v>0</v>
      </c>
      <c r="R94" s="39">
        <f t="shared" si="14"/>
        <v>0</v>
      </c>
      <c r="S94" s="35"/>
      <c r="T94" s="40">
        <f t="shared" si="15"/>
        <v>0</v>
      </c>
    </row>
    <row r="95" spans="1:20" ht="26.25" hidden="1" customHeight="1">
      <c r="A95" s="5" t="s">
        <v>270</v>
      </c>
      <c r="B95" s="5" t="s">
        <v>709</v>
      </c>
      <c r="D95" s="26" t="s">
        <v>271</v>
      </c>
      <c r="E95" s="27"/>
      <c r="F95" s="27"/>
      <c r="G95" s="27"/>
      <c r="H95" s="27"/>
      <c r="I95" s="27"/>
      <c r="J95" s="27"/>
      <c r="K95" s="27"/>
      <c r="L95" s="27"/>
      <c r="M95" s="27"/>
      <c r="N95" s="27"/>
      <c r="O95" s="27"/>
      <c r="P95" s="27"/>
      <c r="Q95" s="103">
        <f>SUM(E95:P95)</f>
        <v>0</v>
      </c>
      <c r="R95" s="39">
        <f t="shared" si="14"/>
        <v>0</v>
      </c>
      <c r="S95" s="35"/>
      <c r="T95" s="40">
        <f t="shared" si="15"/>
        <v>0</v>
      </c>
    </row>
    <row r="96" spans="1:20" ht="26.25" customHeight="1">
      <c r="A96" s="5" t="s">
        <v>611</v>
      </c>
      <c r="B96" s="5" t="s">
        <v>709</v>
      </c>
      <c r="D96" s="26" t="s">
        <v>273</v>
      </c>
      <c r="E96" s="27"/>
      <c r="F96" s="27"/>
      <c r="G96" s="27"/>
      <c r="H96" s="27"/>
      <c r="I96" s="27"/>
      <c r="J96" s="27"/>
      <c r="K96" s="27"/>
      <c r="L96" s="27"/>
      <c r="M96" s="27"/>
      <c r="N96" s="27"/>
      <c r="O96" s="27"/>
      <c r="P96" s="27"/>
      <c r="Q96" s="103">
        <f>SUM(E96:P96)</f>
        <v>0</v>
      </c>
      <c r="R96" s="39">
        <f t="shared" si="14"/>
        <v>0</v>
      </c>
      <c r="S96" s="35"/>
      <c r="T96" s="40">
        <f t="shared" si="15"/>
        <v>0</v>
      </c>
    </row>
    <row r="97" spans="1:23" ht="26.25" customHeight="1">
      <c r="D97" s="21" t="s">
        <v>774</v>
      </c>
      <c r="E97" s="98">
        <f>SUM(E29:E96)</f>
        <v>0</v>
      </c>
      <c r="F97" s="98">
        <f t="shared" ref="F97:Q97" si="16">SUM(F29:F96)</f>
        <v>0</v>
      </c>
      <c r="G97" s="98">
        <f t="shared" si="16"/>
        <v>0</v>
      </c>
      <c r="H97" s="98">
        <f t="shared" si="16"/>
        <v>0</v>
      </c>
      <c r="I97" s="98">
        <f t="shared" si="16"/>
        <v>0</v>
      </c>
      <c r="J97" s="98">
        <f t="shared" si="16"/>
        <v>0</v>
      </c>
      <c r="K97" s="98">
        <f t="shared" si="16"/>
        <v>0</v>
      </c>
      <c r="L97" s="98">
        <f t="shared" si="16"/>
        <v>0</v>
      </c>
      <c r="M97" s="98">
        <f t="shared" si="16"/>
        <v>0</v>
      </c>
      <c r="N97" s="98">
        <f t="shared" si="16"/>
        <v>0</v>
      </c>
      <c r="O97" s="98">
        <f t="shared" si="16"/>
        <v>0</v>
      </c>
      <c r="P97" s="98">
        <f t="shared" si="16"/>
        <v>0</v>
      </c>
      <c r="Q97" s="98">
        <f t="shared" si="16"/>
        <v>0</v>
      </c>
      <c r="R97" s="39">
        <f t="shared" si="14"/>
        <v>0</v>
      </c>
      <c r="S97" s="35"/>
      <c r="T97" s="40">
        <f t="shared" si="15"/>
        <v>0</v>
      </c>
    </row>
    <row r="98" spans="1:23" ht="26.25" customHeight="1">
      <c r="D98" s="21" t="s">
        <v>775</v>
      </c>
      <c r="E98" s="98">
        <f>E17-E24-E26-E97</f>
        <v>5500</v>
      </c>
      <c r="F98" s="98">
        <f t="shared" ref="F98:Q98" si="17">F17-F24-F26-F97</f>
        <v>5500</v>
      </c>
      <c r="G98" s="98">
        <f t="shared" si="17"/>
        <v>4500</v>
      </c>
      <c r="H98" s="98">
        <f t="shared" si="17"/>
        <v>4500</v>
      </c>
      <c r="I98" s="98">
        <f t="shared" si="17"/>
        <v>5500</v>
      </c>
      <c r="J98" s="98">
        <f t="shared" si="17"/>
        <v>4500</v>
      </c>
      <c r="K98" s="98">
        <f t="shared" si="17"/>
        <v>4500</v>
      </c>
      <c r="L98" s="98">
        <f t="shared" si="17"/>
        <v>4500</v>
      </c>
      <c r="M98" s="98">
        <f t="shared" si="17"/>
        <v>4500</v>
      </c>
      <c r="N98" s="98">
        <f t="shared" si="17"/>
        <v>5500</v>
      </c>
      <c r="O98" s="98">
        <f t="shared" si="17"/>
        <v>5800</v>
      </c>
      <c r="P98" s="98">
        <f t="shared" si="17"/>
        <v>5800</v>
      </c>
      <c r="Q98" s="98">
        <f t="shared" si="17"/>
        <v>60600</v>
      </c>
      <c r="R98" s="39">
        <f t="shared" si="14"/>
        <v>1</v>
      </c>
      <c r="S98" s="35"/>
      <c r="T98" s="40" t="e">
        <f t="shared" ref="T98:T103" si="18">IF(Q98-S98=0,0,(Q98-S98)/S98)</f>
        <v>#DIV/0!</v>
      </c>
      <c r="W98" s="121"/>
    </row>
    <row r="99" spans="1:23" ht="26.25" customHeight="1">
      <c r="A99" s="5" t="s">
        <v>776</v>
      </c>
      <c r="B99" s="5" t="s">
        <v>709</v>
      </c>
      <c r="D99" s="21" t="s">
        <v>351</v>
      </c>
      <c r="E99" s="97"/>
      <c r="F99" s="97"/>
      <c r="G99" s="97"/>
      <c r="H99" s="97"/>
      <c r="I99" s="97"/>
      <c r="J99" s="97"/>
      <c r="K99" s="97"/>
      <c r="L99" s="97"/>
      <c r="M99" s="97"/>
      <c r="N99" s="97"/>
      <c r="O99" s="97"/>
      <c r="P99" s="97"/>
      <c r="Q99" s="97"/>
      <c r="S99" s="35"/>
      <c r="T99" s="40"/>
    </row>
    <row r="100" spans="1:23" ht="26.25" customHeight="1">
      <c r="E100" s="105">
        <f>IF(E17=0,0,E98/E17)</f>
        <v>1</v>
      </c>
      <c r="F100" s="105">
        <f t="shared" ref="F100:Q100" si="19">IF(F17=0,0,F98/F17)</f>
        <v>1</v>
      </c>
      <c r="G100" s="105">
        <f t="shared" si="19"/>
        <v>1</v>
      </c>
      <c r="H100" s="105">
        <f t="shared" si="19"/>
        <v>1</v>
      </c>
      <c r="I100" s="105">
        <f t="shared" si="19"/>
        <v>1</v>
      </c>
      <c r="J100" s="105">
        <f t="shared" si="19"/>
        <v>1</v>
      </c>
      <c r="K100" s="105">
        <f t="shared" si="19"/>
        <v>1</v>
      </c>
      <c r="L100" s="105">
        <f t="shared" si="19"/>
        <v>1</v>
      </c>
      <c r="M100" s="105">
        <f t="shared" si="19"/>
        <v>1</v>
      </c>
      <c r="N100" s="105">
        <f t="shared" si="19"/>
        <v>1</v>
      </c>
      <c r="O100" s="105">
        <f t="shared" si="19"/>
        <v>1</v>
      </c>
      <c r="P100" s="105">
        <f t="shared" si="19"/>
        <v>1</v>
      </c>
      <c r="Q100" s="105">
        <f t="shared" si="19"/>
        <v>1</v>
      </c>
      <c r="S100" s="115"/>
      <c r="T100" s="40" t="e">
        <f t="shared" si="18"/>
        <v>#DIV/0!</v>
      </c>
    </row>
    <row r="101" spans="1:23" ht="26.25" customHeight="1">
      <c r="D101" s="21" t="s">
        <v>777</v>
      </c>
      <c r="E101" s="72"/>
      <c r="F101" s="106"/>
      <c r="G101" s="72"/>
      <c r="H101" s="107"/>
      <c r="I101" s="72"/>
      <c r="J101" s="106"/>
      <c r="K101" s="72"/>
      <c r="L101" s="109"/>
      <c r="M101" s="72"/>
      <c r="N101" s="106"/>
      <c r="O101" s="110"/>
      <c r="P101" s="110"/>
      <c r="Q101" s="110"/>
      <c r="S101" s="35"/>
      <c r="T101" s="40"/>
    </row>
    <row r="102" spans="1:23" ht="26.25" customHeight="1">
      <c r="D102" s="21" t="s">
        <v>778</v>
      </c>
      <c r="E102" s="72"/>
      <c r="F102" s="106"/>
      <c r="G102" s="72"/>
      <c r="H102" s="107"/>
      <c r="I102" s="72"/>
      <c r="J102" s="106"/>
      <c r="K102" s="72"/>
      <c r="L102" s="109"/>
      <c r="M102" s="72"/>
      <c r="N102" s="106"/>
      <c r="O102" s="110"/>
      <c r="P102" s="110"/>
      <c r="Q102" s="110"/>
      <c r="S102" s="35"/>
      <c r="T102" s="40"/>
    </row>
    <row r="103" spans="1:23" ht="26.25" hidden="1" customHeight="1">
      <c r="A103" s="5" t="s">
        <v>295</v>
      </c>
      <c r="B103" s="5" t="s">
        <v>709</v>
      </c>
      <c r="D103" s="26" t="s">
        <v>779</v>
      </c>
      <c r="E103" s="27">
        <v>0</v>
      </c>
      <c r="F103" s="27">
        <v>0</v>
      </c>
      <c r="G103" s="27">
        <v>0</v>
      </c>
      <c r="H103" s="27">
        <v>0</v>
      </c>
      <c r="I103" s="27">
        <v>0</v>
      </c>
      <c r="J103" s="27">
        <v>0</v>
      </c>
      <c r="K103" s="27">
        <v>0</v>
      </c>
      <c r="L103" s="27">
        <v>0</v>
      </c>
      <c r="M103" s="27">
        <v>0</v>
      </c>
      <c r="N103" s="27">
        <v>0</v>
      </c>
      <c r="O103" s="27">
        <v>0</v>
      </c>
      <c r="P103" s="27">
        <v>0</v>
      </c>
      <c r="Q103" s="103">
        <f>SUM(E103:P103)</f>
        <v>0</v>
      </c>
      <c r="S103" s="35"/>
      <c r="T103" s="40">
        <f t="shared" si="18"/>
        <v>0</v>
      </c>
    </row>
    <row r="104" spans="1:23" ht="26.25" customHeight="1">
      <c r="A104" s="5" t="s">
        <v>298</v>
      </c>
      <c r="B104" s="5" t="s">
        <v>709</v>
      </c>
      <c r="D104" s="26" t="s">
        <v>780</v>
      </c>
      <c r="E104" s="27">
        <v>0</v>
      </c>
      <c r="F104" s="27">
        <v>0</v>
      </c>
      <c r="G104" s="27">
        <v>0</v>
      </c>
      <c r="H104" s="27">
        <v>0</v>
      </c>
      <c r="I104" s="27">
        <v>0</v>
      </c>
      <c r="J104" s="27">
        <v>0</v>
      </c>
      <c r="K104" s="27">
        <v>0</v>
      </c>
      <c r="L104" s="27">
        <v>0</v>
      </c>
      <c r="M104" s="27">
        <v>0</v>
      </c>
      <c r="N104" s="27">
        <v>0</v>
      </c>
      <c r="O104" s="27">
        <v>0</v>
      </c>
      <c r="P104" s="27">
        <v>0</v>
      </c>
      <c r="Q104" s="103">
        <f>SUM(E104:P104)</f>
        <v>0</v>
      </c>
      <c r="S104" s="35"/>
      <c r="T104" s="40">
        <f>-IF(Q104-S104=0,0,(Q104-S104)/S104)</f>
        <v>0</v>
      </c>
    </row>
    <row r="105" spans="1:23" ht="26.25" customHeight="1">
      <c r="D105" s="21" t="s">
        <v>781</v>
      </c>
      <c r="E105" s="124">
        <f>SUM(E103:E104)</f>
        <v>0</v>
      </c>
      <c r="F105" s="124">
        <f t="shared" ref="F105:Q105" si="20">SUM(F103:F104)</f>
        <v>0</v>
      </c>
      <c r="G105" s="124">
        <f t="shared" si="20"/>
        <v>0</v>
      </c>
      <c r="H105" s="124">
        <f t="shared" si="20"/>
        <v>0</v>
      </c>
      <c r="I105" s="124">
        <f t="shared" si="20"/>
        <v>0</v>
      </c>
      <c r="J105" s="124">
        <f t="shared" si="20"/>
        <v>0</v>
      </c>
      <c r="K105" s="124">
        <f t="shared" si="20"/>
        <v>0</v>
      </c>
      <c r="L105" s="124">
        <f t="shared" si="20"/>
        <v>0</v>
      </c>
      <c r="M105" s="124">
        <f t="shared" si="20"/>
        <v>0</v>
      </c>
      <c r="N105" s="124">
        <f t="shared" si="20"/>
        <v>0</v>
      </c>
      <c r="O105" s="124">
        <f t="shared" si="20"/>
        <v>0</v>
      </c>
      <c r="P105" s="124">
        <f t="shared" si="20"/>
        <v>0</v>
      </c>
      <c r="Q105" s="124">
        <f t="shared" si="20"/>
        <v>0</v>
      </c>
      <c r="S105" s="35"/>
      <c r="T105" s="40">
        <f t="shared" ref="T105:T134" si="21">-IF(Q105-S105=0,0,(Q105-S105)/S105)</f>
        <v>0</v>
      </c>
    </row>
    <row r="106" spans="1:23" ht="26.25" customHeight="1">
      <c r="E106" s="72"/>
      <c r="F106" s="106"/>
      <c r="G106" s="72"/>
      <c r="H106" s="107"/>
      <c r="I106" s="72"/>
      <c r="J106" s="106"/>
      <c r="K106" s="72"/>
      <c r="L106" s="109"/>
      <c r="M106" s="72"/>
      <c r="N106" s="106"/>
      <c r="O106" s="110"/>
      <c r="P106" s="110"/>
      <c r="Q106" s="110"/>
      <c r="S106" s="35"/>
      <c r="T106" s="40"/>
    </row>
    <row r="107" spans="1:23" ht="26.25" hidden="1" customHeight="1">
      <c r="A107" s="5" t="s">
        <v>619</v>
      </c>
      <c r="B107" s="5" t="s">
        <v>709</v>
      </c>
      <c r="D107" s="26" t="s">
        <v>782</v>
      </c>
      <c r="E107" s="27">
        <v>0</v>
      </c>
      <c r="F107" s="27">
        <v>0</v>
      </c>
      <c r="G107" s="27">
        <v>0</v>
      </c>
      <c r="H107" s="27">
        <v>0</v>
      </c>
      <c r="I107" s="27">
        <v>0</v>
      </c>
      <c r="J107" s="27">
        <v>0</v>
      </c>
      <c r="K107" s="27">
        <v>0</v>
      </c>
      <c r="L107" s="27">
        <v>0</v>
      </c>
      <c r="M107" s="27">
        <v>0</v>
      </c>
      <c r="N107" s="27">
        <v>0</v>
      </c>
      <c r="O107" s="27">
        <v>0</v>
      </c>
      <c r="P107" s="27">
        <v>0</v>
      </c>
      <c r="Q107" s="103">
        <f>SUM(E107:P107)</f>
        <v>0</v>
      </c>
      <c r="S107" s="35"/>
      <c r="T107" s="40">
        <f t="shared" si="21"/>
        <v>0</v>
      </c>
    </row>
    <row r="108" spans="1:23" ht="26.25" hidden="1" customHeight="1">
      <c r="A108" s="5" t="s">
        <v>308</v>
      </c>
      <c r="B108" s="5" t="s">
        <v>709</v>
      </c>
      <c r="D108" s="26" t="s">
        <v>783</v>
      </c>
      <c r="E108" s="27">
        <v>0</v>
      </c>
      <c r="F108" s="27">
        <v>0</v>
      </c>
      <c r="G108" s="27">
        <v>0</v>
      </c>
      <c r="H108" s="27">
        <v>0</v>
      </c>
      <c r="I108" s="27">
        <v>0</v>
      </c>
      <c r="J108" s="27">
        <v>0</v>
      </c>
      <c r="K108" s="27">
        <v>0</v>
      </c>
      <c r="L108" s="27">
        <v>0</v>
      </c>
      <c r="M108" s="27">
        <v>0</v>
      </c>
      <c r="N108" s="27">
        <v>0</v>
      </c>
      <c r="O108" s="27">
        <v>0</v>
      </c>
      <c r="P108" s="27">
        <v>0</v>
      </c>
      <c r="Q108" s="103">
        <f>SUM(E108:P108)</f>
        <v>0</v>
      </c>
      <c r="S108" s="35"/>
      <c r="T108" s="40">
        <f t="shared" si="21"/>
        <v>0</v>
      </c>
    </row>
    <row r="109" spans="1:23" ht="26.25" hidden="1" customHeight="1">
      <c r="A109" s="5" t="s">
        <v>620</v>
      </c>
      <c r="B109" s="5" t="s">
        <v>709</v>
      </c>
      <c r="D109" s="26" t="s">
        <v>784</v>
      </c>
      <c r="E109" s="27">
        <v>0</v>
      </c>
      <c r="F109" s="27">
        <v>0</v>
      </c>
      <c r="G109" s="27">
        <v>0</v>
      </c>
      <c r="H109" s="27">
        <v>0</v>
      </c>
      <c r="I109" s="27">
        <v>0</v>
      </c>
      <c r="J109" s="27">
        <v>0</v>
      </c>
      <c r="K109" s="27">
        <v>0</v>
      </c>
      <c r="L109" s="27">
        <v>0</v>
      </c>
      <c r="M109" s="27">
        <v>0</v>
      </c>
      <c r="N109" s="27">
        <v>0</v>
      </c>
      <c r="O109" s="27">
        <v>0</v>
      </c>
      <c r="P109" s="27">
        <v>0</v>
      </c>
      <c r="Q109" s="103">
        <f>SUM(E109:P109)</f>
        <v>0</v>
      </c>
      <c r="S109" s="35"/>
      <c r="T109" s="40">
        <f t="shared" si="21"/>
        <v>0</v>
      </c>
    </row>
    <row r="110" spans="1:23" ht="26.25" hidden="1" customHeight="1">
      <c r="A110" s="5" t="s">
        <v>621</v>
      </c>
      <c r="B110" s="5" t="s">
        <v>709</v>
      </c>
      <c r="D110" s="26" t="s">
        <v>785</v>
      </c>
      <c r="E110" s="27">
        <v>0</v>
      </c>
      <c r="F110" s="27">
        <v>0</v>
      </c>
      <c r="G110" s="27">
        <v>0</v>
      </c>
      <c r="H110" s="27">
        <v>0</v>
      </c>
      <c r="I110" s="27">
        <v>0</v>
      </c>
      <c r="J110" s="27">
        <v>0</v>
      </c>
      <c r="K110" s="27">
        <v>0</v>
      </c>
      <c r="L110" s="27">
        <v>0</v>
      </c>
      <c r="M110" s="27">
        <v>0</v>
      </c>
      <c r="N110" s="27">
        <v>0</v>
      </c>
      <c r="O110" s="27">
        <v>0</v>
      </c>
      <c r="P110" s="27">
        <v>0</v>
      </c>
      <c r="Q110" s="103">
        <f>SUM(E110:P110)</f>
        <v>0</v>
      </c>
      <c r="S110" s="35"/>
      <c r="T110" s="40">
        <f t="shared" si="21"/>
        <v>0</v>
      </c>
    </row>
    <row r="111" spans="1:23" ht="26.25" customHeight="1">
      <c r="A111" s="5" t="s">
        <v>622</v>
      </c>
      <c r="B111" s="5" t="s">
        <v>709</v>
      </c>
      <c r="D111" s="26" t="s">
        <v>786</v>
      </c>
      <c r="E111" s="97">
        <f>Summary!E$1003</f>
        <v>0</v>
      </c>
      <c r="F111" s="97">
        <f>Summary!F$1003</f>
        <v>0</v>
      </c>
      <c r="G111" s="97">
        <f>Summary!G$1003</f>
        <v>0</v>
      </c>
      <c r="H111" s="97">
        <f>Summary!H$1003</f>
        <v>0</v>
      </c>
      <c r="I111" s="97">
        <f>Summary!I$1003</f>
        <v>0</v>
      </c>
      <c r="J111" s="97">
        <f>Summary!J$1003</f>
        <v>0</v>
      </c>
      <c r="K111" s="97">
        <f>Summary!K$1003</f>
        <v>0</v>
      </c>
      <c r="L111" s="97">
        <f>Summary!L$1003</f>
        <v>0</v>
      </c>
      <c r="M111" s="97">
        <f>Summary!M$1003</f>
        <v>0</v>
      </c>
      <c r="N111" s="97">
        <f>Summary!N$1003</f>
        <v>0</v>
      </c>
      <c r="O111" s="97">
        <f>Summary!O$1003</f>
        <v>0</v>
      </c>
      <c r="P111" s="97">
        <f>Summary!P$1003</f>
        <v>0</v>
      </c>
      <c r="Q111" s="103">
        <f>SUM(E111:P111)</f>
        <v>0</v>
      </c>
      <c r="R111" s="39">
        <f t="shared" ref="R111:R112" si="22">IF($Q$17=0,0,Q111/$Q$17)</f>
        <v>0</v>
      </c>
      <c r="S111" s="35"/>
      <c r="T111" s="40">
        <f t="shared" si="21"/>
        <v>0</v>
      </c>
    </row>
    <row r="112" spans="1:23" ht="26.25" customHeight="1">
      <c r="D112" s="21" t="s">
        <v>787</v>
      </c>
      <c r="E112" s="98">
        <f>SUM(E107:E111)</f>
        <v>0</v>
      </c>
      <c r="F112" s="98">
        <f t="shared" ref="F112:Q112" si="23">SUM(F107:F111)</f>
        <v>0</v>
      </c>
      <c r="G112" s="98">
        <f t="shared" si="23"/>
        <v>0</v>
      </c>
      <c r="H112" s="98">
        <f t="shared" si="23"/>
        <v>0</v>
      </c>
      <c r="I112" s="98">
        <f t="shared" si="23"/>
        <v>0</v>
      </c>
      <c r="J112" s="98">
        <f t="shared" si="23"/>
        <v>0</v>
      </c>
      <c r="K112" s="98">
        <f t="shared" si="23"/>
        <v>0</v>
      </c>
      <c r="L112" s="98">
        <f t="shared" si="23"/>
        <v>0</v>
      </c>
      <c r="M112" s="98">
        <f t="shared" si="23"/>
        <v>0</v>
      </c>
      <c r="N112" s="98">
        <f t="shared" si="23"/>
        <v>0</v>
      </c>
      <c r="O112" s="98">
        <f t="shared" si="23"/>
        <v>0</v>
      </c>
      <c r="P112" s="98">
        <f t="shared" si="23"/>
        <v>0</v>
      </c>
      <c r="Q112" s="98">
        <f t="shared" si="23"/>
        <v>0</v>
      </c>
      <c r="R112" s="39">
        <f t="shared" si="22"/>
        <v>0</v>
      </c>
      <c r="S112" s="35"/>
      <c r="T112" s="40">
        <f t="shared" si="21"/>
        <v>0</v>
      </c>
    </row>
    <row r="113" spans="1:20" ht="26.25" customHeight="1">
      <c r="E113" s="72"/>
      <c r="F113" s="106"/>
      <c r="G113" s="72"/>
      <c r="H113" s="72"/>
      <c r="I113" s="72"/>
      <c r="J113" s="106"/>
      <c r="K113" s="72"/>
      <c r="L113" s="109"/>
      <c r="M113" s="72"/>
      <c r="N113" s="106"/>
      <c r="O113" s="110"/>
      <c r="P113" s="110"/>
      <c r="Q113" s="110"/>
      <c r="S113" s="35"/>
      <c r="T113" s="40"/>
    </row>
    <row r="114" spans="1:20" ht="26.25" hidden="1" customHeight="1">
      <c r="A114" s="5" t="s">
        <v>625</v>
      </c>
      <c r="B114" s="5" t="s">
        <v>709</v>
      </c>
      <c r="D114" s="26" t="s">
        <v>788</v>
      </c>
      <c r="E114" s="27">
        <v>0</v>
      </c>
      <c r="F114" s="27">
        <v>0</v>
      </c>
      <c r="G114" s="27">
        <v>0</v>
      </c>
      <c r="H114" s="27">
        <v>0</v>
      </c>
      <c r="I114" s="27">
        <v>0</v>
      </c>
      <c r="J114" s="27">
        <v>0</v>
      </c>
      <c r="K114" s="27">
        <v>0</v>
      </c>
      <c r="L114" s="27">
        <v>0</v>
      </c>
      <c r="M114" s="27">
        <v>0</v>
      </c>
      <c r="N114" s="27">
        <v>0</v>
      </c>
      <c r="O114" s="27">
        <v>0</v>
      </c>
      <c r="P114" s="27">
        <v>0</v>
      </c>
      <c r="Q114" s="103">
        <f>SUM(E114:P114)</f>
        <v>0</v>
      </c>
      <c r="S114" s="35"/>
      <c r="T114" s="40">
        <f t="shared" si="21"/>
        <v>0</v>
      </c>
    </row>
    <row r="115" spans="1:20" ht="26.25" hidden="1" customHeight="1">
      <c r="A115" s="5" t="s">
        <v>626</v>
      </c>
      <c r="B115" s="5" t="s">
        <v>709</v>
      </c>
      <c r="D115" s="26" t="s">
        <v>789</v>
      </c>
      <c r="E115" s="27">
        <v>0</v>
      </c>
      <c r="F115" s="27">
        <v>0</v>
      </c>
      <c r="G115" s="27">
        <v>0</v>
      </c>
      <c r="H115" s="27">
        <v>0</v>
      </c>
      <c r="I115" s="27">
        <v>0</v>
      </c>
      <c r="J115" s="27">
        <v>0</v>
      </c>
      <c r="K115" s="27">
        <v>0</v>
      </c>
      <c r="L115" s="27">
        <v>0</v>
      </c>
      <c r="M115" s="27">
        <v>0</v>
      </c>
      <c r="N115" s="27">
        <v>0</v>
      </c>
      <c r="O115" s="27">
        <v>0</v>
      </c>
      <c r="P115" s="27">
        <v>0</v>
      </c>
      <c r="Q115" s="103">
        <f t="shared" ref="Q115:Q121" si="24">SUM(E115:P115)</f>
        <v>0</v>
      </c>
      <c r="S115" s="35"/>
      <c r="T115" s="40">
        <f t="shared" si="21"/>
        <v>0</v>
      </c>
    </row>
    <row r="116" spans="1:20" ht="26.25" hidden="1" customHeight="1">
      <c r="A116" s="5" t="s">
        <v>627</v>
      </c>
      <c r="B116" s="5" t="s">
        <v>709</v>
      </c>
      <c r="D116" s="26" t="s">
        <v>790</v>
      </c>
      <c r="E116" s="27">
        <v>0</v>
      </c>
      <c r="F116" s="27">
        <v>0</v>
      </c>
      <c r="G116" s="27">
        <v>0</v>
      </c>
      <c r="H116" s="27">
        <v>0</v>
      </c>
      <c r="I116" s="27">
        <v>0</v>
      </c>
      <c r="J116" s="27">
        <v>0</v>
      </c>
      <c r="K116" s="27">
        <v>0</v>
      </c>
      <c r="L116" s="27">
        <v>0</v>
      </c>
      <c r="M116" s="27">
        <v>0</v>
      </c>
      <c r="N116" s="27">
        <v>0</v>
      </c>
      <c r="O116" s="27">
        <v>0</v>
      </c>
      <c r="P116" s="27">
        <v>0</v>
      </c>
      <c r="Q116" s="103">
        <f t="shared" si="24"/>
        <v>0</v>
      </c>
      <c r="S116" s="35"/>
      <c r="T116" s="40">
        <f t="shared" si="21"/>
        <v>0</v>
      </c>
    </row>
    <row r="117" spans="1:20" ht="26.25" hidden="1" customHeight="1">
      <c r="A117" s="5" t="s">
        <v>628</v>
      </c>
      <c r="B117" s="5" t="s">
        <v>709</v>
      </c>
      <c r="D117" s="26" t="s">
        <v>791</v>
      </c>
      <c r="E117" s="27">
        <v>0</v>
      </c>
      <c r="F117" s="27">
        <v>0</v>
      </c>
      <c r="G117" s="27">
        <v>0</v>
      </c>
      <c r="H117" s="27">
        <v>0</v>
      </c>
      <c r="I117" s="27">
        <v>0</v>
      </c>
      <c r="J117" s="27">
        <v>0</v>
      </c>
      <c r="K117" s="27">
        <v>0</v>
      </c>
      <c r="L117" s="27">
        <v>0</v>
      </c>
      <c r="M117" s="27">
        <v>0</v>
      </c>
      <c r="N117" s="27">
        <v>0</v>
      </c>
      <c r="O117" s="27">
        <v>0</v>
      </c>
      <c r="P117" s="27">
        <v>0</v>
      </c>
      <c r="Q117" s="103">
        <f t="shared" si="24"/>
        <v>0</v>
      </c>
      <c r="S117" s="35"/>
      <c r="T117" s="40">
        <f t="shared" si="21"/>
        <v>0</v>
      </c>
    </row>
    <row r="118" spans="1:20" ht="26.25" hidden="1" customHeight="1">
      <c r="A118" s="5" t="s">
        <v>629</v>
      </c>
      <c r="B118" s="5" t="s">
        <v>709</v>
      </c>
      <c r="D118" s="26" t="s">
        <v>792</v>
      </c>
      <c r="E118" s="27">
        <v>0</v>
      </c>
      <c r="F118" s="27">
        <v>0</v>
      </c>
      <c r="G118" s="27">
        <v>0</v>
      </c>
      <c r="H118" s="27">
        <v>0</v>
      </c>
      <c r="I118" s="27">
        <v>0</v>
      </c>
      <c r="J118" s="27">
        <v>0</v>
      </c>
      <c r="K118" s="27">
        <v>0</v>
      </c>
      <c r="L118" s="27">
        <v>0</v>
      </c>
      <c r="M118" s="27">
        <v>0</v>
      </c>
      <c r="N118" s="27">
        <v>0</v>
      </c>
      <c r="O118" s="27">
        <v>0</v>
      </c>
      <c r="P118" s="27">
        <v>0</v>
      </c>
      <c r="Q118" s="103">
        <f t="shared" si="24"/>
        <v>0</v>
      </c>
      <c r="S118" s="35"/>
      <c r="T118" s="40">
        <f t="shared" si="21"/>
        <v>0</v>
      </c>
    </row>
    <row r="119" spans="1:20" ht="26.25" hidden="1" customHeight="1">
      <c r="A119" s="5" t="s">
        <v>630</v>
      </c>
      <c r="B119" s="5" t="s">
        <v>709</v>
      </c>
      <c r="D119" s="26" t="s">
        <v>793</v>
      </c>
      <c r="E119" s="27">
        <v>0</v>
      </c>
      <c r="F119" s="27">
        <v>0</v>
      </c>
      <c r="G119" s="27">
        <v>0</v>
      </c>
      <c r="H119" s="27">
        <v>0</v>
      </c>
      <c r="I119" s="27">
        <v>0</v>
      </c>
      <c r="J119" s="27">
        <v>0</v>
      </c>
      <c r="K119" s="27">
        <v>0</v>
      </c>
      <c r="L119" s="27">
        <v>0</v>
      </c>
      <c r="M119" s="27">
        <v>0</v>
      </c>
      <c r="N119" s="27">
        <v>0</v>
      </c>
      <c r="O119" s="27">
        <v>0</v>
      </c>
      <c r="P119" s="27">
        <v>0</v>
      </c>
      <c r="Q119" s="103">
        <f t="shared" si="24"/>
        <v>0</v>
      </c>
      <c r="S119" s="35"/>
      <c r="T119" s="40">
        <f t="shared" si="21"/>
        <v>0</v>
      </c>
    </row>
    <row r="120" spans="1:20" ht="26.25" hidden="1" customHeight="1">
      <c r="A120" s="5" t="s">
        <v>631</v>
      </c>
      <c r="B120" s="5" t="s">
        <v>709</v>
      </c>
      <c r="D120" s="26" t="s">
        <v>794</v>
      </c>
      <c r="E120" s="27">
        <v>0</v>
      </c>
      <c r="F120" s="27">
        <v>0</v>
      </c>
      <c r="G120" s="27">
        <v>0</v>
      </c>
      <c r="H120" s="27">
        <v>0</v>
      </c>
      <c r="I120" s="27">
        <v>0</v>
      </c>
      <c r="J120" s="27">
        <v>0</v>
      </c>
      <c r="K120" s="27">
        <v>0</v>
      </c>
      <c r="L120" s="27">
        <v>0</v>
      </c>
      <c r="M120" s="27">
        <v>0</v>
      </c>
      <c r="N120" s="27">
        <v>0</v>
      </c>
      <c r="O120" s="27">
        <v>0</v>
      </c>
      <c r="P120" s="27">
        <v>0</v>
      </c>
      <c r="Q120" s="103">
        <f t="shared" si="24"/>
        <v>0</v>
      </c>
      <c r="S120" s="35"/>
      <c r="T120" s="40">
        <f t="shared" si="21"/>
        <v>0</v>
      </c>
    </row>
    <row r="121" spans="1:20" ht="26.25" customHeight="1">
      <c r="A121" s="5" t="s">
        <v>632</v>
      </c>
      <c r="B121" s="5" t="s">
        <v>709</v>
      </c>
      <c r="D121" s="26" t="s">
        <v>795</v>
      </c>
      <c r="E121" s="27">
        <v>0</v>
      </c>
      <c r="F121" s="27">
        <v>0</v>
      </c>
      <c r="G121" s="27">
        <v>0</v>
      </c>
      <c r="H121" s="27">
        <v>0</v>
      </c>
      <c r="I121" s="27">
        <v>0</v>
      </c>
      <c r="J121" s="27">
        <v>0</v>
      </c>
      <c r="K121" s="27">
        <v>0</v>
      </c>
      <c r="L121" s="27">
        <v>0</v>
      </c>
      <c r="M121" s="27">
        <v>0</v>
      </c>
      <c r="N121" s="27">
        <v>0</v>
      </c>
      <c r="O121" s="27">
        <v>0</v>
      </c>
      <c r="P121" s="27">
        <v>0</v>
      </c>
      <c r="Q121" s="103">
        <f t="shared" si="24"/>
        <v>0</v>
      </c>
      <c r="S121" s="35"/>
      <c r="T121" s="40">
        <f t="shared" si="21"/>
        <v>0</v>
      </c>
    </row>
    <row r="122" spans="1:20" ht="26.25" customHeight="1">
      <c r="D122" s="21" t="s">
        <v>796</v>
      </c>
      <c r="E122" s="125">
        <f>SUM(E114:E121)</f>
        <v>0</v>
      </c>
      <c r="F122" s="125">
        <f t="shared" ref="F122:Q122" si="25">SUM(F114:F121)</f>
        <v>0</v>
      </c>
      <c r="G122" s="125">
        <f t="shared" si="25"/>
        <v>0</v>
      </c>
      <c r="H122" s="125">
        <f t="shared" si="25"/>
        <v>0</v>
      </c>
      <c r="I122" s="125">
        <f t="shared" si="25"/>
        <v>0</v>
      </c>
      <c r="J122" s="125">
        <f t="shared" si="25"/>
        <v>0</v>
      </c>
      <c r="K122" s="125">
        <f t="shared" si="25"/>
        <v>0</v>
      </c>
      <c r="L122" s="125">
        <f t="shared" si="25"/>
        <v>0</v>
      </c>
      <c r="M122" s="125">
        <f t="shared" si="25"/>
        <v>0</v>
      </c>
      <c r="N122" s="125">
        <f t="shared" si="25"/>
        <v>0</v>
      </c>
      <c r="O122" s="125">
        <f t="shared" si="25"/>
        <v>0</v>
      </c>
      <c r="P122" s="125">
        <f t="shared" si="25"/>
        <v>0</v>
      </c>
      <c r="Q122" s="125">
        <f t="shared" si="25"/>
        <v>0</v>
      </c>
      <c r="S122" s="35"/>
      <c r="T122" s="40">
        <f t="shared" si="21"/>
        <v>0</v>
      </c>
    </row>
    <row r="123" spans="1:20" ht="26.25" customHeight="1">
      <c r="E123" s="72"/>
      <c r="F123" s="106"/>
      <c r="G123" s="72"/>
      <c r="H123" s="72"/>
      <c r="I123" s="72"/>
      <c r="J123" s="106"/>
      <c r="K123" s="72"/>
      <c r="L123" s="109"/>
      <c r="M123" s="72"/>
      <c r="N123" s="106"/>
      <c r="O123" s="110"/>
      <c r="P123" s="110"/>
      <c r="Q123" s="110"/>
      <c r="S123" s="35"/>
      <c r="T123" s="40"/>
    </row>
    <row r="124" spans="1:20" ht="26.25" hidden="1" customHeight="1">
      <c r="A124" s="5" t="s">
        <v>633</v>
      </c>
      <c r="B124" s="5" t="s">
        <v>709</v>
      </c>
      <c r="D124" s="26" t="s">
        <v>797</v>
      </c>
      <c r="E124" s="27">
        <v>0</v>
      </c>
      <c r="F124" s="27">
        <v>0</v>
      </c>
      <c r="G124" s="27">
        <v>0</v>
      </c>
      <c r="H124" s="27">
        <v>0</v>
      </c>
      <c r="I124" s="27">
        <v>0</v>
      </c>
      <c r="J124" s="27">
        <v>0</v>
      </c>
      <c r="K124" s="27">
        <v>0</v>
      </c>
      <c r="L124" s="27">
        <v>0</v>
      </c>
      <c r="M124" s="27">
        <v>0</v>
      </c>
      <c r="N124" s="27">
        <v>0</v>
      </c>
      <c r="O124" s="27">
        <v>0</v>
      </c>
      <c r="P124" s="27">
        <v>0</v>
      </c>
      <c r="Q124" s="103">
        <f t="shared" ref="Q124:Q131" si="26">SUM(E124:P124)</f>
        <v>0</v>
      </c>
      <c r="S124" s="35"/>
      <c r="T124" s="40">
        <f t="shared" si="21"/>
        <v>0</v>
      </c>
    </row>
    <row r="125" spans="1:20" ht="26.25" hidden="1" customHeight="1">
      <c r="A125" s="5" t="s">
        <v>634</v>
      </c>
      <c r="B125" s="5" t="s">
        <v>709</v>
      </c>
      <c r="D125" s="26" t="s">
        <v>798</v>
      </c>
      <c r="E125" s="27">
        <v>0</v>
      </c>
      <c r="F125" s="27">
        <v>0</v>
      </c>
      <c r="G125" s="27">
        <v>0</v>
      </c>
      <c r="H125" s="27">
        <v>0</v>
      </c>
      <c r="I125" s="27">
        <v>0</v>
      </c>
      <c r="J125" s="27">
        <v>0</v>
      </c>
      <c r="K125" s="27">
        <v>0</v>
      </c>
      <c r="L125" s="27">
        <v>0</v>
      </c>
      <c r="M125" s="27">
        <v>0</v>
      </c>
      <c r="N125" s="27">
        <v>0</v>
      </c>
      <c r="O125" s="27">
        <v>0</v>
      </c>
      <c r="P125" s="27">
        <v>0</v>
      </c>
      <c r="Q125" s="103">
        <f t="shared" si="26"/>
        <v>0</v>
      </c>
      <c r="S125" s="35"/>
      <c r="T125" s="40">
        <f t="shared" si="21"/>
        <v>0</v>
      </c>
    </row>
    <row r="126" spans="1:20" ht="26.25" hidden="1" customHeight="1">
      <c r="A126" s="5" t="s">
        <v>635</v>
      </c>
      <c r="B126" s="5" t="s">
        <v>709</v>
      </c>
      <c r="D126" s="26" t="s">
        <v>799</v>
      </c>
      <c r="E126" s="27">
        <v>0</v>
      </c>
      <c r="F126" s="27">
        <v>0</v>
      </c>
      <c r="G126" s="27">
        <v>0</v>
      </c>
      <c r="H126" s="27">
        <v>0</v>
      </c>
      <c r="I126" s="27">
        <v>0</v>
      </c>
      <c r="J126" s="27">
        <v>0</v>
      </c>
      <c r="K126" s="27">
        <v>0</v>
      </c>
      <c r="L126" s="27">
        <v>0</v>
      </c>
      <c r="M126" s="27">
        <v>0</v>
      </c>
      <c r="N126" s="27">
        <v>0</v>
      </c>
      <c r="O126" s="27">
        <v>0</v>
      </c>
      <c r="P126" s="27">
        <v>0</v>
      </c>
      <c r="Q126" s="103">
        <f t="shared" si="26"/>
        <v>0</v>
      </c>
      <c r="S126" s="35"/>
      <c r="T126" s="40">
        <f t="shared" si="21"/>
        <v>0</v>
      </c>
    </row>
    <row r="127" spans="1:20" ht="26.25" hidden="1" customHeight="1">
      <c r="A127" s="5" t="s">
        <v>636</v>
      </c>
      <c r="B127" s="5" t="s">
        <v>709</v>
      </c>
      <c r="D127" s="26" t="s">
        <v>800</v>
      </c>
      <c r="E127" s="27">
        <v>0</v>
      </c>
      <c r="F127" s="27">
        <v>0</v>
      </c>
      <c r="G127" s="27">
        <v>0</v>
      </c>
      <c r="H127" s="27">
        <v>0</v>
      </c>
      <c r="I127" s="27">
        <v>0</v>
      </c>
      <c r="J127" s="27">
        <v>0</v>
      </c>
      <c r="K127" s="27">
        <v>0</v>
      </c>
      <c r="L127" s="27">
        <v>0</v>
      </c>
      <c r="M127" s="27">
        <v>0</v>
      </c>
      <c r="N127" s="27">
        <v>0</v>
      </c>
      <c r="O127" s="27">
        <v>0</v>
      </c>
      <c r="P127" s="27">
        <v>0</v>
      </c>
      <c r="Q127" s="103">
        <f t="shared" si="26"/>
        <v>0</v>
      </c>
      <c r="S127" s="35"/>
      <c r="T127" s="40">
        <f t="shared" si="21"/>
        <v>0</v>
      </c>
    </row>
    <row r="128" spans="1:20" ht="26.25" hidden="1" customHeight="1">
      <c r="A128" s="5" t="s">
        <v>637</v>
      </c>
      <c r="B128" s="5" t="s">
        <v>709</v>
      </c>
      <c r="D128" s="26" t="s">
        <v>801</v>
      </c>
      <c r="E128" s="27">
        <v>0</v>
      </c>
      <c r="F128" s="27">
        <v>0</v>
      </c>
      <c r="G128" s="27">
        <v>0</v>
      </c>
      <c r="H128" s="27">
        <v>0</v>
      </c>
      <c r="I128" s="27">
        <v>0</v>
      </c>
      <c r="J128" s="27">
        <v>0</v>
      </c>
      <c r="K128" s="27">
        <v>0</v>
      </c>
      <c r="L128" s="27">
        <v>0</v>
      </c>
      <c r="M128" s="27">
        <v>0</v>
      </c>
      <c r="N128" s="27">
        <v>0</v>
      </c>
      <c r="O128" s="27">
        <v>0</v>
      </c>
      <c r="P128" s="27">
        <v>0</v>
      </c>
      <c r="Q128" s="103">
        <f t="shared" si="26"/>
        <v>0</v>
      </c>
      <c r="S128" s="35"/>
      <c r="T128" s="40">
        <f t="shared" si="21"/>
        <v>0</v>
      </c>
    </row>
    <row r="129" spans="1:20" ht="26.25" hidden="1" customHeight="1">
      <c r="A129" s="5" t="s">
        <v>344</v>
      </c>
      <c r="B129" s="5" t="s">
        <v>709</v>
      </c>
      <c r="D129" s="26" t="s">
        <v>802</v>
      </c>
      <c r="E129" s="27">
        <v>0</v>
      </c>
      <c r="F129" s="27">
        <v>0</v>
      </c>
      <c r="G129" s="27">
        <v>0</v>
      </c>
      <c r="H129" s="27">
        <v>0</v>
      </c>
      <c r="I129" s="27">
        <v>0</v>
      </c>
      <c r="J129" s="27">
        <v>0</v>
      </c>
      <c r="K129" s="27">
        <v>0</v>
      </c>
      <c r="L129" s="27">
        <v>0</v>
      </c>
      <c r="M129" s="27">
        <v>0</v>
      </c>
      <c r="N129" s="27">
        <v>0</v>
      </c>
      <c r="O129" s="27">
        <v>0</v>
      </c>
      <c r="P129" s="27">
        <v>0</v>
      </c>
      <c r="Q129" s="103">
        <f t="shared" si="26"/>
        <v>0</v>
      </c>
      <c r="S129" s="35"/>
      <c r="T129" s="40">
        <f t="shared" si="21"/>
        <v>0</v>
      </c>
    </row>
    <row r="130" spans="1:20" ht="26.25" customHeight="1">
      <c r="A130" s="5" t="s">
        <v>640</v>
      </c>
      <c r="B130" s="5" t="s">
        <v>709</v>
      </c>
      <c r="D130" s="26" t="s">
        <v>803</v>
      </c>
      <c r="E130" s="27">
        <v>0</v>
      </c>
      <c r="F130" s="27">
        <v>0</v>
      </c>
      <c r="G130" s="27">
        <v>0</v>
      </c>
      <c r="H130" s="27">
        <v>0</v>
      </c>
      <c r="I130" s="27">
        <v>0</v>
      </c>
      <c r="J130" s="27">
        <v>0</v>
      </c>
      <c r="K130" s="27">
        <v>0</v>
      </c>
      <c r="L130" s="27">
        <v>0</v>
      </c>
      <c r="M130" s="27">
        <v>0</v>
      </c>
      <c r="N130" s="27">
        <v>0</v>
      </c>
      <c r="O130" s="27">
        <v>0</v>
      </c>
      <c r="P130" s="27">
        <v>0</v>
      </c>
      <c r="Q130" s="103">
        <f t="shared" si="26"/>
        <v>0</v>
      </c>
      <c r="S130" s="35"/>
      <c r="T130" s="40">
        <f t="shared" si="21"/>
        <v>0</v>
      </c>
    </row>
    <row r="131" spans="1:20" ht="26.25" customHeight="1">
      <c r="D131" s="26" t="s">
        <v>804</v>
      </c>
      <c r="E131" s="126">
        <f>SUM(E124:E130)</f>
        <v>0</v>
      </c>
      <c r="F131" s="126">
        <f t="shared" ref="F131:P131" si="27">SUM(F124:F130)</f>
        <v>0</v>
      </c>
      <c r="G131" s="126">
        <f t="shared" si="27"/>
        <v>0</v>
      </c>
      <c r="H131" s="126">
        <f t="shared" si="27"/>
        <v>0</v>
      </c>
      <c r="I131" s="126">
        <f t="shared" si="27"/>
        <v>0</v>
      </c>
      <c r="J131" s="126">
        <f t="shared" si="27"/>
        <v>0</v>
      </c>
      <c r="K131" s="126">
        <f t="shared" si="27"/>
        <v>0</v>
      </c>
      <c r="L131" s="126">
        <f t="shared" si="27"/>
        <v>0</v>
      </c>
      <c r="M131" s="126">
        <f t="shared" si="27"/>
        <v>0</v>
      </c>
      <c r="N131" s="126">
        <f t="shared" si="27"/>
        <v>0</v>
      </c>
      <c r="O131" s="126">
        <f t="shared" si="27"/>
        <v>0</v>
      </c>
      <c r="P131" s="126">
        <f t="shared" si="27"/>
        <v>0</v>
      </c>
      <c r="Q131" s="127">
        <f t="shared" si="26"/>
        <v>0</v>
      </c>
      <c r="S131" s="35"/>
      <c r="T131" s="40">
        <f t="shared" si="21"/>
        <v>0</v>
      </c>
    </row>
    <row r="132" spans="1:20" ht="26.25" customHeight="1">
      <c r="D132" s="21" t="s">
        <v>805</v>
      </c>
      <c r="E132" s="128">
        <f>E105+E112+E122+E131</f>
        <v>0</v>
      </c>
      <c r="F132" s="128">
        <f t="shared" ref="F132:Q132" si="28">F105+F112+F122+F131</f>
        <v>0</v>
      </c>
      <c r="G132" s="128">
        <f t="shared" si="28"/>
        <v>0</v>
      </c>
      <c r="H132" s="128">
        <f t="shared" si="28"/>
        <v>0</v>
      </c>
      <c r="I132" s="128">
        <f t="shared" si="28"/>
        <v>0</v>
      </c>
      <c r="J132" s="128">
        <f t="shared" si="28"/>
        <v>0</v>
      </c>
      <c r="K132" s="128">
        <f t="shared" si="28"/>
        <v>0</v>
      </c>
      <c r="L132" s="128">
        <f t="shared" si="28"/>
        <v>0</v>
      </c>
      <c r="M132" s="128">
        <f t="shared" si="28"/>
        <v>0</v>
      </c>
      <c r="N132" s="128">
        <f t="shared" si="28"/>
        <v>0</v>
      </c>
      <c r="O132" s="128">
        <f t="shared" si="28"/>
        <v>0</v>
      </c>
      <c r="P132" s="128">
        <f t="shared" si="28"/>
        <v>0</v>
      </c>
      <c r="Q132" s="128">
        <f t="shared" si="28"/>
        <v>0</v>
      </c>
      <c r="R132" s="39"/>
      <c r="S132" s="35"/>
      <c r="T132" s="40">
        <f t="shared" si="21"/>
        <v>0</v>
      </c>
    </row>
    <row r="133" spans="1:20" ht="26.25" customHeight="1">
      <c r="D133" s="21"/>
      <c r="E133" s="72"/>
      <c r="F133" s="106"/>
      <c r="G133" s="72"/>
      <c r="H133" s="72"/>
      <c r="I133" s="72"/>
      <c r="J133" s="106"/>
      <c r="K133" s="72"/>
      <c r="L133" s="109"/>
      <c r="M133" s="72"/>
      <c r="N133" s="106"/>
      <c r="O133" s="110"/>
      <c r="P133" s="110"/>
      <c r="Q133" s="110"/>
      <c r="S133" s="35"/>
      <c r="T133" s="40"/>
    </row>
    <row r="134" spans="1:20" ht="26.25" customHeight="1">
      <c r="A134" s="5" t="s">
        <v>105</v>
      </c>
      <c r="B134" s="5" t="s">
        <v>709</v>
      </c>
      <c r="D134" s="21" t="s">
        <v>806</v>
      </c>
      <c r="E134" s="99">
        <v>0</v>
      </c>
      <c r="F134" s="99">
        <v>0</v>
      </c>
      <c r="G134" s="99">
        <v>0</v>
      </c>
      <c r="H134" s="99">
        <v>0</v>
      </c>
      <c r="I134" s="99">
        <v>0</v>
      </c>
      <c r="J134" s="99">
        <v>0</v>
      </c>
      <c r="K134" s="99">
        <v>0</v>
      </c>
      <c r="L134" s="99">
        <v>0</v>
      </c>
      <c r="M134" s="99">
        <v>0</v>
      </c>
      <c r="N134" s="99">
        <v>0</v>
      </c>
      <c r="O134" s="99">
        <v>0</v>
      </c>
      <c r="P134" s="99">
        <v>0</v>
      </c>
      <c r="Q134" s="99">
        <v>0</v>
      </c>
      <c r="S134" s="35"/>
      <c r="T134" s="40">
        <f t="shared" si="21"/>
        <v>0</v>
      </c>
    </row>
  </sheetData>
  <phoneticPr fontId="57" type="noConversion"/>
  <dataValidations count="19">
    <dataValidation type="textLength" errorStyle="information" allowBlank="1" showInputMessage="1" showErrorMessage="1" error="XLBVal:6=6688509.16_x000d__x000a_" sqref="E17:Q18">
      <formula1>0</formula1>
      <formula2>300</formula2>
    </dataValidation>
    <dataValidation type="textLength" errorStyle="information" allowBlank="1" showInputMessage="1" showErrorMessage="1" error="XLBVal:6=3239.86_x000d__x000a_" sqref="E24:P25 E27:P28">
      <formula1>0</formula1>
      <formula2>300</formula2>
    </dataValidation>
    <dataValidation type="textLength" errorStyle="information" allowBlank="1" showInputMessage="1" showErrorMessage="1" error="XLBVal:2=0_x000d__x000a_" sqref="E134:Q134 E29:P75 Q107:Q111 E13:P16 Q12:Q16 E77:P97 E124:Q131 E107:P110 E103:Q104 E114:Q122 E19:P23 Q20:Q97">
      <formula1>0</formula1>
      <formula2>300</formula2>
    </dataValidation>
    <dataValidation type="textLength" errorStyle="information" allowBlank="1" showInputMessage="1" showErrorMessage="1" error="XLBVal:6=-24000_x000d__x000a_" sqref="Q99">
      <formula1>0</formula1>
      <formula2>300</formula2>
    </dataValidation>
    <dataValidation type="textLength" errorStyle="information" allowBlank="1" showInputMessage="1" showErrorMessage="1" error="XLBVal:6=-2000_x000d__x000a_" sqref="M99:P99">
      <formula1>0</formula1>
      <formula2>300</formula2>
    </dataValidation>
    <dataValidation type="textLength" errorStyle="information" allowBlank="1" showInputMessage="1" showErrorMessage="1" error="XLBVal:6=1958_x000d__x000a_" sqref="L99">
      <formula1>0</formula1>
      <formula2>300</formula2>
    </dataValidation>
    <dataValidation type="textLength" errorStyle="information" allowBlank="1" showInputMessage="1" showErrorMessage="1" error="XLBVal:6=-741.12_x000d__x000a_" sqref="K99">
      <formula1>0</formula1>
      <formula2>300</formula2>
    </dataValidation>
    <dataValidation type="textLength" errorStyle="information" allowBlank="1" showInputMessage="1" showErrorMessage="1" error="XLBVal:6=743.54_x000d__x000a_" sqref="I99">
      <formula1>0</formula1>
      <formula2>300</formula2>
    </dataValidation>
    <dataValidation type="textLength" errorStyle="information" allowBlank="1" showInputMessage="1" showErrorMessage="1" error="XLBVal:6=-537.3_x000d__x000a_" sqref="H99">
      <formula1>0</formula1>
      <formula2>300</formula2>
    </dataValidation>
    <dataValidation type="textLength" errorStyle="information" allowBlank="1" showInputMessage="1" showErrorMessage="1" error="XLBVal:6=314.3_x000d__x000a_" sqref="E111:P111">
      <formula1>0</formula1>
      <formula2>300</formula2>
    </dataValidation>
    <dataValidation type="textLength" errorStyle="information" allowBlank="1" showInputMessage="1" showErrorMessage="1" error="XLBVal:6=-57.85_x000d__x000a_" sqref="G99">
      <formula1>0</formula1>
      <formula2>300</formula2>
    </dataValidation>
    <dataValidation type="textLength" errorStyle="information" allowBlank="1" showInputMessage="1" showErrorMessage="1" error="XLBVal:6=-1394.78_x000d__x000a_" sqref="J99">
      <formula1>0</formula1>
      <formula2>300</formula2>
    </dataValidation>
    <dataValidation type="textLength" errorStyle="information" allowBlank="1" showInputMessage="1" showErrorMessage="1" error="XLBVal:6=-1453.98_x000d__x000a_" sqref="E76:P76">
      <formula1>0</formula1>
      <formula2>300</formula2>
    </dataValidation>
    <dataValidation type="textLength" errorStyle="information" allowBlank="1" showInputMessage="1" showErrorMessage="1" error="XLBVal:6=-7167.63_x000d__x000a_" sqref="F99">
      <formula1>0</formula1>
      <formula2>300</formula2>
    </dataValidation>
    <dataValidation type="textLength" errorStyle="information" allowBlank="1" showInputMessage="1" showErrorMessage="1" error="XLBVal:6=28280_x000d__x000a_" sqref="Q19">
      <formula1>0</formula1>
      <formula2>300</formula2>
    </dataValidation>
    <dataValidation type="textLength" errorStyle="information" allowBlank="1" showInputMessage="1" showErrorMessage="1" error="XLBVal:6=1531.53_x000d__x000a_" sqref="E12:P12">
      <formula1>0</formula1>
      <formula2>300</formula2>
    </dataValidation>
    <dataValidation type="textLength" errorStyle="information" allowBlank="1" showInputMessage="1" showErrorMessage="1" error="XLBVal:6=1337_x000d__x000a_" sqref="E26:P26">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648.51_x000d__x000a_" sqref="E99">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tabColor rgb="FFFFFF00"/>
    <pageSetUpPr fitToPage="1"/>
  </sheetPr>
  <dimension ref="A1:U199"/>
  <sheetViews>
    <sheetView zoomScale="50" zoomScaleNormal="50" zoomScaleSheetLayoutView="55" workbookViewId="0">
      <pane xSplit="4" ySplit="12" topLeftCell="E13" activePane="bottomRight" state="frozen"/>
      <selection activeCell="L7" sqref="L7"/>
      <selection pane="topRight" activeCell="L7" sqref="L7"/>
      <selection pane="bottomLeft" activeCell="L7" sqref="L7"/>
      <selection pane="bottomRight" activeCell="Z55" sqref="Z55"/>
    </sheetView>
  </sheetViews>
  <sheetFormatPr defaultColWidth="8.875" defaultRowHeight="26.25" customHeight="1" outlineLevelRow="1" outlineLevelCol="1"/>
  <cols>
    <col min="1" max="3" width="15.5" style="5" hidden="1" customWidth="1" outlineLevel="1"/>
    <col min="4" max="4" width="71.625" style="6" customWidth="1" collapsed="1"/>
    <col min="5" max="9" width="26.125" style="7" customWidth="1"/>
    <col min="10" max="16" width="26.125" style="5" customWidth="1"/>
    <col min="17" max="17" width="28.125" style="5" customWidth="1"/>
    <col min="18" max="18" width="10.5" style="5" customWidth="1"/>
    <col min="19" max="19" width="11.5" style="5" hidden="1" customWidth="1"/>
    <col min="20" max="20" width="22.5" style="8" hidden="1" customWidth="1"/>
    <col min="21" max="21" width="22.5" style="5" hidden="1" customWidth="1"/>
    <col min="22" max="23" width="25.625" style="5" customWidth="1"/>
    <col min="24" max="16384" width="8.875" style="5"/>
  </cols>
  <sheetData>
    <row r="1" spans="1:21" s="1" customFormat="1" ht="15" customHeight="1" outlineLevel="1">
      <c r="E1" s="9"/>
      <c r="F1" s="9"/>
      <c r="G1" s="9"/>
      <c r="H1" s="9"/>
      <c r="I1" s="9"/>
      <c r="J1" s="9"/>
      <c r="K1" s="9"/>
      <c r="L1" s="9"/>
      <c r="M1" s="9"/>
      <c r="N1" s="9"/>
      <c r="O1" s="9"/>
      <c r="P1" s="9"/>
      <c r="Q1" s="9"/>
      <c r="T1" s="32"/>
    </row>
    <row r="2" spans="1:21" s="1" customFormat="1" ht="15" customHeight="1" outlineLevel="1">
      <c r="E2" s="9"/>
      <c r="F2" s="9"/>
      <c r="G2" s="9"/>
      <c r="H2" s="9"/>
      <c r="I2" s="9"/>
      <c r="J2" s="9"/>
      <c r="K2" s="9"/>
      <c r="L2" s="9"/>
      <c r="M2" s="9"/>
      <c r="N2" s="9"/>
      <c r="O2" s="9"/>
      <c r="P2" s="9"/>
      <c r="Q2" s="9"/>
      <c r="T2" s="32"/>
    </row>
    <row r="3" spans="1:21" s="1" customFormat="1" ht="15" customHeight="1" outlineLevel="1">
      <c r="E3" s="9"/>
      <c r="F3" s="9"/>
      <c r="G3" s="9"/>
      <c r="H3" s="9"/>
      <c r="I3" s="9"/>
      <c r="J3" s="9"/>
      <c r="K3" s="9"/>
      <c r="L3" s="9"/>
      <c r="M3" s="9"/>
      <c r="N3" s="9"/>
      <c r="O3" s="9"/>
      <c r="P3" s="9"/>
      <c r="Q3" s="9"/>
      <c r="T3" s="32"/>
    </row>
    <row r="4" spans="1:21" s="2" customFormat="1" ht="24.95" customHeight="1">
      <c r="D4" s="14" t="str">
        <f>Summary!$D$4</f>
        <v>Hotel Budget Report</v>
      </c>
      <c r="E4" s="11"/>
      <c r="F4" s="11"/>
      <c r="G4" s="12"/>
      <c r="H4" s="13"/>
      <c r="I4" s="13"/>
      <c r="T4" s="33"/>
    </row>
    <row r="5" spans="1:21" s="2" customFormat="1" ht="24.95" customHeight="1">
      <c r="D5" s="10" t="str">
        <f>Summary!$D$5</f>
        <v>酒店预算报表</v>
      </c>
      <c r="E5" s="11"/>
      <c r="F5" s="11"/>
      <c r="G5" s="12"/>
      <c r="H5" s="13"/>
      <c r="I5" s="13"/>
      <c r="T5" s="33"/>
    </row>
    <row r="6" spans="1:21" s="2" customFormat="1" ht="24.95" customHeight="1">
      <c r="D6" s="14" t="s">
        <v>862</v>
      </c>
      <c r="E6" s="13"/>
      <c r="F6" s="13"/>
      <c r="G6" s="13"/>
      <c r="H6" s="13"/>
      <c r="I6" s="13"/>
      <c r="T6" s="33"/>
    </row>
    <row r="7" spans="1:21" s="2" customFormat="1" ht="24.95" customHeight="1">
      <c r="D7" s="15" t="s">
        <v>1107</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2024</v>
      </c>
      <c r="S9" s="34"/>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4" t="s">
        <v>23</v>
      </c>
      <c r="T10" s="36" t="s">
        <v>24</v>
      </c>
      <c r="U10" s="37" t="s">
        <v>25</v>
      </c>
    </row>
    <row r="11" spans="1:21" s="3" customFormat="1" ht="24.95" customHeight="1">
      <c r="D11" s="21"/>
      <c r="E11" s="22"/>
      <c r="F11" s="22"/>
      <c r="G11" s="22"/>
      <c r="H11" s="23"/>
      <c r="I11" s="23"/>
      <c r="T11" s="35"/>
    </row>
    <row r="12" spans="1:21" s="3" customFormat="1" ht="24.95" customHeight="1">
      <c r="A12" s="3" t="s">
        <v>482</v>
      </c>
      <c r="B12" s="3" t="s">
        <v>49</v>
      </c>
      <c r="D12" s="21" t="s">
        <v>137</v>
      </c>
      <c r="E12" s="370">
        <f>+E196</f>
        <v>404383.85</v>
      </c>
      <c r="F12" s="370">
        <f t="shared" ref="F12:P12" si="0">+F196</f>
        <v>435305.80000000005</v>
      </c>
      <c r="G12" s="370">
        <f t="shared" si="0"/>
        <v>403365.18</v>
      </c>
      <c r="H12" s="370">
        <f t="shared" si="0"/>
        <v>400703.73</v>
      </c>
      <c r="I12" s="370">
        <f t="shared" si="0"/>
        <v>404106.65</v>
      </c>
      <c r="J12" s="370">
        <f t="shared" si="0"/>
        <v>410703.73</v>
      </c>
      <c r="K12" s="370">
        <f t="shared" si="0"/>
        <v>399365.18</v>
      </c>
      <c r="L12" s="370">
        <f t="shared" si="0"/>
        <v>408865.18</v>
      </c>
      <c r="M12" s="370">
        <f t="shared" si="0"/>
        <v>404703.73</v>
      </c>
      <c r="N12" s="370">
        <f t="shared" si="0"/>
        <v>416283.78</v>
      </c>
      <c r="O12" s="370">
        <f t="shared" si="0"/>
        <v>403865.18</v>
      </c>
      <c r="P12" s="370">
        <f t="shared" si="0"/>
        <v>404365.18</v>
      </c>
      <c r="Q12" s="43">
        <f>SUM(E12:P12)</f>
        <v>4896017.17</v>
      </c>
      <c r="R12" s="39">
        <f>Q12/Summary!$Q$16</f>
        <v>0.14721414297909408</v>
      </c>
      <c r="S12" s="39"/>
      <c r="T12" s="35"/>
      <c r="U12" s="40" t="e">
        <f>-IF(Q12-T12=0,0,(Q12-T12)/T12)</f>
        <v>#DIV/0!</v>
      </c>
    </row>
    <row r="13" spans="1:21" s="3" customFormat="1" ht="24.95" customHeight="1">
      <c r="D13" s="26"/>
      <c r="E13" s="24"/>
      <c r="F13" s="24"/>
      <c r="G13" s="24"/>
      <c r="H13" s="25"/>
      <c r="I13" s="25"/>
      <c r="T13" s="35"/>
      <c r="U13" s="40"/>
    </row>
    <row r="14" spans="1:21" s="3" customFormat="1" ht="24.95" customHeight="1">
      <c r="D14" s="21" t="s">
        <v>138</v>
      </c>
      <c r="E14" s="24"/>
      <c r="F14" s="24"/>
      <c r="G14" s="24"/>
      <c r="H14" s="24"/>
      <c r="I14" s="24"/>
      <c r="J14" s="24"/>
      <c r="K14" s="24"/>
      <c r="L14" s="24"/>
      <c r="M14" s="24"/>
      <c r="N14" s="24"/>
      <c r="O14" s="24"/>
      <c r="P14" s="24"/>
      <c r="T14" s="35"/>
      <c r="U14" s="40"/>
    </row>
    <row r="15" spans="1:21" s="3" customFormat="1" ht="24.95" hidden="1" customHeight="1">
      <c r="A15" s="3" t="s">
        <v>484</v>
      </c>
      <c r="B15" s="3" t="s">
        <v>49</v>
      </c>
      <c r="D15" s="26" t="s">
        <v>485</v>
      </c>
      <c r="E15" s="43">
        <f>EO!E15+Finance!E15+HR!E15+Security!E15+IT!E15</f>
        <v>0</v>
      </c>
      <c r="F15" s="43">
        <f>EO!F15+Finance!F15+HR!F15+Security!F15+IT!F15</f>
        <v>0</v>
      </c>
      <c r="G15" s="43">
        <f>EO!G15+Finance!G15+HR!G15+Security!G15+IT!G15</f>
        <v>0</v>
      </c>
      <c r="H15" s="43">
        <f>EO!H15+Finance!H15+HR!H15+Security!H15+IT!H15</f>
        <v>0</v>
      </c>
      <c r="I15" s="43">
        <f>EO!I15+Finance!I15+HR!I15+Security!I15+IT!I15</f>
        <v>0</v>
      </c>
      <c r="J15" s="43">
        <f>EO!J15+Finance!J15+HR!J15+Security!J15+IT!J15</f>
        <v>0</v>
      </c>
      <c r="K15" s="43">
        <f>EO!K15+Finance!K15+HR!K15+Security!K15+IT!K15</f>
        <v>0</v>
      </c>
      <c r="L15" s="43">
        <f>EO!L15+Finance!L15+HR!L15+Security!L15+IT!L15</f>
        <v>0</v>
      </c>
      <c r="M15" s="43">
        <f>EO!M15+Finance!M15+HR!M15+Security!M15+IT!M15</f>
        <v>0</v>
      </c>
      <c r="N15" s="43">
        <f>EO!N15+Finance!N15+HR!N15+Security!N15+IT!N15</f>
        <v>0</v>
      </c>
      <c r="O15" s="43">
        <f>EO!O15+Finance!O15+HR!O15+Security!O15+IT!O15</f>
        <v>0</v>
      </c>
      <c r="P15" s="43">
        <f>EO!P15+Finance!P15+HR!P15+Security!P15+IT!P15</f>
        <v>0</v>
      </c>
      <c r="Q15" s="3">
        <f>SUM(E15:P15)</f>
        <v>0</v>
      </c>
      <c r="R15" s="39">
        <f>Q15/Summary!$Q$16</f>
        <v>0</v>
      </c>
      <c r="S15" s="39"/>
      <c r="T15" s="35"/>
      <c r="U15" s="40">
        <f t="shared" ref="U15:U22" si="1">IF(Q15-T15=0,0,(Q15-T15)/T15)</f>
        <v>0</v>
      </c>
    </row>
    <row r="16" spans="1:21" s="3" customFormat="1" ht="24.95" hidden="1" customHeight="1">
      <c r="A16" s="3" t="s">
        <v>486</v>
      </c>
      <c r="B16" s="3" t="s">
        <v>49</v>
      </c>
      <c r="D16" s="28" t="s">
        <v>487</v>
      </c>
      <c r="E16" s="43">
        <f>EO!E16+Finance!E16+HR!E16+Security!E16+IT!E16</f>
        <v>0</v>
      </c>
      <c r="F16" s="43">
        <f>EO!F16+Finance!F16+HR!F16+Security!F16+IT!F16</f>
        <v>0</v>
      </c>
      <c r="G16" s="43">
        <f>EO!G16+Finance!G16+HR!G16+Security!G16+IT!G16</f>
        <v>0</v>
      </c>
      <c r="H16" s="43">
        <f>EO!H16+Finance!H16+HR!H16+Security!H16+IT!H16</f>
        <v>0</v>
      </c>
      <c r="I16" s="43">
        <f>EO!I16+Finance!I16+HR!I16+Security!I16+IT!I16</f>
        <v>0</v>
      </c>
      <c r="J16" s="43">
        <f>EO!J16+Finance!J16+HR!J16+Security!J16+IT!J16</f>
        <v>0</v>
      </c>
      <c r="K16" s="43">
        <f>EO!K16+Finance!K16+HR!K16+Security!K16+IT!K16</f>
        <v>0</v>
      </c>
      <c r="L16" s="43">
        <f>EO!L16+Finance!L16+HR!L16+Security!L16+IT!L16</f>
        <v>0</v>
      </c>
      <c r="M16" s="43">
        <f>EO!M16+Finance!M16+HR!M16+Security!M16+IT!M16</f>
        <v>0</v>
      </c>
      <c r="N16" s="43">
        <f>EO!N16+Finance!N16+HR!N16+Security!N16+IT!N16</f>
        <v>0</v>
      </c>
      <c r="O16" s="43">
        <f>EO!O16+Finance!O16+HR!O16+Security!O16+IT!O16</f>
        <v>0</v>
      </c>
      <c r="P16" s="43">
        <f>EO!P16+Finance!P16+HR!P16+Security!P16+IT!P16</f>
        <v>0</v>
      </c>
      <c r="Q16" s="3">
        <f t="shared" ref="Q16:Q79" si="2">SUM(E16:P16)</f>
        <v>0</v>
      </c>
      <c r="R16" s="39">
        <f>Q16/Summary!$Q$16</f>
        <v>0</v>
      </c>
      <c r="S16" s="39"/>
      <c r="T16" s="35"/>
      <c r="U16" s="40">
        <f t="shared" si="1"/>
        <v>0</v>
      </c>
    </row>
    <row r="17" spans="1:21" s="3" customFormat="1" ht="24.95" hidden="1" customHeight="1">
      <c r="A17" s="3" t="s">
        <v>488</v>
      </c>
      <c r="B17" s="3" t="s">
        <v>49</v>
      </c>
      <c r="D17" s="26" t="s">
        <v>489</v>
      </c>
      <c r="E17" s="43">
        <f>EO!E17+Finance!E17+HR!E17+Security!E17+IT!E17</f>
        <v>0</v>
      </c>
      <c r="F17" s="43">
        <f>EO!F17+Finance!F17+HR!F17+Security!F17+IT!F17</f>
        <v>0</v>
      </c>
      <c r="G17" s="43">
        <f>EO!G17+Finance!G17+HR!G17+Security!G17+IT!G17</f>
        <v>0</v>
      </c>
      <c r="H17" s="43">
        <f>EO!H17+Finance!H17+HR!H17+Security!H17+IT!H17</f>
        <v>0</v>
      </c>
      <c r="I17" s="43">
        <f>EO!I17+Finance!I17+HR!I17+Security!I17+IT!I17</f>
        <v>0</v>
      </c>
      <c r="J17" s="43">
        <f>EO!J17+Finance!J17+HR!J17+Security!J17+IT!J17</f>
        <v>0</v>
      </c>
      <c r="K17" s="43">
        <f>EO!K17+Finance!K17+HR!K17+Security!K17+IT!K17</f>
        <v>0</v>
      </c>
      <c r="L17" s="43">
        <f>EO!L17+Finance!L17+HR!L17+Security!L17+IT!L17</f>
        <v>0</v>
      </c>
      <c r="M17" s="43">
        <f>EO!M17+Finance!M17+HR!M17+Security!M17+IT!M17</f>
        <v>0</v>
      </c>
      <c r="N17" s="43">
        <f>EO!N17+Finance!N17+HR!N17+Security!N17+IT!N17</f>
        <v>0</v>
      </c>
      <c r="O17" s="43">
        <f>EO!O17+Finance!O17+HR!O17+Security!O17+IT!O17</f>
        <v>0</v>
      </c>
      <c r="P17" s="43">
        <f>EO!P17+Finance!P17+HR!P17+Security!P17+IT!P17</f>
        <v>0</v>
      </c>
      <c r="Q17" s="3">
        <f t="shared" si="2"/>
        <v>0</v>
      </c>
      <c r="R17" s="39">
        <f>Q17/Summary!$Q$16</f>
        <v>0</v>
      </c>
      <c r="S17" s="39"/>
      <c r="T17" s="35"/>
      <c r="U17" s="40">
        <f t="shared" si="1"/>
        <v>0</v>
      </c>
    </row>
    <row r="18" spans="1:21" s="3" customFormat="1" ht="24.95" hidden="1" customHeight="1">
      <c r="A18" s="3" t="s">
        <v>490</v>
      </c>
      <c r="B18" s="3" t="s">
        <v>49</v>
      </c>
      <c r="D18" s="26" t="s">
        <v>491</v>
      </c>
      <c r="E18" s="43">
        <f>EO!E18+Finance!E18+HR!E18+Security!E18+IT!E18</f>
        <v>0</v>
      </c>
      <c r="F18" s="43">
        <f>EO!F18+Finance!F18+HR!F18+Security!F18+IT!F18</f>
        <v>0</v>
      </c>
      <c r="G18" s="43">
        <f>EO!G18+Finance!G18+HR!G18+Security!G18+IT!G18</f>
        <v>0</v>
      </c>
      <c r="H18" s="43">
        <f>EO!H18+Finance!H18+HR!H18+Security!H18+IT!H18</f>
        <v>0</v>
      </c>
      <c r="I18" s="43">
        <f>EO!I18+Finance!I18+HR!I18+Security!I18+IT!I18</f>
        <v>0</v>
      </c>
      <c r="J18" s="43">
        <f>EO!J18+Finance!J18+HR!J18+Security!J18+IT!J18</f>
        <v>0</v>
      </c>
      <c r="K18" s="43">
        <f>EO!K18+Finance!K18+HR!K18+Security!K18+IT!K18</f>
        <v>0</v>
      </c>
      <c r="L18" s="43">
        <f>EO!L18+Finance!L18+HR!L18+Security!L18+IT!L18</f>
        <v>0</v>
      </c>
      <c r="M18" s="43">
        <f>EO!M18+Finance!M18+HR!M18+Security!M18+IT!M18</f>
        <v>0</v>
      </c>
      <c r="N18" s="43">
        <f>EO!N18+Finance!N18+HR!N18+Security!N18+IT!N18</f>
        <v>0</v>
      </c>
      <c r="O18" s="43">
        <f>EO!O18+Finance!O18+HR!O18+Security!O18+IT!O18</f>
        <v>0</v>
      </c>
      <c r="P18" s="43">
        <f>EO!P18+Finance!P18+HR!P18+Security!P18+IT!P18</f>
        <v>0</v>
      </c>
      <c r="Q18" s="3">
        <f t="shared" si="2"/>
        <v>0</v>
      </c>
      <c r="R18" s="39">
        <f>Q18/Summary!$Q$16</f>
        <v>0</v>
      </c>
      <c r="S18" s="39"/>
      <c r="T18" s="35"/>
      <c r="U18" s="40">
        <f t="shared" si="1"/>
        <v>0</v>
      </c>
    </row>
    <row r="19" spans="1:21" s="3" customFormat="1" ht="24.95" hidden="1" customHeight="1">
      <c r="A19" s="3" t="s">
        <v>492</v>
      </c>
      <c r="B19" s="3" t="s">
        <v>49</v>
      </c>
      <c r="D19" s="29" t="s">
        <v>493</v>
      </c>
      <c r="E19" s="43">
        <f>EO!E19+Finance!E19+HR!E19+Security!E19+IT!E19</f>
        <v>0</v>
      </c>
      <c r="F19" s="43">
        <f>EO!F19+Finance!F19+HR!F19+Security!F19+IT!F19</f>
        <v>0</v>
      </c>
      <c r="G19" s="43">
        <f>EO!G19+Finance!G19+HR!G19+Security!G19+IT!G19</f>
        <v>0</v>
      </c>
      <c r="H19" s="43">
        <f>EO!H19+Finance!H19+HR!H19+Security!H19+IT!H19</f>
        <v>0</v>
      </c>
      <c r="I19" s="43">
        <f>EO!I19+Finance!I19+HR!I19+Security!I19+IT!I19</f>
        <v>0</v>
      </c>
      <c r="J19" s="43">
        <f>EO!J19+Finance!J19+HR!J19+Security!J19+IT!J19</f>
        <v>0</v>
      </c>
      <c r="K19" s="43">
        <f>EO!K19+Finance!K19+HR!K19+Security!K19+IT!K19</f>
        <v>0</v>
      </c>
      <c r="L19" s="43">
        <f>EO!L19+Finance!L19+HR!L19+Security!L19+IT!L19</f>
        <v>0</v>
      </c>
      <c r="M19" s="43">
        <f>EO!M19+Finance!M19+HR!M19+Security!M19+IT!M19</f>
        <v>0</v>
      </c>
      <c r="N19" s="43">
        <f>EO!N19+Finance!N19+HR!N19+Security!N19+IT!N19</f>
        <v>0</v>
      </c>
      <c r="O19" s="43">
        <f>EO!O19+Finance!O19+HR!O19+Security!O19+IT!O19</f>
        <v>0</v>
      </c>
      <c r="P19" s="43">
        <f>EO!P19+Finance!P19+HR!P19+Security!P19+IT!P19</f>
        <v>0</v>
      </c>
      <c r="Q19" s="3">
        <f t="shared" si="2"/>
        <v>0</v>
      </c>
      <c r="R19" s="39">
        <f>Q19/Summary!$Q$16</f>
        <v>0</v>
      </c>
      <c r="S19" s="39"/>
      <c r="T19" s="35"/>
      <c r="U19" s="40">
        <f t="shared" si="1"/>
        <v>0</v>
      </c>
    </row>
    <row r="20" spans="1:21" s="3" customFormat="1" ht="24.95" hidden="1" customHeight="1">
      <c r="A20" s="3" t="s">
        <v>494</v>
      </c>
      <c r="B20" s="3" t="s">
        <v>49</v>
      </c>
      <c r="D20" s="29" t="s">
        <v>495</v>
      </c>
      <c r="E20" s="43">
        <f>EO!E20+Finance!E20+HR!E20+Security!E20+IT!E20</f>
        <v>0</v>
      </c>
      <c r="F20" s="43">
        <f>EO!F20+Finance!F20+HR!F20+Security!F20+IT!F20</f>
        <v>0</v>
      </c>
      <c r="G20" s="43">
        <f>EO!G20+Finance!G20+HR!G20+Security!G20+IT!G20</f>
        <v>0</v>
      </c>
      <c r="H20" s="43">
        <f>EO!H20+Finance!H20+HR!H20+Security!H20+IT!H20</f>
        <v>0</v>
      </c>
      <c r="I20" s="43">
        <f>EO!I20+Finance!I20+HR!I20+Security!I20+IT!I20</f>
        <v>0</v>
      </c>
      <c r="J20" s="43">
        <f>EO!J20+Finance!J20+HR!J20+Security!J20+IT!J20</f>
        <v>0</v>
      </c>
      <c r="K20" s="43">
        <f>EO!K20+Finance!K20+HR!K20+Security!K20+IT!K20</f>
        <v>0</v>
      </c>
      <c r="L20" s="43">
        <f>EO!L20+Finance!L20+HR!L20+Security!L20+IT!L20</f>
        <v>0</v>
      </c>
      <c r="M20" s="43">
        <f>EO!M20+Finance!M20+HR!M20+Security!M20+IT!M20</f>
        <v>0</v>
      </c>
      <c r="N20" s="43">
        <f>EO!N20+Finance!N20+HR!N20+Security!N20+IT!N20</f>
        <v>0</v>
      </c>
      <c r="O20" s="43">
        <f>EO!O20+Finance!O20+HR!O20+Security!O20+IT!O20</f>
        <v>0</v>
      </c>
      <c r="P20" s="43">
        <f>EO!P20+Finance!P20+HR!P20+Security!P20+IT!P20</f>
        <v>0</v>
      </c>
      <c r="Q20" s="3">
        <f t="shared" si="2"/>
        <v>0</v>
      </c>
      <c r="R20" s="39">
        <f>Q20/Summary!$Q$16</f>
        <v>0</v>
      </c>
      <c r="S20" s="39"/>
      <c r="T20" s="35"/>
      <c r="U20" s="40">
        <f t="shared" si="1"/>
        <v>0</v>
      </c>
    </row>
    <row r="21" spans="1:21" s="3" customFormat="1" ht="24.95" customHeight="1">
      <c r="A21" s="3" t="s">
        <v>496</v>
      </c>
      <c r="B21" s="3" t="s">
        <v>49</v>
      </c>
      <c r="D21" s="26" t="s">
        <v>497</v>
      </c>
      <c r="E21" s="43">
        <f>EO!E21+Finance!E21+HR!E21+Security!E21+IT!E21</f>
        <v>0</v>
      </c>
      <c r="F21" s="43">
        <f>EO!F21+Finance!F21+HR!F21+Security!F21+IT!F21</f>
        <v>0</v>
      </c>
      <c r="G21" s="43">
        <f>EO!G21+Finance!G21+HR!G21+Security!G21+IT!G21</f>
        <v>0</v>
      </c>
      <c r="H21" s="43">
        <f>EO!H21+Finance!H21+HR!H21+Security!H21+IT!H21</f>
        <v>0</v>
      </c>
      <c r="I21" s="43">
        <f>EO!I21+Finance!I21+HR!I21+Security!I21+IT!I21</f>
        <v>0</v>
      </c>
      <c r="J21" s="43">
        <f>EO!J21+Finance!J21+HR!J21+Security!J21+IT!J21</f>
        <v>0</v>
      </c>
      <c r="K21" s="43">
        <f>EO!K21+Finance!K21+HR!K21+Security!K21+IT!K21</f>
        <v>0</v>
      </c>
      <c r="L21" s="43">
        <f>EO!L21+Finance!L21+HR!L21+Security!L21+IT!L21</f>
        <v>0</v>
      </c>
      <c r="M21" s="43">
        <f>EO!M21+Finance!M21+HR!M21+Security!M21+IT!M21</f>
        <v>0</v>
      </c>
      <c r="N21" s="43">
        <f>EO!N21+Finance!N21+HR!N21+Security!N21+IT!N21</f>
        <v>0</v>
      </c>
      <c r="O21" s="43">
        <f>EO!O21+Finance!O21+HR!O21+Security!O21+IT!O21</f>
        <v>0</v>
      </c>
      <c r="P21" s="43">
        <f>EO!P21+Finance!P21+HR!P21+Security!P21+IT!P21</f>
        <v>0</v>
      </c>
      <c r="Q21" s="3">
        <f t="shared" si="2"/>
        <v>0</v>
      </c>
      <c r="R21" s="39">
        <f>Q21/Summary!$Q$16</f>
        <v>0</v>
      </c>
      <c r="S21" s="39"/>
      <c r="T21" s="35"/>
      <c r="U21" s="40">
        <f t="shared" si="1"/>
        <v>0</v>
      </c>
    </row>
    <row r="22" spans="1:21" s="3" customFormat="1" ht="24.95" hidden="1" customHeight="1">
      <c r="A22" s="3" t="s">
        <v>498</v>
      </c>
      <c r="B22" s="3" t="s">
        <v>49</v>
      </c>
      <c r="D22" s="29" t="s">
        <v>499</v>
      </c>
      <c r="E22" s="43">
        <f>EO!E22+Finance!E22+HR!E22+Security!E22+IT!E22</f>
        <v>0</v>
      </c>
      <c r="F22" s="43">
        <f>EO!F22+Finance!F22+HR!F22+Security!F22+IT!F22</f>
        <v>0</v>
      </c>
      <c r="G22" s="43">
        <f>EO!G22+Finance!G22+HR!G22+Security!G22+IT!G22</f>
        <v>0</v>
      </c>
      <c r="H22" s="43">
        <f>EO!H22+Finance!H22+HR!H22+Security!H22+IT!H22</f>
        <v>0</v>
      </c>
      <c r="I22" s="43">
        <f>EO!I22+Finance!I22+HR!I22+Security!I22+IT!I22</f>
        <v>0</v>
      </c>
      <c r="J22" s="43">
        <f>EO!J22+Finance!J22+HR!J22+Security!J22+IT!J22</f>
        <v>0</v>
      </c>
      <c r="K22" s="43">
        <f>EO!K22+Finance!K22+HR!K22+Security!K22+IT!K22</f>
        <v>0</v>
      </c>
      <c r="L22" s="43">
        <f>EO!L22+Finance!L22+HR!L22+Security!L22+IT!L22</f>
        <v>0</v>
      </c>
      <c r="M22" s="43">
        <f>EO!M22+Finance!M22+HR!M22+Security!M22+IT!M22</f>
        <v>0</v>
      </c>
      <c r="N22" s="43">
        <f>EO!N22+Finance!N22+HR!N22+Security!N22+IT!N22</f>
        <v>0</v>
      </c>
      <c r="O22" s="43">
        <f>EO!O22+Finance!O22+HR!O22+Security!O22+IT!O22</f>
        <v>0</v>
      </c>
      <c r="P22" s="43">
        <f>EO!P22+Finance!P22+HR!P22+Security!P22+IT!P22</f>
        <v>0</v>
      </c>
      <c r="Q22" s="3">
        <f t="shared" si="2"/>
        <v>0</v>
      </c>
      <c r="R22" s="39">
        <f>Q22/Summary!$Q$16</f>
        <v>0</v>
      </c>
      <c r="S22" s="39"/>
      <c r="T22" s="35"/>
      <c r="U22" s="40">
        <f t="shared" si="1"/>
        <v>0</v>
      </c>
    </row>
    <row r="23" spans="1:21" s="3" customFormat="1" ht="24.95" customHeight="1">
      <c r="A23" s="3" t="s">
        <v>500</v>
      </c>
      <c r="B23" s="3" t="s">
        <v>49</v>
      </c>
      <c r="D23" s="26" t="s">
        <v>501</v>
      </c>
      <c r="E23" s="43">
        <f>EO!E23+Finance!E23+HR!E23+Security!E23+IT!E23</f>
        <v>0</v>
      </c>
      <c r="F23" s="43">
        <f>EO!F23+Finance!F23+HR!F23+Security!F23+IT!F23</f>
        <v>0</v>
      </c>
      <c r="G23" s="43">
        <f>EO!G23+Finance!G23+HR!G23+Security!G23+IT!G23</f>
        <v>0</v>
      </c>
      <c r="H23" s="43">
        <f>EO!H23+Finance!H23+HR!H23+Security!H23+IT!H23</f>
        <v>0</v>
      </c>
      <c r="I23" s="43">
        <f>EO!I23+Finance!I23+HR!I23+Security!I23+IT!I23</f>
        <v>0</v>
      </c>
      <c r="J23" s="43">
        <f>EO!J23+Finance!J23+HR!J23+Security!J23+IT!J23</f>
        <v>0</v>
      </c>
      <c r="K23" s="43">
        <f>EO!K23+Finance!K23+HR!K23+Security!K23+IT!K23</f>
        <v>0</v>
      </c>
      <c r="L23" s="43">
        <f>EO!L23+Finance!L23+HR!L23+Security!L23+IT!L23</f>
        <v>0</v>
      </c>
      <c r="M23" s="43">
        <f>EO!M23+Finance!M23+HR!M23+Security!M23+IT!M23</f>
        <v>0</v>
      </c>
      <c r="N23" s="43">
        <f>EO!N23+Finance!N23+HR!N23+Security!N23+IT!N23</f>
        <v>0</v>
      </c>
      <c r="O23" s="43">
        <f>EO!O23+Finance!O23+HR!O23+Security!O23+IT!O23</f>
        <v>0</v>
      </c>
      <c r="P23" s="43">
        <f>EO!P23+Finance!P23+HR!P23+Security!P23+IT!P23</f>
        <v>0</v>
      </c>
      <c r="Q23" s="3">
        <f t="shared" si="2"/>
        <v>0</v>
      </c>
      <c r="R23" s="39">
        <f>Q23/Summary!$Q$16</f>
        <v>0</v>
      </c>
      <c r="S23" s="39"/>
      <c r="T23" s="35"/>
      <c r="U23" s="40">
        <f t="shared" ref="U23:U70" si="3">-IF(Q23-T23=0,0,(Q23-T23)/T23)</f>
        <v>0</v>
      </c>
    </row>
    <row r="24" spans="1:21" s="3" customFormat="1" ht="24.95" hidden="1" customHeight="1">
      <c r="A24" s="3" t="s">
        <v>502</v>
      </c>
      <c r="B24" s="3" t="s">
        <v>49</v>
      </c>
      <c r="D24" s="26" t="s">
        <v>503</v>
      </c>
      <c r="E24" s="43">
        <f>EO!E24+Finance!E24+HR!E24+Security!E24+IT!E24</f>
        <v>0</v>
      </c>
      <c r="F24" s="43">
        <f>EO!F24+Finance!F24+HR!F24+Security!F24+IT!F24</f>
        <v>0</v>
      </c>
      <c r="G24" s="43">
        <f>EO!G24+Finance!G24+HR!G24+Security!G24+IT!G24</f>
        <v>0</v>
      </c>
      <c r="H24" s="43">
        <f>EO!H24+Finance!H24+HR!H24+Security!H24+IT!H24</f>
        <v>0</v>
      </c>
      <c r="I24" s="43">
        <f>EO!I24+Finance!I24+HR!I24+Security!I24+IT!I24</f>
        <v>2000</v>
      </c>
      <c r="J24" s="43">
        <f>EO!J24+Finance!J24+HR!J24+Security!J24+IT!J24</f>
        <v>0</v>
      </c>
      <c r="K24" s="43">
        <f>EO!K24+Finance!K24+HR!K24+Security!K24+IT!K24</f>
        <v>0</v>
      </c>
      <c r="L24" s="43">
        <f>EO!L24+Finance!L24+HR!L24+Security!L24+IT!L24</f>
        <v>0</v>
      </c>
      <c r="M24" s="43">
        <f>EO!M24+Finance!M24+HR!M24+Security!M24+IT!M24</f>
        <v>0</v>
      </c>
      <c r="N24" s="43">
        <f>EO!N24+Finance!N24+HR!N24+Security!N24+IT!N24</f>
        <v>4000</v>
      </c>
      <c r="O24" s="43">
        <f>EO!O24+Finance!O24+HR!O24+Security!O24+IT!O24</f>
        <v>0</v>
      </c>
      <c r="P24" s="43">
        <f>EO!P24+Finance!P24+HR!P24+Security!P24+IT!P24</f>
        <v>0</v>
      </c>
      <c r="Q24" s="3">
        <f t="shared" si="2"/>
        <v>6000</v>
      </c>
      <c r="R24" s="39">
        <f>Q24/Summary!$Q$16</f>
        <v>1.8040885626113205E-4</v>
      </c>
      <c r="S24" s="39"/>
      <c r="T24" s="35"/>
      <c r="U24" s="40" t="e">
        <f t="shared" si="3"/>
        <v>#DIV/0!</v>
      </c>
    </row>
    <row r="25" spans="1:21" s="3" customFormat="1" ht="24.95" hidden="1" customHeight="1">
      <c r="A25" s="3" t="s">
        <v>504</v>
      </c>
      <c r="B25" s="3" t="s">
        <v>49</v>
      </c>
      <c r="D25" s="26" t="s">
        <v>505</v>
      </c>
      <c r="E25" s="43">
        <f>EO!E25+Finance!E25+HR!E25+Security!E25+IT!E25</f>
        <v>0</v>
      </c>
      <c r="F25" s="43">
        <f>EO!F25+Finance!F25+HR!F25+Security!F25+IT!F25</f>
        <v>0</v>
      </c>
      <c r="G25" s="43">
        <f>EO!G25+Finance!G25+HR!G25+Security!G25+IT!G25</f>
        <v>0</v>
      </c>
      <c r="H25" s="43">
        <f>EO!H25+Finance!H25+HR!H25+Security!H25+IT!H25</f>
        <v>0</v>
      </c>
      <c r="I25" s="43">
        <f>EO!I25+Finance!I25+HR!I25+Security!I25+IT!I25</f>
        <v>0</v>
      </c>
      <c r="J25" s="43">
        <f>EO!J25+Finance!J25+HR!J25+Security!J25+IT!J25</f>
        <v>0</v>
      </c>
      <c r="K25" s="43">
        <f>EO!K25+Finance!K25+HR!K25+Security!K25+IT!K25</f>
        <v>0</v>
      </c>
      <c r="L25" s="43">
        <f>EO!L25+Finance!L25+HR!L25+Security!L25+IT!L25</f>
        <v>0</v>
      </c>
      <c r="M25" s="43">
        <f>EO!M25+Finance!M25+HR!M25+Security!M25+IT!M25</f>
        <v>0</v>
      </c>
      <c r="N25" s="43">
        <f>EO!N25+Finance!N25+HR!N25+Security!N25+IT!N25</f>
        <v>0</v>
      </c>
      <c r="O25" s="43">
        <f>EO!O25+Finance!O25+HR!O25+Security!O25+IT!O25</f>
        <v>0</v>
      </c>
      <c r="P25" s="43">
        <f>EO!P25+Finance!P25+HR!P25+Security!P25+IT!P25</f>
        <v>0</v>
      </c>
      <c r="Q25" s="3">
        <f t="shared" si="2"/>
        <v>0</v>
      </c>
      <c r="R25" s="39">
        <f>Q25/Summary!$Q$16</f>
        <v>0</v>
      </c>
      <c r="S25" s="39"/>
      <c r="T25" s="35"/>
      <c r="U25" s="40">
        <f t="shared" si="3"/>
        <v>0</v>
      </c>
    </row>
    <row r="26" spans="1:21" s="3" customFormat="1" ht="24.95" customHeight="1">
      <c r="A26" s="3" t="s">
        <v>506</v>
      </c>
      <c r="B26" s="3" t="s">
        <v>49</v>
      </c>
      <c r="D26" s="26" t="s">
        <v>507</v>
      </c>
      <c r="E26" s="43">
        <f>EO!E26+Finance!E26+HR!E26+Security!E26+IT!E26</f>
        <v>3400</v>
      </c>
      <c r="F26" s="43">
        <f>EO!F26+Finance!F26+HR!F26+Security!F26+IT!F26</f>
        <v>3400</v>
      </c>
      <c r="G26" s="43">
        <f>EO!G26+Finance!G26+HR!G26+Security!G26+IT!G26</f>
        <v>3400</v>
      </c>
      <c r="H26" s="43">
        <f>EO!H26+Finance!H26+HR!H26+Security!H26+IT!H26</f>
        <v>3400</v>
      </c>
      <c r="I26" s="43">
        <f>EO!I26+Finance!I26+HR!I26+Security!I26+IT!I26</f>
        <v>3400</v>
      </c>
      <c r="J26" s="43">
        <f>EO!J26+Finance!J26+HR!J26+Security!J26+IT!J26</f>
        <v>3400</v>
      </c>
      <c r="K26" s="43">
        <f>EO!K26+Finance!K26+HR!K26+Security!K26+IT!K26</f>
        <v>3400</v>
      </c>
      <c r="L26" s="43">
        <f>EO!L26+Finance!L26+HR!L26+Security!L26+IT!L26</f>
        <v>3400</v>
      </c>
      <c r="M26" s="43">
        <f>EO!M26+Finance!M26+HR!M26+Security!M26+IT!M26</f>
        <v>3400</v>
      </c>
      <c r="N26" s="43">
        <f>EO!N26+Finance!N26+HR!N26+Security!N26+IT!N26</f>
        <v>3400</v>
      </c>
      <c r="O26" s="43">
        <f>EO!O26+Finance!O26+HR!O26+Security!O26+IT!O26</f>
        <v>3400</v>
      </c>
      <c r="P26" s="43">
        <f>EO!P26+Finance!P26+HR!P26+Security!P26+IT!P26</f>
        <v>3400</v>
      </c>
      <c r="Q26" s="3">
        <f t="shared" si="2"/>
        <v>40800</v>
      </c>
      <c r="R26" s="39">
        <f>Q26/Summary!$Q$16</f>
        <v>1.2267802225756979E-3</v>
      </c>
      <c r="S26" s="39"/>
      <c r="T26" s="35"/>
      <c r="U26" s="40" t="e">
        <f t="shared" si="3"/>
        <v>#DIV/0!</v>
      </c>
    </row>
    <row r="27" spans="1:21" s="3" customFormat="1" ht="24.95" hidden="1" customHeight="1">
      <c r="A27" s="3" t="s">
        <v>508</v>
      </c>
      <c r="B27" s="3" t="s">
        <v>49</v>
      </c>
      <c r="D27" s="26" t="s">
        <v>509</v>
      </c>
      <c r="E27" s="43">
        <f>EO!E27+Finance!E27+HR!E27+Security!E27+IT!E27</f>
        <v>0</v>
      </c>
      <c r="F27" s="43">
        <f>EO!F27+Finance!F27+HR!F27+Security!F27+IT!F27</f>
        <v>0</v>
      </c>
      <c r="G27" s="43">
        <f>EO!G27+Finance!G27+HR!G27+Security!G27+IT!G27</f>
        <v>0</v>
      </c>
      <c r="H27" s="43">
        <f>EO!H27+Finance!H27+HR!H27+Security!H27+IT!H27</f>
        <v>0</v>
      </c>
      <c r="I27" s="43">
        <f>EO!I27+Finance!I27+HR!I27+Security!I27+IT!I27</f>
        <v>0</v>
      </c>
      <c r="J27" s="43">
        <f>EO!J27+Finance!J27+HR!J27+Security!J27+IT!J27</f>
        <v>0</v>
      </c>
      <c r="K27" s="43">
        <f>EO!K27+Finance!K27+HR!K27+Security!K27+IT!K27</f>
        <v>0</v>
      </c>
      <c r="L27" s="43">
        <f>EO!L27+Finance!L27+HR!L27+Security!L27+IT!L27</f>
        <v>0</v>
      </c>
      <c r="M27" s="43">
        <f>EO!M27+Finance!M27+HR!M27+Security!M27+IT!M27</f>
        <v>0</v>
      </c>
      <c r="N27" s="43">
        <f>EO!N27+Finance!N27+HR!N27+Security!N27+IT!N27</f>
        <v>0</v>
      </c>
      <c r="O27" s="43">
        <f>EO!O27+Finance!O27+HR!O27+Security!O27+IT!O27</f>
        <v>0</v>
      </c>
      <c r="P27" s="43">
        <f>EO!P27+Finance!P27+HR!P27+Security!P27+IT!P27</f>
        <v>0</v>
      </c>
      <c r="Q27" s="3">
        <f t="shared" si="2"/>
        <v>0</v>
      </c>
      <c r="R27" s="39">
        <f>Q27/Summary!$Q$16</f>
        <v>0</v>
      </c>
      <c r="S27" s="39"/>
      <c r="T27" s="35"/>
      <c r="U27" s="40">
        <f t="shared" si="3"/>
        <v>0</v>
      </c>
    </row>
    <row r="28" spans="1:21" s="3" customFormat="1" ht="24.95" hidden="1" customHeight="1">
      <c r="A28" s="3" t="s">
        <v>510</v>
      </c>
      <c r="B28" s="3" t="s">
        <v>49</v>
      </c>
      <c r="D28" s="26" t="s">
        <v>511</v>
      </c>
      <c r="E28" s="43">
        <f>EO!E28+Finance!E28+HR!E28+Security!E28+IT!E28</f>
        <v>0</v>
      </c>
      <c r="F28" s="43">
        <f>EO!F28+Finance!F28+HR!F28+Security!F28+IT!F28</f>
        <v>0</v>
      </c>
      <c r="G28" s="43">
        <f>EO!G28+Finance!G28+HR!G28+Security!G28+IT!G28</f>
        <v>0</v>
      </c>
      <c r="H28" s="43">
        <f>EO!H28+Finance!H28+HR!H28+Security!H28+IT!H28</f>
        <v>0</v>
      </c>
      <c r="I28" s="43">
        <f>EO!I28+Finance!I28+HR!I28+Security!I28+IT!I28</f>
        <v>0</v>
      </c>
      <c r="J28" s="43">
        <f>EO!J28+Finance!J28+HR!J28+Security!J28+IT!J28</f>
        <v>0</v>
      </c>
      <c r="K28" s="43">
        <f>EO!K28+Finance!K28+HR!K28+Security!K28+IT!K28</f>
        <v>0</v>
      </c>
      <c r="L28" s="43">
        <f>EO!L28+Finance!L28+HR!L28+Security!L28+IT!L28</f>
        <v>0</v>
      </c>
      <c r="M28" s="43">
        <f>EO!M28+Finance!M28+HR!M28+Security!M28+IT!M28</f>
        <v>0</v>
      </c>
      <c r="N28" s="43">
        <f>EO!N28+Finance!N28+HR!N28+Security!N28+IT!N28</f>
        <v>0</v>
      </c>
      <c r="O28" s="43">
        <f>EO!O28+Finance!O28+HR!O28+Security!O28+IT!O28</f>
        <v>0</v>
      </c>
      <c r="P28" s="43">
        <f>EO!P28+Finance!P28+HR!P28+Security!P28+IT!P28</f>
        <v>0</v>
      </c>
      <c r="Q28" s="3">
        <f t="shared" si="2"/>
        <v>0</v>
      </c>
      <c r="R28" s="39">
        <f>Q28/Summary!$Q$16</f>
        <v>0</v>
      </c>
      <c r="S28" s="39"/>
      <c r="T28" s="35"/>
      <c r="U28" s="40">
        <f t="shared" si="3"/>
        <v>0</v>
      </c>
    </row>
    <row r="29" spans="1:21" s="3" customFormat="1" ht="24.95" hidden="1" customHeight="1">
      <c r="A29" s="3" t="s">
        <v>512</v>
      </c>
      <c r="B29" s="3" t="s">
        <v>49</v>
      </c>
      <c r="D29" s="26" t="s">
        <v>169</v>
      </c>
      <c r="E29" s="43">
        <f>EO!E29+Finance!E29+HR!E29+Security!E29+IT!E29</f>
        <v>0</v>
      </c>
      <c r="F29" s="43">
        <f>EO!F29+Finance!F29+HR!F29+Security!F29+IT!F29</f>
        <v>0</v>
      </c>
      <c r="G29" s="43">
        <f>EO!G29+Finance!G29+HR!G29+Security!G29+IT!G29</f>
        <v>0</v>
      </c>
      <c r="H29" s="43">
        <f>EO!H29+Finance!H29+HR!H29+Security!H29+IT!H29</f>
        <v>0</v>
      </c>
      <c r="I29" s="43">
        <f>EO!I29+Finance!I29+HR!I29+Security!I29+IT!I29</f>
        <v>0</v>
      </c>
      <c r="J29" s="43">
        <f>EO!J29+Finance!J29+HR!J29+Security!J29+IT!J29</f>
        <v>0</v>
      </c>
      <c r="K29" s="43">
        <f>EO!K29+Finance!K29+HR!K29+Security!K29+IT!K29</f>
        <v>0</v>
      </c>
      <c r="L29" s="43">
        <f>EO!L29+Finance!L29+HR!L29+Security!L29+IT!L29</f>
        <v>0</v>
      </c>
      <c r="M29" s="43">
        <f>EO!M29+Finance!M29+HR!M29+Security!M29+IT!M29</f>
        <v>0</v>
      </c>
      <c r="N29" s="43">
        <f>EO!N29+Finance!N29+HR!N29+Security!N29+IT!N29</f>
        <v>0</v>
      </c>
      <c r="O29" s="43">
        <f>EO!O29+Finance!O29+HR!O29+Security!O29+IT!O29</f>
        <v>0</v>
      </c>
      <c r="P29" s="43">
        <f>EO!P29+Finance!P29+HR!P29+Security!P29+IT!P29</f>
        <v>0</v>
      </c>
      <c r="Q29" s="3">
        <f t="shared" si="2"/>
        <v>0</v>
      </c>
      <c r="R29" s="39">
        <f>Q29/Summary!$Q$16</f>
        <v>0</v>
      </c>
      <c r="S29" s="39"/>
      <c r="T29" s="35"/>
      <c r="U29" s="40">
        <f t="shared" si="3"/>
        <v>0</v>
      </c>
    </row>
    <row r="30" spans="1:21" s="3" customFormat="1" ht="24.95" hidden="1" customHeight="1">
      <c r="A30" s="3" t="s">
        <v>513</v>
      </c>
      <c r="B30" s="3" t="s">
        <v>49</v>
      </c>
      <c r="D30" s="26" t="s">
        <v>171</v>
      </c>
      <c r="E30" s="43">
        <f>EO!E30+Finance!E30+HR!E30+Security!E30+IT!E30</f>
        <v>0</v>
      </c>
      <c r="F30" s="43">
        <f>EO!F30+Finance!F30+HR!F30+Security!F30+IT!F30</f>
        <v>0</v>
      </c>
      <c r="G30" s="43">
        <f>EO!G30+Finance!G30+HR!G30+Security!G30+IT!G30</f>
        <v>0</v>
      </c>
      <c r="H30" s="43">
        <f>EO!H30+Finance!H30+HR!H30+Security!H30+IT!H30</f>
        <v>0</v>
      </c>
      <c r="I30" s="43">
        <f>EO!I30+Finance!I30+HR!I30+Security!I30+IT!I30</f>
        <v>0</v>
      </c>
      <c r="J30" s="43">
        <f>EO!J30+Finance!J30+HR!J30+Security!J30+IT!J30</f>
        <v>0</v>
      </c>
      <c r="K30" s="43">
        <f>EO!K30+Finance!K30+HR!K30+Security!K30+IT!K30</f>
        <v>0</v>
      </c>
      <c r="L30" s="43">
        <f>EO!L30+Finance!L30+HR!L30+Security!L30+IT!L30</f>
        <v>0</v>
      </c>
      <c r="M30" s="43">
        <f>EO!M30+Finance!M30+HR!M30+Security!M30+IT!M30</f>
        <v>0</v>
      </c>
      <c r="N30" s="43">
        <f>EO!N30+Finance!N30+HR!N30+Security!N30+IT!N30</f>
        <v>0</v>
      </c>
      <c r="O30" s="43">
        <f>EO!O30+Finance!O30+HR!O30+Security!O30+IT!O30</f>
        <v>0</v>
      </c>
      <c r="P30" s="43">
        <f>EO!P30+Finance!P30+HR!P30+Security!P30+IT!P30</f>
        <v>0</v>
      </c>
      <c r="Q30" s="3">
        <f t="shared" si="2"/>
        <v>0</v>
      </c>
      <c r="R30" s="39">
        <f>Q30/Summary!$Q$16</f>
        <v>0</v>
      </c>
      <c r="S30" s="39"/>
      <c r="T30" s="35"/>
      <c r="U30" s="40">
        <f t="shared" si="3"/>
        <v>0</v>
      </c>
    </row>
    <row r="31" spans="1:21" s="3" customFormat="1" ht="24.95" customHeight="1">
      <c r="A31" s="3" t="s">
        <v>514</v>
      </c>
      <c r="B31" s="3" t="s">
        <v>49</v>
      </c>
      <c r="D31" s="26" t="s">
        <v>515</v>
      </c>
      <c r="E31" s="43">
        <f>EO!E31+Finance!E31+HR!E31+Security!E31+IT!E31</f>
        <v>0</v>
      </c>
      <c r="F31" s="43">
        <f>EO!F31+Finance!F31+HR!F31+Security!F31+IT!F31</f>
        <v>0</v>
      </c>
      <c r="G31" s="43">
        <f>EO!G31+Finance!G31+HR!G31+Security!G31+IT!G31</f>
        <v>0</v>
      </c>
      <c r="H31" s="43">
        <f>EO!H31+Finance!H31+HR!H31+Security!H31+IT!H31</f>
        <v>0</v>
      </c>
      <c r="I31" s="43">
        <f>EO!I31+Finance!I31+HR!I31+Security!I31+IT!I31</f>
        <v>0</v>
      </c>
      <c r="J31" s="43">
        <f>EO!J31+Finance!J31+HR!J31+Security!J31+IT!J31</f>
        <v>0</v>
      </c>
      <c r="K31" s="43">
        <f>EO!K31+Finance!K31+HR!K31+Security!K31+IT!K31</f>
        <v>0</v>
      </c>
      <c r="L31" s="43">
        <f>EO!L31+Finance!L31+HR!L31+Security!L31+IT!L31</f>
        <v>0</v>
      </c>
      <c r="M31" s="43">
        <f>EO!M31+Finance!M31+HR!M31+Security!M31+IT!M31</f>
        <v>0</v>
      </c>
      <c r="N31" s="43">
        <f>EO!N31+Finance!N31+HR!N31+Security!N31+IT!N31</f>
        <v>0</v>
      </c>
      <c r="O31" s="43">
        <f>EO!O31+Finance!O31+HR!O31+Security!O31+IT!O31</f>
        <v>0</v>
      </c>
      <c r="P31" s="43">
        <f>EO!P31+Finance!P31+HR!P31+Security!P31+IT!P31</f>
        <v>0</v>
      </c>
      <c r="Q31" s="3">
        <f t="shared" si="2"/>
        <v>0</v>
      </c>
      <c r="R31" s="39">
        <f>Q31/Summary!$Q$16</f>
        <v>0</v>
      </c>
      <c r="S31" s="39"/>
      <c r="T31" s="35"/>
      <c r="U31" s="40">
        <f t="shared" si="3"/>
        <v>0</v>
      </c>
    </row>
    <row r="32" spans="1:21" s="3" customFormat="1" ht="24.95" hidden="1" customHeight="1">
      <c r="A32" s="3" t="s">
        <v>516</v>
      </c>
      <c r="B32" s="3" t="s">
        <v>49</v>
      </c>
      <c r="D32" s="26" t="s">
        <v>517</v>
      </c>
      <c r="E32" s="43">
        <f>EO!E32+Finance!E32+HR!E32+Security!E32+IT!E32</f>
        <v>0</v>
      </c>
      <c r="F32" s="43">
        <f>EO!F32+Finance!F32+HR!F32+Security!F32+IT!F32</f>
        <v>0</v>
      </c>
      <c r="G32" s="43">
        <f>EO!G32+Finance!G32+HR!G32+Security!G32+IT!G32</f>
        <v>0</v>
      </c>
      <c r="H32" s="43">
        <f>EO!H32+Finance!H32+HR!H32+Security!H32+IT!H32</f>
        <v>0</v>
      </c>
      <c r="I32" s="43">
        <f>EO!I32+Finance!I32+HR!I32+Security!I32+IT!I32</f>
        <v>0</v>
      </c>
      <c r="J32" s="43">
        <f>EO!J32+Finance!J32+HR!J32+Security!J32+IT!J32</f>
        <v>0</v>
      </c>
      <c r="K32" s="43">
        <f>EO!K32+Finance!K32+HR!K32+Security!K32+IT!K32</f>
        <v>0</v>
      </c>
      <c r="L32" s="43">
        <f>EO!L32+Finance!L32+HR!L32+Security!L32+IT!L32</f>
        <v>0</v>
      </c>
      <c r="M32" s="43">
        <f>EO!M32+Finance!M32+HR!M32+Security!M32+IT!M32</f>
        <v>0</v>
      </c>
      <c r="N32" s="43">
        <f>EO!N32+Finance!N32+HR!N32+Security!N32+IT!N32</f>
        <v>0</v>
      </c>
      <c r="O32" s="43">
        <f>EO!O32+Finance!O32+HR!O32+Security!O32+IT!O32</f>
        <v>0</v>
      </c>
      <c r="P32" s="43">
        <f>EO!P32+Finance!P32+HR!P32+Security!P32+IT!P32</f>
        <v>0</v>
      </c>
      <c r="Q32" s="3">
        <f t="shared" si="2"/>
        <v>0</v>
      </c>
      <c r="R32" s="39">
        <f>Q32/Summary!$Q$16</f>
        <v>0</v>
      </c>
      <c r="S32" s="39"/>
      <c r="T32" s="35"/>
      <c r="U32" s="40">
        <f t="shared" si="3"/>
        <v>0</v>
      </c>
    </row>
    <row r="33" spans="1:21" s="3" customFormat="1" ht="24.95" hidden="1" customHeight="1">
      <c r="A33" s="3" t="s">
        <v>518</v>
      </c>
      <c r="B33" s="3" t="s">
        <v>49</v>
      </c>
      <c r="D33" s="26" t="s">
        <v>519</v>
      </c>
      <c r="E33" s="43">
        <f>EO!E33+Finance!E33+HR!E33+Security!E33+IT!E33</f>
        <v>0</v>
      </c>
      <c r="F33" s="43">
        <f>EO!F33+Finance!F33+HR!F33+Security!F33+IT!F33</f>
        <v>0</v>
      </c>
      <c r="G33" s="43">
        <f>EO!G33+Finance!G33+HR!G33+Security!G33+IT!G33</f>
        <v>0</v>
      </c>
      <c r="H33" s="43">
        <f>EO!H33+Finance!H33+HR!H33+Security!H33+IT!H33</f>
        <v>0</v>
      </c>
      <c r="I33" s="43">
        <f>EO!I33+Finance!I33+HR!I33+Security!I33+IT!I33</f>
        <v>0</v>
      </c>
      <c r="J33" s="43">
        <f>EO!J33+Finance!J33+HR!J33+Security!J33+IT!J33</f>
        <v>0</v>
      </c>
      <c r="K33" s="43">
        <f>EO!K33+Finance!K33+HR!K33+Security!K33+IT!K33</f>
        <v>0</v>
      </c>
      <c r="L33" s="43">
        <f>EO!L33+Finance!L33+HR!L33+Security!L33+IT!L33</f>
        <v>0</v>
      </c>
      <c r="M33" s="43">
        <f>EO!M33+Finance!M33+HR!M33+Security!M33+IT!M33</f>
        <v>0</v>
      </c>
      <c r="N33" s="43">
        <f>EO!N33+Finance!N33+HR!N33+Security!N33+IT!N33</f>
        <v>0</v>
      </c>
      <c r="O33" s="43">
        <f>EO!O33+Finance!O33+HR!O33+Security!O33+IT!O33</f>
        <v>0</v>
      </c>
      <c r="P33" s="43">
        <f>EO!P33+Finance!P33+HR!P33+Security!P33+IT!P33</f>
        <v>0</v>
      </c>
      <c r="Q33" s="3">
        <f t="shared" si="2"/>
        <v>0</v>
      </c>
      <c r="R33" s="39">
        <f>Q33/Summary!$Q$16</f>
        <v>0</v>
      </c>
      <c r="S33" s="39"/>
      <c r="T33" s="35"/>
      <c r="U33" s="40">
        <f t="shared" si="3"/>
        <v>0</v>
      </c>
    </row>
    <row r="34" spans="1:21" s="3" customFormat="1" ht="24.95" hidden="1" customHeight="1">
      <c r="A34" s="3" t="s">
        <v>520</v>
      </c>
      <c r="B34" s="3" t="s">
        <v>49</v>
      </c>
      <c r="D34" s="26" t="s">
        <v>521</v>
      </c>
      <c r="E34" s="43">
        <f>EO!E34+Finance!E34+HR!E34+Security!E34+IT!E34</f>
        <v>0</v>
      </c>
      <c r="F34" s="43">
        <f>EO!F34+Finance!F34+HR!F34+Security!F34+IT!F34</f>
        <v>0</v>
      </c>
      <c r="G34" s="43">
        <f>EO!G34+Finance!G34+HR!G34+Security!G34+IT!G34</f>
        <v>0</v>
      </c>
      <c r="H34" s="43">
        <f>EO!H34+Finance!H34+HR!H34+Security!H34+IT!H34</f>
        <v>0</v>
      </c>
      <c r="I34" s="43">
        <f>EO!I34+Finance!I34+HR!I34+Security!I34+IT!I34</f>
        <v>0</v>
      </c>
      <c r="J34" s="43">
        <f>EO!J34+Finance!J34+HR!J34+Security!J34+IT!J34</f>
        <v>0</v>
      </c>
      <c r="K34" s="43">
        <f>EO!K34+Finance!K34+HR!K34+Security!K34+IT!K34</f>
        <v>0</v>
      </c>
      <c r="L34" s="43">
        <f>EO!L34+Finance!L34+HR!L34+Security!L34+IT!L34</f>
        <v>0</v>
      </c>
      <c r="M34" s="43">
        <f>EO!M34+Finance!M34+HR!M34+Security!M34+IT!M34</f>
        <v>0</v>
      </c>
      <c r="N34" s="43">
        <f>EO!N34+Finance!N34+HR!N34+Security!N34+IT!N34</f>
        <v>0</v>
      </c>
      <c r="O34" s="43">
        <f>EO!O34+Finance!O34+HR!O34+Security!O34+IT!O34</f>
        <v>0</v>
      </c>
      <c r="P34" s="43">
        <f>EO!P34+Finance!P34+HR!P34+Security!P34+IT!P34</f>
        <v>0</v>
      </c>
      <c r="Q34" s="3">
        <f t="shared" si="2"/>
        <v>0</v>
      </c>
      <c r="R34" s="39">
        <f>Q34/Summary!$Q$16</f>
        <v>0</v>
      </c>
      <c r="S34" s="39"/>
      <c r="T34" s="35"/>
      <c r="U34" s="40">
        <f t="shared" si="3"/>
        <v>0</v>
      </c>
    </row>
    <row r="35" spans="1:21" s="3" customFormat="1" ht="24.95" hidden="1" customHeight="1">
      <c r="A35" s="3" t="s">
        <v>522</v>
      </c>
      <c r="B35" s="3" t="s">
        <v>49</v>
      </c>
      <c r="D35" s="26" t="s">
        <v>523</v>
      </c>
      <c r="E35" s="43">
        <f>EO!E35+Finance!E35+HR!E35+Security!E35+IT!E35</f>
        <v>0</v>
      </c>
      <c r="F35" s="43">
        <f>EO!F35+Finance!F35+HR!F35+Security!F35+IT!F35</f>
        <v>0</v>
      </c>
      <c r="G35" s="43">
        <f>EO!G35+Finance!G35+HR!G35+Security!G35+IT!G35</f>
        <v>0</v>
      </c>
      <c r="H35" s="43">
        <f>EO!H35+Finance!H35+HR!H35+Security!H35+IT!H35</f>
        <v>0</v>
      </c>
      <c r="I35" s="43">
        <f>EO!I35+Finance!I35+HR!I35+Security!I35+IT!I35</f>
        <v>0</v>
      </c>
      <c r="J35" s="43">
        <f>EO!J35+Finance!J35+HR!J35+Security!J35+IT!J35</f>
        <v>0</v>
      </c>
      <c r="K35" s="43">
        <f>EO!K35+Finance!K35+HR!K35+Security!K35+IT!K35</f>
        <v>0</v>
      </c>
      <c r="L35" s="43">
        <f>EO!L35+Finance!L35+HR!L35+Security!L35+IT!L35</f>
        <v>0</v>
      </c>
      <c r="M35" s="43">
        <f>EO!M35+Finance!M35+HR!M35+Security!M35+IT!M35</f>
        <v>0</v>
      </c>
      <c r="N35" s="43">
        <f>EO!N35+Finance!N35+HR!N35+Security!N35+IT!N35</f>
        <v>0</v>
      </c>
      <c r="O35" s="43">
        <f>EO!O35+Finance!O35+HR!O35+Security!O35+IT!O35</f>
        <v>0</v>
      </c>
      <c r="P35" s="43">
        <f>EO!P35+Finance!P35+HR!P35+Security!P35+IT!P35</f>
        <v>0</v>
      </c>
      <c r="Q35" s="3">
        <f t="shared" si="2"/>
        <v>0</v>
      </c>
      <c r="R35" s="39">
        <f>Q35/Summary!$Q$16</f>
        <v>0</v>
      </c>
      <c r="S35" s="39"/>
      <c r="T35" s="35"/>
      <c r="U35" s="40">
        <f t="shared" si="3"/>
        <v>0</v>
      </c>
    </row>
    <row r="36" spans="1:21" s="3" customFormat="1" ht="24.95" hidden="1" customHeight="1">
      <c r="A36" s="3" t="s">
        <v>524</v>
      </c>
      <c r="B36" s="3" t="s">
        <v>49</v>
      </c>
      <c r="D36" s="26" t="s">
        <v>525</v>
      </c>
      <c r="E36" s="43">
        <f>EO!E36+Finance!E36+HR!E36+Security!E36+IT!E36</f>
        <v>0</v>
      </c>
      <c r="F36" s="43">
        <f>EO!F36+Finance!F36+HR!F36+Security!F36+IT!F36</f>
        <v>0</v>
      </c>
      <c r="G36" s="43">
        <f>EO!G36+Finance!G36+HR!G36+Security!G36+IT!G36</f>
        <v>0</v>
      </c>
      <c r="H36" s="43">
        <f>EO!H36+Finance!H36+HR!H36+Security!H36+IT!H36</f>
        <v>0</v>
      </c>
      <c r="I36" s="43">
        <f>EO!I36+Finance!I36+HR!I36+Security!I36+IT!I36</f>
        <v>0</v>
      </c>
      <c r="J36" s="43">
        <f>EO!J36+Finance!J36+HR!J36+Security!J36+IT!J36</f>
        <v>0</v>
      </c>
      <c r="K36" s="43">
        <f>EO!K36+Finance!K36+HR!K36+Security!K36+IT!K36</f>
        <v>0</v>
      </c>
      <c r="L36" s="43">
        <f>EO!L36+Finance!L36+HR!L36+Security!L36+IT!L36</f>
        <v>0</v>
      </c>
      <c r="M36" s="43">
        <f>EO!M36+Finance!M36+HR!M36+Security!M36+IT!M36</f>
        <v>0</v>
      </c>
      <c r="N36" s="43">
        <f>EO!N36+Finance!N36+HR!N36+Security!N36+IT!N36</f>
        <v>0</v>
      </c>
      <c r="O36" s="43">
        <f>EO!O36+Finance!O36+HR!O36+Security!O36+IT!O36</f>
        <v>0</v>
      </c>
      <c r="P36" s="43">
        <f>EO!P36+Finance!P36+HR!P36+Security!P36+IT!P36</f>
        <v>0</v>
      </c>
      <c r="Q36" s="3">
        <f t="shared" si="2"/>
        <v>0</v>
      </c>
      <c r="R36" s="39">
        <f>Q36/Summary!$Q$16</f>
        <v>0</v>
      </c>
      <c r="S36" s="39"/>
      <c r="T36" s="35"/>
      <c r="U36" s="40">
        <f t="shared" si="3"/>
        <v>0</v>
      </c>
    </row>
    <row r="37" spans="1:21" s="3" customFormat="1" ht="24.95" hidden="1" customHeight="1">
      <c r="A37" s="3" t="s">
        <v>526</v>
      </c>
      <c r="B37" s="3" t="s">
        <v>49</v>
      </c>
      <c r="D37" s="26" t="s">
        <v>527</v>
      </c>
      <c r="E37" s="43">
        <f>EO!E37+Finance!E37+HR!E37+Security!E37+IT!E37</f>
        <v>0</v>
      </c>
      <c r="F37" s="43">
        <f>EO!F37+Finance!F37+HR!F37+Security!F37+IT!F37</f>
        <v>0</v>
      </c>
      <c r="G37" s="43">
        <f>EO!G37+Finance!G37+HR!G37+Security!G37+IT!G37</f>
        <v>0</v>
      </c>
      <c r="H37" s="43">
        <f>EO!H37+Finance!H37+HR!H37+Security!H37+IT!H37</f>
        <v>0</v>
      </c>
      <c r="I37" s="43">
        <f>EO!I37+Finance!I37+HR!I37+Security!I37+IT!I37</f>
        <v>0</v>
      </c>
      <c r="J37" s="43">
        <f>EO!J37+Finance!J37+HR!J37+Security!J37+IT!J37</f>
        <v>0</v>
      </c>
      <c r="K37" s="43">
        <f>EO!K37+Finance!K37+HR!K37+Security!K37+IT!K37</f>
        <v>0</v>
      </c>
      <c r="L37" s="43">
        <f>EO!L37+Finance!L37+HR!L37+Security!L37+IT!L37</f>
        <v>0</v>
      </c>
      <c r="M37" s="43">
        <f>EO!M37+Finance!M37+HR!M37+Security!M37+IT!M37</f>
        <v>0</v>
      </c>
      <c r="N37" s="43">
        <f>EO!N37+Finance!N37+HR!N37+Security!N37+IT!N37</f>
        <v>0</v>
      </c>
      <c r="O37" s="43">
        <f>EO!O37+Finance!O37+HR!O37+Security!O37+IT!O37</f>
        <v>0</v>
      </c>
      <c r="P37" s="43">
        <f>EO!P37+Finance!P37+HR!P37+Security!P37+IT!P37</f>
        <v>0</v>
      </c>
      <c r="Q37" s="3">
        <f t="shared" si="2"/>
        <v>0</v>
      </c>
      <c r="R37" s="39">
        <f>Q37/Summary!$Q$16</f>
        <v>0</v>
      </c>
      <c r="S37" s="39"/>
      <c r="T37" s="35"/>
      <c r="U37" s="40">
        <f t="shared" si="3"/>
        <v>0</v>
      </c>
    </row>
    <row r="38" spans="1:21" s="3" customFormat="1" ht="24.95" hidden="1" customHeight="1">
      <c r="A38" s="3" t="s">
        <v>528</v>
      </c>
      <c r="B38" s="3" t="s">
        <v>49</v>
      </c>
      <c r="D38" s="26" t="s">
        <v>529</v>
      </c>
      <c r="E38" s="43">
        <f>EO!E38+Finance!E38+HR!E38+Security!E38+IT!E38</f>
        <v>0</v>
      </c>
      <c r="F38" s="43">
        <f>EO!F38+Finance!F38+HR!F38+Security!F38+IT!F38</f>
        <v>0</v>
      </c>
      <c r="G38" s="43">
        <f>EO!G38+Finance!G38+HR!G38+Security!G38+IT!G38</f>
        <v>0</v>
      </c>
      <c r="H38" s="43">
        <f>EO!H38+Finance!H38+HR!H38+Security!H38+IT!H38</f>
        <v>0</v>
      </c>
      <c r="I38" s="43">
        <f>EO!I38+Finance!I38+HR!I38+Security!I38+IT!I38</f>
        <v>0</v>
      </c>
      <c r="J38" s="43">
        <f>EO!J38+Finance!J38+HR!J38+Security!J38+IT!J38</f>
        <v>0</v>
      </c>
      <c r="K38" s="43">
        <f>EO!K38+Finance!K38+HR!K38+Security!K38+IT!K38</f>
        <v>0</v>
      </c>
      <c r="L38" s="43">
        <f>EO!L38+Finance!L38+HR!L38+Security!L38+IT!L38</f>
        <v>0</v>
      </c>
      <c r="M38" s="43">
        <f>EO!M38+Finance!M38+HR!M38+Security!M38+IT!M38</f>
        <v>0</v>
      </c>
      <c r="N38" s="43">
        <f>EO!N38+Finance!N38+HR!N38+Security!N38+IT!N38</f>
        <v>0</v>
      </c>
      <c r="O38" s="43">
        <f>EO!O38+Finance!O38+HR!O38+Security!O38+IT!O38</f>
        <v>0</v>
      </c>
      <c r="P38" s="43">
        <f>EO!P38+Finance!P38+HR!P38+Security!P38+IT!P38</f>
        <v>0</v>
      </c>
      <c r="Q38" s="3">
        <f t="shared" si="2"/>
        <v>0</v>
      </c>
      <c r="R38" s="39">
        <f>Q38/Summary!$Q$16</f>
        <v>0</v>
      </c>
      <c r="S38" s="39"/>
      <c r="T38" s="35"/>
      <c r="U38" s="40">
        <f t="shared" si="3"/>
        <v>0</v>
      </c>
    </row>
    <row r="39" spans="1:21" s="3" customFormat="1" ht="24.95" hidden="1" customHeight="1">
      <c r="A39" s="3" t="s">
        <v>530</v>
      </c>
      <c r="B39" s="3" t="s">
        <v>49</v>
      </c>
      <c r="D39" s="26" t="s">
        <v>531</v>
      </c>
      <c r="E39" s="43">
        <f>EO!E39+Finance!E39+HR!E39+Security!E39+IT!E39</f>
        <v>0</v>
      </c>
      <c r="F39" s="43">
        <f>EO!F39+Finance!F39+HR!F39+Security!F39+IT!F39</f>
        <v>0</v>
      </c>
      <c r="G39" s="43">
        <f>EO!G39+Finance!G39+HR!G39+Security!G39+IT!G39</f>
        <v>0</v>
      </c>
      <c r="H39" s="43">
        <f>EO!H39+Finance!H39+HR!H39+Security!H39+IT!H39</f>
        <v>0</v>
      </c>
      <c r="I39" s="43">
        <f>EO!I39+Finance!I39+HR!I39+Security!I39+IT!I39</f>
        <v>0</v>
      </c>
      <c r="J39" s="43">
        <f>EO!J39+Finance!J39+HR!J39+Security!J39+IT!J39</f>
        <v>0</v>
      </c>
      <c r="K39" s="43">
        <f>EO!K39+Finance!K39+HR!K39+Security!K39+IT!K39</f>
        <v>0</v>
      </c>
      <c r="L39" s="43">
        <f>EO!L39+Finance!L39+HR!L39+Security!L39+IT!L39</f>
        <v>0</v>
      </c>
      <c r="M39" s="43">
        <f>EO!M39+Finance!M39+HR!M39+Security!M39+IT!M39</f>
        <v>0</v>
      </c>
      <c r="N39" s="43">
        <f>EO!N39+Finance!N39+HR!N39+Security!N39+IT!N39</f>
        <v>0</v>
      </c>
      <c r="O39" s="43">
        <f>EO!O39+Finance!O39+HR!O39+Security!O39+IT!O39</f>
        <v>0</v>
      </c>
      <c r="P39" s="43">
        <f>EO!P39+Finance!P39+HR!P39+Security!P39+IT!P39</f>
        <v>0</v>
      </c>
      <c r="Q39" s="3">
        <f t="shared" si="2"/>
        <v>0</v>
      </c>
      <c r="R39" s="39">
        <f>Q39/Summary!$Q$16</f>
        <v>0</v>
      </c>
      <c r="S39" s="39"/>
      <c r="T39" s="35"/>
      <c r="U39" s="40">
        <f t="shared" si="3"/>
        <v>0</v>
      </c>
    </row>
    <row r="40" spans="1:21" s="3" customFormat="1" ht="24.95" hidden="1" customHeight="1">
      <c r="A40" s="3" t="s">
        <v>532</v>
      </c>
      <c r="B40" s="3" t="s">
        <v>49</v>
      </c>
      <c r="D40" s="26" t="s">
        <v>1182</v>
      </c>
      <c r="E40" s="43">
        <f>EO!E40+Finance!E40+HR!E40+Security!E40+IT!E40</f>
        <v>0</v>
      </c>
      <c r="F40" s="43">
        <f>EO!F40+Finance!F40+HR!F40+Security!F40+IT!F40</f>
        <v>0</v>
      </c>
      <c r="G40" s="43">
        <f>EO!G40+Finance!G40+HR!G40+Security!G40+IT!G40</f>
        <v>0</v>
      </c>
      <c r="H40" s="43">
        <f>EO!H40+Finance!H40+HR!H40+Security!H40+IT!H40</f>
        <v>0</v>
      </c>
      <c r="I40" s="43">
        <f>EO!I40+Finance!I40+HR!I40+Security!I40+IT!I40</f>
        <v>0</v>
      </c>
      <c r="J40" s="43">
        <f>EO!J40+Finance!J40+HR!J40+Security!J40+IT!J40</f>
        <v>0</v>
      </c>
      <c r="K40" s="43">
        <f>EO!K40+Finance!K40+HR!K40+Security!K40+IT!K40</f>
        <v>0</v>
      </c>
      <c r="L40" s="43">
        <f>EO!L40+Finance!L40+HR!L40+Security!L40+IT!L40</f>
        <v>0</v>
      </c>
      <c r="M40" s="43">
        <f>EO!M40+Finance!M40+HR!M40+Security!M40+IT!M40</f>
        <v>0</v>
      </c>
      <c r="N40" s="43">
        <f>EO!N40+Finance!N40+HR!N40+Security!N40+IT!N40</f>
        <v>0</v>
      </c>
      <c r="O40" s="43">
        <f>EO!O40+Finance!O40+HR!O40+Security!O40+IT!O40</f>
        <v>0</v>
      </c>
      <c r="P40" s="43">
        <f>EO!P40+Finance!P40+HR!P40+Security!P40+IT!P40</f>
        <v>0</v>
      </c>
      <c r="Q40" s="3">
        <f t="shared" si="2"/>
        <v>0</v>
      </c>
      <c r="R40" s="39">
        <f>Q40/Summary!$Q$16</f>
        <v>0</v>
      </c>
      <c r="S40" s="39"/>
      <c r="T40" s="35"/>
      <c r="U40" s="40">
        <f t="shared" si="3"/>
        <v>0</v>
      </c>
    </row>
    <row r="41" spans="1:21" s="3" customFormat="1" ht="24.95" hidden="1" customHeight="1">
      <c r="A41" s="3" t="s">
        <v>534</v>
      </c>
      <c r="B41" s="3" t="s">
        <v>49</v>
      </c>
      <c r="D41" s="26" t="s">
        <v>535</v>
      </c>
      <c r="E41" s="43">
        <f>EO!E41+Finance!E41+HR!E41+Security!E41+IT!E41</f>
        <v>0</v>
      </c>
      <c r="F41" s="43">
        <f>EO!F41+Finance!F41+HR!F41+Security!F41+IT!F41</f>
        <v>0</v>
      </c>
      <c r="G41" s="43">
        <f>EO!G41+Finance!G41+HR!G41+Security!G41+IT!G41</f>
        <v>0</v>
      </c>
      <c r="H41" s="43">
        <f>EO!H41+Finance!H41+HR!H41+Security!H41+IT!H41</f>
        <v>0</v>
      </c>
      <c r="I41" s="43">
        <f>EO!I41+Finance!I41+HR!I41+Security!I41+IT!I41</f>
        <v>0</v>
      </c>
      <c r="J41" s="43">
        <f>EO!J41+Finance!J41+HR!J41+Security!J41+IT!J41</f>
        <v>0</v>
      </c>
      <c r="K41" s="43">
        <f>EO!K41+Finance!K41+HR!K41+Security!K41+IT!K41</f>
        <v>0</v>
      </c>
      <c r="L41" s="43">
        <f>EO!L41+Finance!L41+HR!L41+Security!L41+IT!L41</f>
        <v>0</v>
      </c>
      <c r="M41" s="43">
        <f>EO!M41+Finance!M41+HR!M41+Security!M41+IT!M41</f>
        <v>0</v>
      </c>
      <c r="N41" s="43">
        <f>EO!N41+Finance!N41+HR!N41+Security!N41+IT!N41</f>
        <v>0</v>
      </c>
      <c r="O41" s="43">
        <f>EO!O41+Finance!O41+HR!O41+Security!O41+IT!O41</f>
        <v>0</v>
      </c>
      <c r="P41" s="43">
        <f>EO!P41+Finance!P41+HR!P41+Security!P41+IT!P41</f>
        <v>0</v>
      </c>
      <c r="Q41" s="3">
        <f t="shared" si="2"/>
        <v>0</v>
      </c>
      <c r="R41" s="39">
        <f>Q41/Summary!$Q$16</f>
        <v>0</v>
      </c>
      <c r="S41" s="39"/>
      <c r="T41" s="35"/>
      <c r="U41" s="40">
        <f t="shared" si="3"/>
        <v>0</v>
      </c>
    </row>
    <row r="42" spans="1:21" s="3" customFormat="1" ht="24.95" hidden="1" customHeight="1">
      <c r="A42" s="3" t="s">
        <v>536</v>
      </c>
      <c r="B42" s="3" t="s">
        <v>49</v>
      </c>
      <c r="D42" s="26" t="s">
        <v>537</v>
      </c>
      <c r="E42" s="43">
        <f>EO!E42+Finance!E42+HR!E42+Security!E42+IT!E42</f>
        <v>0</v>
      </c>
      <c r="F42" s="43">
        <f>EO!F42+Finance!F42+HR!F42+Security!F42+IT!F42</f>
        <v>0</v>
      </c>
      <c r="G42" s="43">
        <f>EO!G42+Finance!G42+HR!G42+Security!G42+IT!G42</f>
        <v>0</v>
      </c>
      <c r="H42" s="43">
        <f>EO!H42+Finance!H42+HR!H42+Security!H42+IT!H42</f>
        <v>0</v>
      </c>
      <c r="I42" s="43">
        <f>EO!I42+Finance!I42+HR!I42+Security!I42+IT!I42</f>
        <v>0</v>
      </c>
      <c r="J42" s="43">
        <f>EO!J42+Finance!J42+HR!J42+Security!J42+IT!J42</f>
        <v>0</v>
      </c>
      <c r="K42" s="43">
        <f>EO!K42+Finance!K42+HR!K42+Security!K42+IT!K42</f>
        <v>0</v>
      </c>
      <c r="L42" s="43">
        <f>EO!L42+Finance!L42+HR!L42+Security!L42+IT!L42</f>
        <v>0</v>
      </c>
      <c r="M42" s="43">
        <f>EO!M42+Finance!M42+HR!M42+Security!M42+IT!M42</f>
        <v>0</v>
      </c>
      <c r="N42" s="43">
        <f>EO!N42+Finance!N42+HR!N42+Security!N42+IT!N42</f>
        <v>0</v>
      </c>
      <c r="O42" s="43">
        <f>EO!O42+Finance!O42+HR!O42+Security!O42+IT!O42</f>
        <v>0</v>
      </c>
      <c r="P42" s="43">
        <f>EO!P42+Finance!P42+HR!P42+Security!P42+IT!P42</f>
        <v>0</v>
      </c>
      <c r="Q42" s="3">
        <f t="shared" si="2"/>
        <v>0</v>
      </c>
      <c r="R42" s="39">
        <f>Q42/Summary!$Q$16</f>
        <v>0</v>
      </c>
      <c r="S42" s="39"/>
      <c r="T42" s="35"/>
      <c r="U42" s="40">
        <f t="shared" si="3"/>
        <v>0</v>
      </c>
    </row>
    <row r="43" spans="1:21" s="3" customFormat="1" ht="24.75" customHeight="1">
      <c r="A43" s="3" t="s">
        <v>538</v>
      </c>
      <c r="B43" s="3" t="s">
        <v>49</v>
      </c>
      <c r="D43" s="26" t="s">
        <v>539</v>
      </c>
      <c r="E43" s="43">
        <f>EO!E43+Finance!E43+HR!E43+Security!E43+IT!E43</f>
        <v>470</v>
      </c>
      <c r="F43" s="43">
        <f>EO!F43+Finance!F43+HR!F43+Security!F43+IT!F43</f>
        <v>470</v>
      </c>
      <c r="G43" s="43">
        <f>EO!G43+Finance!G43+HR!G43+Security!G43+IT!G43</f>
        <v>470</v>
      </c>
      <c r="H43" s="43">
        <f>EO!H43+Finance!H43+HR!H43+Security!H43+IT!H43</f>
        <v>470</v>
      </c>
      <c r="I43" s="43">
        <f>EO!I43+Finance!I43+HR!I43+Security!I43+IT!I43</f>
        <v>470</v>
      </c>
      <c r="J43" s="43">
        <f>EO!J43+Finance!J43+HR!J43+Security!J43+IT!J43</f>
        <v>470</v>
      </c>
      <c r="K43" s="43">
        <f>EO!K43+Finance!K43+HR!K43+Security!K43+IT!K43</f>
        <v>470</v>
      </c>
      <c r="L43" s="43">
        <f>EO!L43+Finance!L43+HR!L43+Security!L43+IT!L43</f>
        <v>470</v>
      </c>
      <c r="M43" s="43">
        <f>EO!M43+Finance!M43+HR!M43+Security!M43+IT!M43</f>
        <v>470</v>
      </c>
      <c r="N43" s="43">
        <f>EO!N43+Finance!N43+HR!N43+Security!N43+IT!N43</f>
        <v>470</v>
      </c>
      <c r="O43" s="43">
        <f>EO!O43+Finance!O43+HR!O43+Security!O43+IT!O43</f>
        <v>470</v>
      </c>
      <c r="P43" s="43">
        <f>EO!P43+Finance!P43+HR!P43+Security!P43+IT!P43</f>
        <v>470</v>
      </c>
      <c r="Q43" s="3">
        <f t="shared" si="2"/>
        <v>5640</v>
      </c>
      <c r="R43" s="39">
        <f>Q43/Summary!$Q$16</f>
        <v>1.6958432488546412E-4</v>
      </c>
      <c r="S43" s="39"/>
      <c r="T43" s="35"/>
      <c r="U43" s="40" t="e">
        <f t="shared" si="3"/>
        <v>#DIV/0!</v>
      </c>
    </row>
    <row r="44" spans="1:21" s="3" customFormat="1" ht="24.95" hidden="1" customHeight="1">
      <c r="A44" s="3" t="s">
        <v>540</v>
      </c>
      <c r="B44" s="3" t="s">
        <v>49</v>
      </c>
      <c r="D44" s="26" t="s">
        <v>541</v>
      </c>
      <c r="E44" s="43">
        <f>EO!E44+Finance!E44+HR!E44+Security!E44+IT!E44</f>
        <v>0</v>
      </c>
      <c r="F44" s="43">
        <f>EO!F44+Finance!F44+HR!F44+Security!F44+IT!F44</f>
        <v>0</v>
      </c>
      <c r="G44" s="43">
        <f>EO!G44+Finance!G44+HR!G44+Security!G44+IT!G44</f>
        <v>0</v>
      </c>
      <c r="H44" s="43">
        <f>EO!H44+Finance!H44+HR!H44+Security!H44+IT!H44</f>
        <v>0</v>
      </c>
      <c r="I44" s="43">
        <f>EO!I44+Finance!I44+HR!I44+Security!I44+IT!I44</f>
        <v>0</v>
      </c>
      <c r="J44" s="43">
        <f>EO!J44+Finance!J44+HR!J44+Security!J44+IT!J44</f>
        <v>0</v>
      </c>
      <c r="K44" s="43">
        <f>EO!K44+Finance!K44+HR!K44+Security!K44+IT!K44</f>
        <v>0</v>
      </c>
      <c r="L44" s="43">
        <f>EO!L44+Finance!L44+HR!L44+Security!L44+IT!L44</f>
        <v>0</v>
      </c>
      <c r="M44" s="43">
        <f>EO!M44+Finance!M44+HR!M44+Security!M44+IT!M44</f>
        <v>0</v>
      </c>
      <c r="N44" s="43">
        <f>EO!N44+Finance!N44+HR!N44+Security!N44+IT!N44</f>
        <v>0</v>
      </c>
      <c r="O44" s="43">
        <f>EO!O44+Finance!O44+HR!O44+Security!O44+IT!O44</f>
        <v>0</v>
      </c>
      <c r="P44" s="43">
        <f>EO!P44+Finance!P44+HR!P44+Security!P44+IT!P44</f>
        <v>0</v>
      </c>
      <c r="Q44" s="3">
        <f t="shared" si="2"/>
        <v>0</v>
      </c>
      <c r="R44" s="39">
        <f>Q44/Summary!$Q$16</f>
        <v>0</v>
      </c>
      <c r="S44" s="39"/>
      <c r="T44" s="35"/>
      <c r="U44" s="40">
        <f t="shared" si="3"/>
        <v>0</v>
      </c>
    </row>
    <row r="45" spans="1:21" s="3" customFormat="1" ht="24.95" hidden="1" customHeight="1">
      <c r="A45" s="3" t="s">
        <v>542</v>
      </c>
      <c r="B45" s="3" t="s">
        <v>49</v>
      </c>
      <c r="D45" s="26" t="s">
        <v>543</v>
      </c>
      <c r="E45" s="43">
        <f>EO!E45+Finance!E45+HR!E45+Security!E45+IT!E45</f>
        <v>0</v>
      </c>
      <c r="F45" s="43">
        <f>EO!F45+Finance!F45+HR!F45+Security!F45+IT!F45</f>
        <v>0</v>
      </c>
      <c r="G45" s="43">
        <f>EO!G45+Finance!G45+HR!G45+Security!G45+IT!G45</f>
        <v>0</v>
      </c>
      <c r="H45" s="43">
        <f>EO!H45+Finance!H45+HR!H45+Security!H45+IT!H45</f>
        <v>0</v>
      </c>
      <c r="I45" s="43">
        <f>EO!I45+Finance!I45+HR!I45+Security!I45+IT!I45</f>
        <v>0</v>
      </c>
      <c r="J45" s="43">
        <f>EO!J45+Finance!J45+HR!J45+Security!J45+IT!J45</f>
        <v>0</v>
      </c>
      <c r="K45" s="43">
        <f>EO!K45+Finance!K45+HR!K45+Security!K45+IT!K45</f>
        <v>0</v>
      </c>
      <c r="L45" s="43">
        <f>EO!L45+Finance!L45+HR!L45+Security!L45+IT!L45</f>
        <v>0</v>
      </c>
      <c r="M45" s="43">
        <f>EO!M45+Finance!M45+HR!M45+Security!M45+IT!M45</f>
        <v>0</v>
      </c>
      <c r="N45" s="43">
        <f>EO!N45+Finance!N45+HR!N45+Security!N45+IT!N45</f>
        <v>0</v>
      </c>
      <c r="O45" s="43">
        <f>EO!O45+Finance!O45+HR!O45+Security!O45+IT!O45</f>
        <v>0</v>
      </c>
      <c r="P45" s="43">
        <f>EO!P45+Finance!P45+HR!P45+Security!P45+IT!P45</f>
        <v>0</v>
      </c>
      <c r="Q45" s="3">
        <f t="shared" si="2"/>
        <v>0</v>
      </c>
      <c r="R45" s="39">
        <f>Q45/Summary!$Q$16</f>
        <v>0</v>
      </c>
      <c r="S45" s="39"/>
      <c r="T45" s="35"/>
      <c r="U45" s="40">
        <f t="shared" si="3"/>
        <v>0</v>
      </c>
    </row>
    <row r="46" spans="1:21" s="3" customFormat="1" ht="24.95" hidden="1" customHeight="1">
      <c r="A46" s="3" t="s">
        <v>544</v>
      </c>
      <c r="B46" s="3" t="s">
        <v>49</v>
      </c>
      <c r="D46" s="29" t="s">
        <v>545</v>
      </c>
      <c r="E46" s="43">
        <f>EO!E46+Finance!E46+HR!E46+Security!E46+IT!E46</f>
        <v>0</v>
      </c>
      <c r="F46" s="43">
        <f>EO!F46+Finance!F46+HR!F46+Security!F46+IT!F46</f>
        <v>0</v>
      </c>
      <c r="G46" s="43">
        <f>EO!G46+Finance!G46+HR!G46+Security!G46+IT!G46</f>
        <v>0</v>
      </c>
      <c r="H46" s="43">
        <f>EO!H46+Finance!H46+HR!H46+Security!H46+IT!H46</f>
        <v>0</v>
      </c>
      <c r="I46" s="43">
        <f>EO!I46+Finance!I46+HR!I46+Security!I46+IT!I46</f>
        <v>0</v>
      </c>
      <c r="J46" s="43">
        <f>EO!J46+Finance!J46+HR!J46+Security!J46+IT!J46</f>
        <v>0</v>
      </c>
      <c r="K46" s="43">
        <f>EO!K46+Finance!K46+HR!K46+Security!K46+IT!K46</f>
        <v>0</v>
      </c>
      <c r="L46" s="43">
        <f>EO!L46+Finance!L46+HR!L46+Security!L46+IT!L46</f>
        <v>0</v>
      </c>
      <c r="M46" s="43">
        <f>EO!M46+Finance!M46+HR!M46+Security!M46+IT!M46</f>
        <v>0</v>
      </c>
      <c r="N46" s="43">
        <f>EO!N46+Finance!N46+HR!N46+Security!N46+IT!N46</f>
        <v>0</v>
      </c>
      <c r="O46" s="43">
        <f>EO!O46+Finance!O46+HR!O46+Security!O46+IT!O46</f>
        <v>0</v>
      </c>
      <c r="P46" s="43">
        <f>EO!P46+Finance!P46+HR!P46+Security!P46+IT!P46</f>
        <v>0</v>
      </c>
      <c r="Q46" s="3">
        <f t="shared" si="2"/>
        <v>0</v>
      </c>
      <c r="R46" s="39">
        <f>Q46/Summary!$Q$16</f>
        <v>0</v>
      </c>
      <c r="S46" s="39"/>
      <c r="T46" s="35"/>
      <c r="U46" s="40">
        <f t="shared" si="3"/>
        <v>0</v>
      </c>
    </row>
    <row r="47" spans="1:21" s="3" customFormat="1" ht="24.95" hidden="1" customHeight="1">
      <c r="A47" s="3" t="s">
        <v>546</v>
      </c>
      <c r="B47" s="3" t="s">
        <v>49</v>
      </c>
      <c r="D47" s="26" t="s">
        <v>547</v>
      </c>
      <c r="E47" s="43">
        <f>EO!E47+Finance!E47+HR!E47+Security!E47+IT!E47</f>
        <v>0</v>
      </c>
      <c r="F47" s="43">
        <f>EO!F47+Finance!F47+HR!F47+Security!F47+IT!F47</f>
        <v>0</v>
      </c>
      <c r="G47" s="43">
        <f>EO!G47+Finance!G47+HR!G47+Security!G47+IT!G47</f>
        <v>0</v>
      </c>
      <c r="H47" s="43">
        <f>EO!H47+Finance!H47+HR!H47+Security!H47+IT!H47</f>
        <v>0</v>
      </c>
      <c r="I47" s="43">
        <f>EO!I47+Finance!I47+HR!I47+Security!I47+IT!I47</f>
        <v>0</v>
      </c>
      <c r="J47" s="43">
        <f>EO!J47+Finance!J47+HR!J47+Security!J47+IT!J47</f>
        <v>0</v>
      </c>
      <c r="K47" s="43">
        <f>EO!K47+Finance!K47+HR!K47+Security!K47+IT!K47</f>
        <v>0</v>
      </c>
      <c r="L47" s="43">
        <f>EO!L47+Finance!L47+HR!L47+Security!L47+IT!L47</f>
        <v>0</v>
      </c>
      <c r="M47" s="43">
        <f>EO!M47+Finance!M47+HR!M47+Security!M47+IT!M47</f>
        <v>0</v>
      </c>
      <c r="N47" s="43">
        <f>EO!N47+Finance!N47+HR!N47+Security!N47+IT!N47</f>
        <v>0</v>
      </c>
      <c r="O47" s="43">
        <f>EO!O47+Finance!O47+HR!O47+Security!O47+IT!O47</f>
        <v>0</v>
      </c>
      <c r="P47" s="43">
        <f>EO!P47+Finance!P47+HR!P47+Security!P47+IT!P47</f>
        <v>0</v>
      </c>
      <c r="Q47" s="3">
        <f t="shared" si="2"/>
        <v>0</v>
      </c>
      <c r="R47" s="39">
        <f>Q47/Summary!$Q$16</f>
        <v>0</v>
      </c>
      <c r="S47" s="39"/>
      <c r="T47" s="35"/>
      <c r="U47" s="40">
        <f t="shared" si="3"/>
        <v>0</v>
      </c>
    </row>
    <row r="48" spans="1:21" s="3" customFormat="1" ht="24.95" hidden="1" customHeight="1">
      <c r="A48" s="3" t="s">
        <v>548</v>
      </c>
      <c r="B48" s="3" t="s">
        <v>49</v>
      </c>
      <c r="D48" s="26" t="s">
        <v>549</v>
      </c>
      <c r="E48" s="43">
        <f>EO!E48+Finance!E48+HR!E48+Security!E48+IT!E48</f>
        <v>0</v>
      </c>
      <c r="F48" s="43">
        <f>EO!F48+Finance!F48+HR!F48+Security!F48+IT!F48</f>
        <v>0</v>
      </c>
      <c r="G48" s="43">
        <f>EO!G48+Finance!G48+HR!G48+Security!G48+IT!G48</f>
        <v>0</v>
      </c>
      <c r="H48" s="43">
        <f>EO!H48+Finance!H48+HR!H48+Security!H48+IT!H48</f>
        <v>0</v>
      </c>
      <c r="I48" s="43">
        <f>EO!I48+Finance!I48+HR!I48+Security!I48+IT!I48</f>
        <v>0</v>
      </c>
      <c r="J48" s="43">
        <f>EO!J48+Finance!J48+HR!J48+Security!J48+IT!J48</f>
        <v>0</v>
      </c>
      <c r="K48" s="43">
        <f>EO!K48+Finance!K48+HR!K48+Security!K48+IT!K48</f>
        <v>0</v>
      </c>
      <c r="L48" s="43">
        <f>EO!L48+Finance!L48+HR!L48+Security!L48+IT!L48</f>
        <v>0</v>
      </c>
      <c r="M48" s="43">
        <f>EO!M48+Finance!M48+HR!M48+Security!M48+IT!M48</f>
        <v>0</v>
      </c>
      <c r="N48" s="43">
        <f>EO!N48+Finance!N48+HR!N48+Security!N48+IT!N48</f>
        <v>0</v>
      </c>
      <c r="O48" s="43">
        <f>EO!O48+Finance!O48+HR!O48+Security!O48+IT!O48</f>
        <v>0</v>
      </c>
      <c r="P48" s="43">
        <f>EO!P48+Finance!P48+HR!P48+Security!P48+IT!P48</f>
        <v>0</v>
      </c>
      <c r="Q48" s="3">
        <f t="shared" si="2"/>
        <v>0</v>
      </c>
      <c r="R48" s="39">
        <f>Q48/Summary!$Q$16</f>
        <v>0</v>
      </c>
      <c r="S48" s="39"/>
      <c r="T48" s="35"/>
      <c r="U48" s="40">
        <f t="shared" si="3"/>
        <v>0</v>
      </c>
    </row>
    <row r="49" spans="1:21" s="3" customFormat="1" ht="24.95" hidden="1" customHeight="1">
      <c r="A49" s="3" t="s">
        <v>550</v>
      </c>
      <c r="B49" s="3" t="s">
        <v>49</v>
      </c>
      <c r="D49" s="26" t="s">
        <v>551</v>
      </c>
      <c r="E49" s="43">
        <f>EO!E49+Finance!E49+HR!E49+Security!E49+IT!E49</f>
        <v>0</v>
      </c>
      <c r="F49" s="43">
        <f>EO!F49+Finance!F49+HR!F49+Security!F49+IT!F49</f>
        <v>0</v>
      </c>
      <c r="G49" s="43">
        <f>EO!G49+Finance!G49+HR!G49+Security!G49+IT!G49</f>
        <v>0</v>
      </c>
      <c r="H49" s="43">
        <f>EO!H49+Finance!H49+HR!H49+Security!H49+IT!H49</f>
        <v>0</v>
      </c>
      <c r="I49" s="43">
        <f>EO!I49+Finance!I49+HR!I49+Security!I49+IT!I49</f>
        <v>0</v>
      </c>
      <c r="J49" s="43">
        <f>EO!J49+Finance!J49+HR!J49+Security!J49+IT!J49</f>
        <v>0</v>
      </c>
      <c r="K49" s="43">
        <f>EO!K49+Finance!K49+HR!K49+Security!K49+IT!K49</f>
        <v>0</v>
      </c>
      <c r="L49" s="43">
        <f>EO!L49+Finance!L49+HR!L49+Security!L49+IT!L49</f>
        <v>0</v>
      </c>
      <c r="M49" s="43">
        <f>EO!M49+Finance!M49+HR!M49+Security!M49+IT!M49</f>
        <v>0</v>
      </c>
      <c r="N49" s="43">
        <f>EO!N49+Finance!N49+HR!N49+Security!N49+IT!N49</f>
        <v>0</v>
      </c>
      <c r="O49" s="43">
        <f>EO!O49+Finance!O49+HR!O49+Security!O49+IT!O49</f>
        <v>0</v>
      </c>
      <c r="P49" s="43">
        <f>EO!P49+Finance!P49+HR!P49+Security!P49+IT!P49</f>
        <v>0</v>
      </c>
      <c r="Q49" s="3">
        <f t="shared" si="2"/>
        <v>0</v>
      </c>
      <c r="R49" s="39">
        <f>Q49/Summary!$Q$16</f>
        <v>0</v>
      </c>
      <c r="S49" s="39"/>
      <c r="T49" s="35"/>
      <c r="U49" s="40">
        <f t="shared" si="3"/>
        <v>0</v>
      </c>
    </row>
    <row r="50" spans="1:21" s="3" customFormat="1" ht="24.95" hidden="1" customHeight="1">
      <c r="A50" s="3" t="s">
        <v>552</v>
      </c>
      <c r="B50" s="3" t="s">
        <v>49</v>
      </c>
      <c r="D50" s="26" t="s">
        <v>553</v>
      </c>
      <c r="E50" s="43">
        <f>EO!E50+Finance!E50+HR!E50+Security!E50+IT!E50</f>
        <v>0</v>
      </c>
      <c r="F50" s="43">
        <f>EO!F50+Finance!F50+HR!F50+Security!F50+IT!F50</f>
        <v>0</v>
      </c>
      <c r="G50" s="43">
        <f>EO!G50+Finance!G50+HR!G50+Security!G50+IT!G50</f>
        <v>0</v>
      </c>
      <c r="H50" s="43">
        <f>EO!H50+Finance!H50+HR!H50+Security!H50+IT!H50</f>
        <v>0</v>
      </c>
      <c r="I50" s="43">
        <f>EO!I50+Finance!I50+HR!I50+Security!I50+IT!I50</f>
        <v>0</v>
      </c>
      <c r="J50" s="43">
        <f>EO!J50+Finance!J50+HR!J50+Security!J50+IT!J50</f>
        <v>0</v>
      </c>
      <c r="K50" s="43">
        <f>EO!K50+Finance!K50+HR!K50+Security!K50+IT!K50</f>
        <v>0</v>
      </c>
      <c r="L50" s="43">
        <f>EO!L50+Finance!L50+HR!L50+Security!L50+IT!L50</f>
        <v>0</v>
      </c>
      <c r="M50" s="43">
        <f>EO!M50+Finance!M50+HR!M50+Security!M50+IT!M50</f>
        <v>0</v>
      </c>
      <c r="N50" s="43">
        <f>EO!N50+Finance!N50+HR!N50+Security!N50+IT!N50</f>
        <v>0</v>
      </c>
      <c r="O50" s="43">
        <f>EO!O50+Finance!O50+HR!O50+Security!O50+IT!O50</f>
        <v>0</v>
      </c>
      <c r="P50" s="43">
        <f>EO!P50+Finance!P50+HR!P50+Security!P50+IT!P50</f>
        <v>0</v>
      </c>
      <c r="Q50" s="3">
        <f t="shared" si="2"/>
        <v>0</v>
      </c>
      <c r="R50" s="39">
        <f>Q50/Summary!$Q$16</f>
        <v>0</v>
      </c>
      <c r="S50" s="39"/>
      <c r="T50" s="35"/>
      <c r="U50" s="40">
        <f t="shared" si="3"/>
        <v>0</v>
      </c>
    </row>
    <row r="51" spans="1:21" s="3" customFormat="1" ht="24.95" hidden="1" customHeight="1">
      <c r="A51" s="3" t="s">
        <v>554</v>
      </c>
      <c r="B51" s="3" t="s">
        <v>49</v>
      </c>
      <c r="D51" s="26" t="s">
        <v>555</v>
      </c>
      <c r="E51" s="43">
        <f>EO!E51+Finance!E51+HR!E51+Security!E51+IT!E51</f>
        <v>0</v>
      </c>
      <c r="F51" s="43">
        <f>EO!F51+Finance!F51+HR!F51+Security!F51+IT!F51</f>
        <v>0</v>
      </c>
      <c r="G51" s="43">
        <f>EO!G51+Finance!G51+HR!G51+Security!G51+IT!G51</f>
        <v>0</v>
      </c>
      <c r="H51" s="43">
        <f>EO!H51+Finance!H51+HR!H51+Security!H51+IT!H51</f>
        <v>0</v>
      </c>
      <c r="I51" s="43">
        <f>EO!I51+Finance!I51+HR!I51+Security!I51+IT!I51</f>
        <v>0</v>
      </c>
      <c r="J51" s="43">
        <f>EO!J51+Finance!J51+HR!J51+Security!J51+IT!J51</f>
        <v>0</v>
      </c>
      <c r="K51" s="43">
        <f>EO!K51+Finance!K51+HR!K51+Security!K51+IT!K51</f>
        <v>0</v>
      </c>
      <c r="L51" s="43">
        <f>EO!L51+Finance!L51+HR!L51+Security!L51+IT!L51</f>
        <v>0</v>
      </c>
      <c r="M51" s="43">
        <f>EO!M51+Finance!M51+HR!M51+Security!M51+IT!M51</f>
        <v>0</v>
      </c>
      <c r="N51" s="43">
        <f>EO!N51+Finance!N51+HR!N51+Security!N51+IT!N51</f>
        <v>0</v>
      </c>
      <c r="O51" s="43">
        <f>EO!O51+Finance!O51+HR!O51+Security!O51+IT!O51</f>
        <v>0</v>
      </c>
      <c r="P51" s="43">
        <f>EO!P51+Finance!P51+HR!P51+Security!P51+IT!P51</f>
        <v>0</v>
      </c>
      <c r="Q51" s="3">
        <f t="shared" si="2"/>
        <v>0</v>
      </c>
      <c r="R51" s="39">
        <f>Q51/Summary!$Q$16</f>
        <v>0</v>
      </c>
      <c r="S51" s="39"/>
      <c r="T51" s="35"/>
      <c r="U51" s="40">
        <f t="shared" si="3"/>
        <v>0</v>
      </c>
    </row>
    <row r="52" spans="1:21" s="3" customFormat="1" ht="24.95" hidden="1" customHeight="1">
      <c r="A52" s="3" t="s">
        <v>556</v>
      </c>
      <c r="B52" s="3" t="s">
        <v>49</v>
      </c>
      <c r="D52" s="26" t="s">
        <v>557</v>
      </c>
      <c r="E52" s="43">
        <f>EO!E52+Finance!E52+HR!E52+Security!E52+IT!E52</f>
        <v>0</v>
      </c>
      <c r="F52" s="43">
        <f>EO!F52+Finance!F52+HR!F52+Security!F52+IT!F52</f>
        <v>0</v>
      </c>
      <c r="G52" s="43">
        <f>EO!G52+Finance!G52+HR!G52+Security!G52+IT!G52</f>
        <v>0</v>
      </c>
      <c r="H52" s="43">
        <f>EO!H52+Finance!H52+HR!H52+Security!H52+IT!H52</f>
        <v>0</v>
      </c>
      <c r="I52" s="43">
        <f>EO!I52+Finance!I52+HR!I52+Security!I52+IT!I52</f>
        <v>0</v>
      </c>
      <c r="J52" s="43">
        <f>EO!J52+Finance!J52+HR!J52+Security!J52+IT!J52</f>
        <v>0</v>
      </c>
      <c r="K52" s="43">
        <f>EO!K52+Finance!K52+HR!K52+Security!K52+IT!K52</f>
        <v>0</v>
      </c>
      <c r="L52" s="43">
        <f>EO!L52+Finance!L52+HR!L52+Security!L52+IT!L52</f>
        <v>0</v>
      </c>
      <c r="M52" s="43">
        <f>EO!M52+Finance!M52+HR!M52+Security!M52+IT!M52</f>
        <v>0</v>
      </c>
      <c r="N52" s="43">
        <f>EO!N52+Finance!N52+HR!N52+Security!N52+IT!N52</f>
        <v>0</v>
      </c>
      <c r="O52" s="43">
        <f>EO!O52+Finance!O52+HR!O52+Security!O52+IT!O52</f>
        <v>0</v>
      </c>
      <c r="P52" s="43">
        <f>EO!P52+Finance!P52+HR!P52+Security!P52+IT!P52</f>
        <v>0</v>
      </c>
      <c r="Q52" s="3">
        <f t="shared" si="2"/>
        <v>0</v>
      </c>
      <c r="R52" s="39">
        <f>Q52/Summary!$Q$16</f>
        <v>0</v>
      </c>
      <c r="S52" s="39"/>
      <c r="T52" s="35"/>
      <c r="U52" s="40">
        <f t="shared" si="3"/>
        <v>0</v>
      </c>
    </row>
    <row r="53" spans="1:21" s="3" customFormat="1" ht="24.95" hidden="1" customHeight="1">
      <c r="A53" s="3" t="s">
        <v>558</v>
      </c>
      <c r="B53" s="3" t="s">
        <v>49</v>
      </c>
      <c r="D53" s="29" t="s">
        <v>559</v>
      </c>
      <c r="E53" s="43">
        <f>EO!E53+Finance!E53+HR!E53+Security!E53+IT!E53</f>
        <v>0</v>
      </c>
      <c r="F53" s="43">
        <f>EO!F53+Finance!F53+HR!F53+Security!F53+IT!F53</f>
        <v>0</v>
      </c>
      <c r="G53" s="43">
        <f>EO!G53+Finance!G53+HR!G53+Security!G53+IT!G53</f>
        <v>0</v>
      </c>
      <c r="H53" s="43">
        <f>EO!H53+Finance!H53+HR!H53+Security!H53+IT!H53</f>
        <v>0</v>
      </c>
      <c r="I53" s="43">
        <f>EO!I53+Finance!I53+HR!I53+Security!I53+IT!I53</f>
        <v>0</v>
      </c>
      <c r="J53" s="43">
        <f>EO!J53+Finance!J53+HR!J53+Security!J53+IT!J53</f>
        <v>0</v>
      </c>
      <c r="K53" s="43">
        <f>EO!K53+Finance!K53+HR!K53+Security!K53+IT!K53</f>
        <v>0</v>
      </c>
      <c r="L53" s="43">
        <f>EO!L53+Finance!L53+HR!L53+Security!L53+IT!L53</f>
        <v>0</v>
      </c>
      <c r="M53" s="43">
        <f>EO!M53+Finance!M53+HR!M53+Security!M53+IT!M53</f>
        <v>0</v>
      </c>
      <c r="N53" s="43">
        <f>EO!N53+Finance!N53+HR!N53+Security!N53+IT!N53</f>
        <v>0</v>
      </c>
      <c r="O53" s="43">
        <f>EO!O53+Finance!O53+HR!O53+Security!O53+IT!O53</f>
        <v>0</v>
      </c>
      <c r="P53" s="43">
        <f>EO!P53+Finance!P53+HR!P53+Security!P53+IT!P53</f>
        <v>0</v>
      </c>
      <c r="Q53" s="3">
        <f t="shared" si="2"/>
        <v>0</v>
      </c>
      <c r="R53" s="39">
        <f>Q53/Summary!$Q$16</f>
        <v>0</v>
      </c>
      <c r="S53" s="39"/>
      <c r="T53" s="35"/>
      <c r="U53" s="40">
        <f t="shared" si="3"/>
        <v>0</v>
      </c>
    </row>
    <row r="54" spans="1:21" s="3" customFormat="1" ht="24.95" hidden="1" customHeight="1">
      <c r="A54" s="3" t="s">
        <v>560</v>
      </c>
      <c r="B54" s="3" t="s">
        <v>49</v>
      </c>
      <c r="D54" s="26" t="s">
        <v>561</v>
      </c>
      <c r="E54" s="43">
        <f>EO!E54+Finance!E54+HR!E54+Security!E54+IT!E54</f>
        <v>0</v>
      </c>
      <c r="F54" s="43">
        <f>EO!F54+Finance!F54+HR!F54+Security!F54+IT!F54</f>
        <v>0</v>
      </c>
      <c r="G54" s="43">
        <f>EO!G54+Finance!G54+HR!G54+Security!G54+IT!G54</f>
        <v>0</v>
      </c>
      <c r="H54" s="43">
        <f>EO!H54+Finance!H54+HR!H54+Security!H54+IT!H54</f>
        <v>0</v>
      </c>
      <c r="I54" s="43">
        <f>EO!I54+Finance!I54+HR!I54+Security!I54+IT!I54</f>
        <v>0</v>
      </c>
      <c r="J54" s="43">
        <f>EO!J54+Finance!J54+HR!J54+Security!J54+IT!J54</f>
        <v>0</v>
      </c>
      <c r="K54" s="43">
        <f>EO!K54+Finance!K54+HR!K54+Security!K54+IT!K54</f>
        <v>0</v>
      </c>
      <c r="L54" s="43">
        <f>EO!L54+Finance!L54+HR!L54+Security!L54+IT!L54</f>
        <v>0</v>
      </c>
      <c r="M54" s="43">
        <f>EO!M54+Finance!M54+HR!M54+Security!M54+IT!M54</f>
        <v>0</v>
      </c>
      <c r="N54" s="43">
        <f>EO!N54+Finance!N54+HR!N54+Security!N54+IT!N54</f>
        <v>0</v>
      </c>
      <c r="O54" s="43">
        <f>EO!O54+Finance!O54+HR!O54+Security!O54+IT!O54</f>
        <v>0</v>
      </c>
      <c r="P54" s="43">
        <f>EO!P54+Finance!P54+HR!P54+Security!P54+IT!P54</f>
        <v>0</v>
      </c>
      <c r="Q54" s="3">
        <f t="shared" si="2"/>
        <v>0</v>
      </c>
      <c r="R54" s="39">
        <f>Q54/Summary!$Q$16</f>
        <v>0</v>
      </c>
      <c r="S54" s="39"/>
      <c r="T54" s="35"/>
      <c r="U54" s="40">
        <f t="shared" si="3"/>
        <v>0</v>
      </c>
    </row>
    <row r="55" spans="1:21" s="3" customFormat="1" ht="24.95" customHeight="1">
      <c r="A55" s="3" t="s">
        <v>562</v>
      </c>
      <c r="B55" s="3" t="s">
        <v>49</v>
      </c>
      <c r="D55" s="29" t="s">
        <v>563</v>
      </c>
      <c r="E55" s="43">
        <f>EO!E55+Finance!E55+HR!E55+Security!E55+IT!E55</f>
        <v>0</v>
      </c>
      <c r="F55" s="43">
        <f>EO!F55+Finance!F55+HR!F55+Security!F55+IT!F55</f>
        <v>0</v>
      </c>
      <c r="G55" s="43">
        <f>EO!G55+Finance!G55+HR!G55+Security!G55+IT!G55</f>
        <v>0</v>
      </c>
      <c r="H55" s="43">
        <f>EO!H55+Finance!H55+HR!H55+Security!H55+IT!H55</f>
        <v>0</v>
      </c>
      <c r="I55" s="43">
        <f>EO!I55+Finance!I55+HR!I55+Security!I55+IT!I55</f>
        <v>0</v>
      </c>
      <c r="J55" s="43">
        <f>EO!J55+Finance!J55+HR!J55+Security!J55+IT!J55</f>
        <v>0</v>
      </c>
      <c r="K55" s="43">
        <f>EO!K55+Finance!K55+HR!K55+Security!K55+IT!K55</f>
        <v>0</v>
      </c>
      <c r="L55" s="43">
        <f>EO!L55+Finance!L55+HR!L55+Security!L55+IT!L55</f>
        <v>0</v>
      </c>
      <c r="M55" s="43">
        <f>EO!M55+Finance!M55+HR!M55+Security!M55+IT!M55</f>
        <v>0</v>
      </c>
      <c r="N55" s="43">
        <f>EO!N55+Finance!N55+HR!N55+Security!N55+IT!N55</f>
        <v>0</v>
      </c>
      <c r="O55" s="43">
        <f>EO!O55+Finance!O55+HR!O55+Security!O55+IT!O55</f>
        <v>0</v>
      </c>
      <c r="P55" s="43">
        <f>EO!P55+Finance!P55+HR!P55+Security!P55+IT!P55</f>
        <v>0</v>
      </c>
      <c r="Q55" s="3">
        <f t="shared" si="2"/>
        <v>0</v>
      </c>
      <c r="R55" s="39">
        <f>Q55/Summary!$Q$16</f>
        <v>0</v>
      </c>
      <c r="S55" s="39"/>
      <c r="T55" s="35"/>
      <c r="U55" s="40">
        <f t="shared" si="3"/>
        <v>0</v>
      </c>
    </row>
    <row r="56" spans="1:21" s="3" customFormat="1" ht="24.95" hidden="1" customHeight="1">
      <c r="A56" s="3" t="s">
        <v>564</v>
      </c>
      <c r="B56" s="3" t="s">
        <v>49</v>
      </c>
      <c r="D56" s="26" t="s">
        <v>565</v>
      </c>
      <c r="E56" s="43">
        <f>EO!E56+Finance!E56+HR!E56+Security!E56+IT!E56</f>
        <v>0</v>
      </c>
      <c r="F56" s="43">
        <f>EO!F56+Finance!F56+HR!F56+Security!F56+IT!F56</f>
        <v>0</v>
      </c>
      <c r="G56" s="43">
        <f>EO!G56+Finance!G56+HR!G56+Security!G56+IT!G56</f>
        <v>0</v>
      </c>
      <c r="H56" s="43">
        <f>EO!H56+Finance!H56+HR!H56+Security!H56+IT!H56</f>
        <v>0</v>
      </c>
      <c r="I56" s="43">
        <f>EO!I56+Finance!I56+HR!I56+Security!I56+IT!I56</f>
        <v>0</v>
      </c>
      <c r="J56" s="43">
        <f>EO!J56+Finance!J56+HR!J56+Security!J56+IT!J56</f>
        <v>0</v>
      </c>
      <c r="K56" s="43">
        <f>EO!K56+Finance!K56+HR!K56+Security!K56+IT!K56</f>
        <v>0</v>
      </c>
      <c r="L56" s="43">
        <f>EO!L56+Finance!L56+HR!L56+Security!L56+IT!L56</f>
        <v>0</v>
      </c>
      <c r="M56" s="43">
        <f>EO!M56+Finance!M56+HR!M56+Security!M56+IT!M56</f>
        <v>0</v>
      </c>
      <c r="N56" s="43">
        <f>EO!N56+Finance!N56+HR!N56+Security!N56+IT!N56</f>
        <v>0</v>
      </c>
      <c r="O56" s="43">
        <f>EO!O56+Finance!O56+HR!O56+Security!O56+IT!O56</f>
        <v>0</v>
      </c>
      <c r="P56" s="43">
        <f>EO!P56+Finance!P56+HR!P56+Security!P56+IT!P56</f>
        <v>0</v>
      </c>
      <c r="Q56" s="3">
        <f t="shared" si="2"/>
        <v>0</v>
      </c>
      <c r="R56" s="39">
        <f>Q56/Summary!$Q$16</f>
        <v>0</v>
      </c>
      <c r="S56" s="39"/>
      <c r="T56" s="35"/>
      <c r="U56" s="40">
        <f t="shared" si="3"/>
        <v>0</v>
      </c>
    </row>
    <row r="57" spans="1:21" s="3" customFormat="1" ht="24.95" hidden="1" customHeight="1">
      <c r="A57" s="3" t="s">
        <v>566</v>
      </c>
      <c r="B57" s="3" t="s">
        <v>49</v>
      </c>
      <c r="D57" s="26" t="s">
        <v>567</v>
      </c>
      <c r="E57" s="43">
        <f>EO!E57+Finance!E57+HR!E57+Security!E57+IT!E57</f>
        <v>0</v>
      </c>
      <c r="F57" s="43">
        <f>EO!F57+Finance!F57+HR!F57+Security!F57+IT!F57</f>
        <v>0</v>
      </c>
      <c r="G57" s="43">
        <f>EO!G57+Finance!G57+HR!G57+Security!G57+IT!G57</f>
        <v>0</v>
      </c>
      <c r="H57" s="43">
        <f>EO!H57+Finance!H57+HR!H57+Security!H57+IT!H57</f>
        <v>0</v>
      </c>
      <c r="I57" s="43">
        <f>EO!I57+Finance!I57+HR!I57+Security!I57+IT!I57</f>
        <v>0</v>
      </c>
      <c r="J57" s="43">
        <f>EO!J57+Finance!J57+HR!J57+Security!J57+IT!J57</f>
        <v>0</v>
      </c>
      <c r="K57" s="43">
        <f>EO!K57+Finance!K57+HR!K57+Security!K57+IT!K57</f>
        <v>0</v>
      </c>
      <c r="L57" s="43">
        <f>EO!L57+Finance!L57+HR!L57+Security!L57+IT!L57</f>
        <v>0</v>
      </c>
      <c r="M57" s="43">
        <f>EO!M57+Finance!M57+HR!M57+Security!M57+IT!M57</f>
        <v>0</v>
      </c>
      <c r="N57" s="43">
        <f>EO!N57+Finance!N57+HR!N57+Security!N57+IT!N57</f>
        <v>0</v>
      </c>
      <c r="O57" s="43">
        <f>EO!O57+Finance!O57+HR!O57+Security!O57+IT!O57</f>
        <v>0</v>
      </c>
      <c r="P57" s="43">
        <f>EO!P57+Finance!P57+HR!P57+Security!P57+IT!P57</f>
        <v>0</v>
      </c>
      <c r="Q57" s="3">
        <f t="shared" si="2"/>
        <v>0</v>
      </c>
      <c r="R57" s="39">
        <f>Q57/Summary!$Q$16</f>
        <v>0</v>
      </c>
      <c r="S57" s="39"/>
      <c r="T57" s="35"/>
      <c r="U57" s="40">
        <f t="shared" si="3"/>
        <v>0</v>
      </c>
    </row>
    <row r="58" spans="1:21" s="3" customFormat="1" ht="24.95" hidden="1" customHeight="1">
      <c r="A58" s="3" t="s">
        <v>568</v>
      </c>
      <c r="B58" s="3" t="s">
        <v>49</v>
      </c>
      <c r="D58" s="26" t="s">
        <v>569</v>
      </c>
      <c r="E58" s="43">
        <f>EO!E58+Finance!E58+HR!E58+Security!E58+IT!E58</f>
        <v>0</v>
      </c>
      <c r="F58" s="43">
        <f>EO!F58+Finance!F58+HR!F58+Security!F58+IT!F58</f>
        <v>0</v>
      </c>
      <c r="G58" s="43">
        <f>EO!G58+Finance!G58+HR!G58+Security!G58+IT!G58</f>
        <v>0</v>
      </c>
      <c r="H58" s="43">
        <f>EO!H58+Finance!H58+HR!H58+Security!H58+IT!H58</f>
        <v>0</v>
      </c>
      <c r="I58" s="43">
        <f>EO!I58+Finance!I58+HR!I58+Security!I58+IT!I58</f>
        <v>0</v>
      </c>
      <c r="J58" s="43">
        <f>EO!J58+Finance!J58+HR!J58+Security!J58+IT!J58</f>
        <v>0</v>
      </c>
      <c r="K58" s="43">
        <f>EO!K58+Finance!K58+HR!K58+Security!K58+IT!K58</f>
        <v>0</v>
      </c>
      <c r="L58" s="43">
        <f>EO!L58+Finance!L58+HR!L58+Security!L58+IT!L58</f>
        <v>0</v>
      </c>
      <c r="M58" s="43">
        <f>EO!M58+Finance!M58+HR!M58+Security!M58+IT!M58</f>
        <v>0</v>
      </c>
      <c r="N58" s="43">
        <f>EO!N58+Finance!N58+HR!N58+Security!N58+IT!N58</f>
        <v>0</v>
      </c>
      <c r="O58" s="43">
        <f>EO!O58+Finance!O58+HR!O58+Security!O58+IT!O58</f>
        <v>0</v>
      </c>
      <c r="P58" s="43">
        <f>EO!P58+Finance!P58+HR!P58+Security!P58+IT!P58</f>
        <v>0</v>
      </c>
      <c r="Q58" s="3">
        <f t="shared" si="2"/>
        <v>0</v>
      </c>
      <c r="R58" s="39">
        <f>Q58/Summary!$Q$16</f>
        <v>0</v>
      </c>
      <c r="S58" s="39"/>
      <c r="T58" s="35"/>
      <c r="U58" s="40">
        <f t="shared" si="3"/>
        <v>0</v>
      </c>
    </row>
    <row r="59" spans="1:21" s="3" customFormat="1" ht="24.95" hidden="1" customHeight="1">
      <c r="A59" s="3" t="s">
        <v>570</v>
      </c>
      <c r="B59" s="3" t="s">
        <v>49</v>
      </c>
      <c r="D59" s="26" t="s">
        <v>571</v>
      </c>
      <c r="E59" s="43">
        <f>EO!E59+Finance!E59+HR!E59+Security!E59+IT!E59</f>
        <v>0</v>
      </c>
      <c r="F59" s="43">
        <f>EO!F59+Finance!F59+HR!F59+Security!F59+IT!F59</f>
        <v>0</v>
      </c>
      <c r="G59" s="43">
        <f>EO!G59+Finance!G59+HR!G59+Security!G59+IT!G59</f>
        <v>0</v>
      </c>
      <c r="H59" s="43">
        <f>EO!H59+Finance!H59+HR!H59+Security!H59+IT!H59</f>
        <v>0</v>
      </c>
      <c r="I59" s="43">
        <f>EO!I59+Finance!I59+HR!I59+Security!I59+IT!I59</f>
        <v>0</v>
      </c>
      <c r="J59" s="43">
        <f>EO!J59+Finance!J59+HR!J59+Security!J59+IT!J59</f>
        <v>0</v>
      </c>
      <c r="K59" s="43">
        <f>EO!K59+Finance!K59+HR!K59+Security!K59+IT!K59</f>
        <v>0</v>
      </c>
      <c r="L59" s="43">
        <f>EO!L59+Finance!L59+HR!L59+Security!L59+IT!L59</f>
        <v>0</v>
      </c>
      <c r="M59" s="43">
        <f>EO!M59+Finance!M59+HR!M59+Security!M59+IT!M59</f>
        <v>0</v>
      </c>
      <c r="N59" s="43">
        <f>EO!N59+Finance!N59+HR!N59+Security!N59+IT!N59</f>
        <v>0</v>
      </c>
      <c r="O59" s="43">
        <f>EO!O59+Finance!O59+HR!O59+Security!O59+IT!O59</f>
        <v>0</v>
      </c>
      <c r="P59" s="43">
        <f>EO!P59+Finance!P59+HR!P59+Security!P59+IT!P59</f>
        <v>0</v>
      </c>
      <c r="Q59" s="3">
        <f t="shared" si="2"/>
        <v>0</v>
      </c>
      <c r="R59" s="39">
        <f>Q59/Summary!$Q$16</f>
        <v>0</v>
      </c>
      <c r="S59" s="39"/>
      <c r="T59" s="35"/>
      <c r="U59" s="40">
        <f t="shared" si="3"/>
        <v>0</v>
      </c>
    </row>
    <row r="60" spans="1:21" s="3" customFormat="1" ht="24.95" hidden="1" customHeight="1">
      <c r="A60" s="3" t="s">
        <v>572</v>
      </c>
      <c r="B60" s="3" t="s">
        <v>49</v>
      </c>
      <c r="D60" s="26" t="s">
        <v>573</v>
      </c>
      <c r="E60" s="43">
        <f>EO!E60+Finance!E60+HR!E60+Security!E60+IT!E60</f>
        <v>0</v>
      </c>
      <c r="F60" s="43">
        <f>EO!F60+Finance!F60+HR!F60+Security!F60+IT!F60</f>
        <v>0</v>
      </c>
      <c r="G60" s="43">
        <f>EO!G60+Finance!G60+HR!G60+Security!G60+IT!G60</f>
        <v>0</v>
      </c>
      <c r="H60" s="43">
        <f>EO!H60+Finance!H60+HR!H60+Security!H60+IT!H60</f>
        <v>0</v>
      </c>
      <c r="I60" s="43">
        <f>EO!I60+Finance!I60+HR!I60+Security!I60+IT!I60</f>
        <v>0</v>
      </c>
      <c r="J60" s="43">
        <f>EO!J60+Finance!J60+HR!J60+Security!J60+IT!J60</f>
        <v>0</v>
      </c>
      <c r="K60" s="43">
        <f>EO!K60+Finance!K60+HR!K60+Security!K60+IT!K60</f>
        <v>0</v>
      </c>
      <c r="L60" s="43">
        <f>EO!L60+Finance!L60+HR!L60+Security!L60+IT!L60</f>
        <v>0</v>
      </c>
      <c r="M60" s="43">
        <f>EO!M60+Finance!M60+HR!M60+Security!M60+IT!M60</f>
        <v>0</v>
      </c>
      <c r="N60" s="43">
        <f>EO!N60+Finance!N60+HR!N60+Security!N60+IT!N60</f>
        <v>0</v>
      </c>
      <c r="O60" s="43">
        <f>EO!O60+Finance!O60+HR!O60+Security!O60+IT!O60</f>
        <v>0</v>
      </c>
      <c r="P60" s="43">
        <f>EO!P60+Finance!P60+HR!P60+Security!P60+IT!P60</f>
        <v>0</v>
      </c>
      <c r="Q60" s="3">
        <f t="shared" si="2"/>
        <v>0</v>
      </c>
      <c r="R60" s="39">
        <f>Q60/Summary!$Q$16</f>
        <v>0</v>
      </c>
      <c r="S60" s="39"/>
      <c r="T60" s="35"/>
      <c r="U60" s="40">
        <f t="shared" si="3"/>
        <v>0</v>
      </c>
    </row>
    <row r="61" spans="1:21" s="3" customFormat="1" ht="24.95" hidden="1" customHeight="1">
      <c r="A61" s="3" t="s">
        <v>574</v>
      </c>
      <c r="B61" s="3" t="s">
        <v>49</v>
      </c>
      <c r="D61" s="26" t="s">
        <v>575</v>
      </c>
      <c r="E61" s="43">
        <f>EO!E61+Finance!E61+HR!E61+Security!E61+IT!E61</f>
        <v>0</v>
      </c>
      <c r="F61" s="43">
        <f>EO!F61+Finance!F61+HR!F61+Security!F61+IT!F61</f>
        <v>0</v>
      </c>
      <c r="G61" s="43">
        <f>EO!G61+Finance!G61+HR!G61+Security!G61+IT!G61</f>
        <v>0</v>
      </c>
      <c r="H61" s="43">
        <f>EO!H61+Finance!H61+HR!H61+Security!H61+IT!H61</f>
        <v>0</v>
      </c>
      <c r="I61" s="43">
        <f>EO!I61+Finance!I61+HR!I61+Security!I61+IT!I61</f>
        <v>0</v>
      </c>
      <c r="J61" s="43">
        <f>EO!J61+Finance!J61+HR!J61+Security!J61+IT!J61</f>
        <v>0</v>
      </c>
      <c r="K61" s="43">
        <f>EO!K61+Finance!K61+HR!K61+Security!K61+IT!K61</f>
        <v>0</v>
      </c>
      <c r="L61" s="43">
        <f>EO!L61+Finance!L61+HR!L61+Security!L61+IT!L61</f>
        <v>0</v>
      </c>
      <c r="M61" s="43">
        <f>EO!M61+Finance!M61+HR!M61+Security!M61+IT!M61</f>
        <v>0</v>
      </c>
      <c r="N61" s="43">
        <f>EO!N61+Finance!N61+HR!N61+Security!N61+IT!N61</f>
        <v>0</v>
      </c>
      <c r="O61" s="43">
        <f>EO!O61+Finance!O61+HR!O61+Security!O61+IT!O61</f>
        <v>0</v>
      </c>
      <c r="P61" s="43">
        <f>EO!P61+Finance!P61+HR!P61+Security!P61+IT!P61</f>
        <v>0</v>
      </c>
      <c r="Q61" s="3">
        <f t="shared" si="2"/>
        <v>0</v>
      </c>
      <c r="R61" s="39">
        <f>Q61/Summary!$Q$16</f>
        <v>0</v>
      </c>
      <c r="S61" s="39"/>
      <c r="T61" s="35"/>
      <c r="U61" s="40">
        <f t="shared" si="3"/>
        <v>0</v>
      </c>
    </row>
    <row r="62" spans="1:21" s="3" customFormat="1" ht="24.95" hidden="1" customHeight="1">
      <c r="A62" s="3" t="s">
        <v>576</v>
      </c>
      <c r="B62" s="3" t="s">
        <v>49</v>
      </c>
      <c r="D62" s="26" t="s">
        <v>577</v>
      </c>
      <c r="E62" s="43">
        <f>EO!E62+Finance!E62+HR!E62+Security!E62+IT!E62</f>
        <v>0</v>
      </c>
      <c r="F62" s="43">
        <f>EO!F62+Finance!F62+HR!F62+Security!F62+IT!F62</f>
        <v>0</v>
      </c>
      <c r="G62" s="43">
        <f>EO!G62+Finance!G62+HR!G62+Security!G62+IT!G62</f>
        <v>0</v>
      </c>
      <c r="H62" s="43">
        <f>EO!H62+Finance!H62+HR!H62+Security!H62+IT!H62</f>
        <v>0</v>
      </c>
      <c r="I62" s="43">
        <f>EO!I62+Finance!I62+HR!I62+Security!I62+IT!I62</f>
        <v>0</v>
      </c>
      <c r="J62" s="43">
        <f>EO!J62+Finance!J62+HR!J62+Security!J62+IT!J62</f>
        <v>0</v>
      </c>
      <c r="K62" s="43">
        <f>EO!K62+Finance!K62+HR!K62+Security!K62+IT!K62</f>
        <v>0</v>
      </c>
      <c r="L62" s="43">
        <f>EO!L62+Finance!L62+HR!L62+Security!L62+IT!L62</f>
        <v>0</v>
      </c>
      <c r="M62" s="43">
        <f>EO!M62+Finance!M62+HR!M62+Security!M62+IT!M62</f>
        <v>0</v>
      </c>
      <c r="N62" s="43">
        <f>EO!N62+Finance!N62+HR!N62+Security!N62+IT!N62</f>
        <v>0</v>
      </c>
      <c r="O62" s="43">
        <f>EO!O62+Finance!O62+HR!O62+Security!O62+IT!O62</f>
        <v>0</v>
      </c>
      <c r="P62" s="43">
        <f>EO!P62+Finance!P62+HR!P62+Security!P62+IT!P62</f>
        <v>0</v>
      </c>
      <c r="Q62" s="3">
        <f t="shared" si="2"/>
        <v>0</v>
      </c>
      <c r="R62" s="39">
        <f>Q62/Summary!$Q$16</f>
        <v>0</v>
      </c>
      <c r="S62" s="39"/>
      <c r="T62" s="35"/>
      <c r="U62" s="40">
        <f t="shared" si="3"/>
        <v>0</v>
      </c>
    </row>
    <row r="63" spans="1:21" s="3" customFormat="1" ht="24.95" hidden="1" customHeight="1">
      <c r="A63" s="3" t="s">
        <v>578</v>
      </c>
      <c r="B63" s="3" t="s">
        <v>49</v>
      </c>
      <c r="D63" s="26" t="s">
        <v>579</v>
      </c>
      <c r="E63" s="43">
        <f>EO!E63+Finance!E63+HR!E63+Security!E63+IT!E63</f>
        <v>0</v>
      </c>
      <c r="F63" s="43">
        <f>EO!F63+Finance!F63+HR!F63+Security!F63+IT!F63</f>
        <v>0</v>
      </c>
      <c r="G63" s="43">
        <f>EO!G63+Finance!G63+HR!G63+Security!G63+IT!G63</f>
        <v>0</v>
      </c>
      <c r="H63" s="43">
        <f>EO!H63+Finance!H63+HR!H63+Security!H63+IT!H63</f>
        <v>0</v>
      </c>
      <c r="I63" s="43">
        <f>EO!I63+Finance!I63+HR!I63+Security!I63+IT!I63</f>
        <v>0</v>
      </c>
      <c r="J63" s="43">
        <f>EO!J63+Finance!J63+HR!J63+Security!J63+IT!J63</f>
        <v>0</v>
      </c>
      <c r="K63" s="43">
        <f>EO!K63+Finance!K63+HR!K63+Security!K63+IT!K63</f>
        <v>0</v>
      </c>
      <c r="L63" s="43">
        <f>EO!L63+Finance!L63+HR!L63+Security!L63+IT!L63</f>
        <v>0</v>
      </c>
      <c r="M63" s="43">
        <f>EO!M63+Finance!M63+HR!M63+Security!M63+IT!M63</f>
        <v>0</v>
      </c>
      <c r="N63" s="43">
        <f>EO!N63+Finance!N63+HR!N63+Security!N63+IT!N63</f>
        <v>0</v>
      </c>
      <c r="O63" s="43">
        <f>EO!O63+Finance!O63+HR!O63+Security!O63+IT!O63</f>
        <v>0</v>
      </c>
      <c r="P63" s="43">
        <f>EO!P63+Finance!P63+HR!P63+Security!P63+IT!P63</f>
        <v>0</v>
      </c>
      <c r="Q63" s="3">
        <f t="shared" si="2"/>
        <v>0</v>
      </c>
      <c r="R63" s="39">
        <f>Q63/Summary!$Q$16</f>
        <v>0</v>
      </c>
      <c r="S63" s="39"/>
      <c r="T63" s="35"/>
      <c r="U63" s="40">
        <f t="shared" si="3"/>
        <v>0</v>
      </c>
    </row>
    <row r="64" spans="1:21" s="3" customFormat="1" ht="24.95" hidden="1" customHeight="1">
      <c r="A64" s="3" t="s">
        <v>580</v>
      </c>
      <c r="B64" s="3" t="s">
        <v>49</v>
      </c>
      <c r="D64" s="26" t="s">
        <v>581</v>
      </c>
      <c r="E64" s="43">
        <f>EO!E64+Finance!E64+HR!E64+Security!E64+IT!E64</f>
        <v>0</v>
      </c>
      <c r="F64" s="43">
        <f>EO!F64+Finance!F64+HR!F64+Security!F64+IT!F64</f>
        <v>0</v>
      </c>
      <c r="G64" s="43">
        <f>EO!G64+Finance!G64+HR!G64+Security!G64+IT!G64</f>
        <v>0</v>
      </c>
      <c r="H64" s="43">
        <f>EO!H64+Finance!H64+HR!H64+Security!H64+IT!H64</f>
        <v>0</v>
      </c>
      <c r="I64" s="43">
        <f>EO!I64+Finance!I64+HR!I64+Security!I64+IT!I64</f>
        <v>0</v>
      </c>
      <c r="J64" s="43">
        <f>EO!J64+Finance!J64+HR!J64+Security!J64+IT!J64</f>
        <v>0</v>
      </c>
      <c r="K64" s="43">
        <f>EO!K64+Finance!K64+HR!K64+Security!K64+IT!K64</f>
        <v>0</v>
      </c>
      <c r="L64" s="43">
        <f>EO!L64+Finance!L64+HR!L64+Security!L64+IT!L64</f>
        <v>0</v>
      </c>
      <c r="M64" s="43">
        <f>EO!M64+Finance!M64+HR!M64+Security!M64+IT!M64</f>
        <v>0</v>
      </c>
      <c r="N64" s="43">
        <f>EO!N64+Finance!N64+HR!N64+Security!N64+IT!N64</f>
        <v>0</v>
      </c>
      <c r="O64" s="43">
        <f>EO!O64+Finance!O64+HR!O64+Security!O64+IT!O64</f>
        <v>0</v>
      </c>
      <c r="P64" s="43">
        <f>EO!P64+Finance!P64+HR!P64+Security!P64+IT!P64</f>
        <v>0</v>
      </c>
      <c r="Q64" s="3">
        <f t="shared" si="2"/>
        <v>0</v>
      </c>
      <c r="R64" s="39">
        <f>Q64/Summary!$Q$16</f>
        <v>0</v>
      </c>
      <c r="S64" s="39"/>
      <c r="T64" s="35"/>
      <c r="U64" s="40">
        <f t="shared" si="3"/>
        <v>0</v>
      </c>
    </row>
    <row r="65" spans="1:21" s="3" customFormat="1" ht="24.95" hidden="1" customHeight="1">
      <c r="A65" s="3" t="s">
        <v>582</v>
      </c>
      <c r="B65" s="3" t="s">
        <v>49</v>
      </c>
      <c r="D65" s="26" t="s">
        <v>583</v>
      </c>
      <c r="E65" s="43">
        <f>EO!E65+Finance!E65+HR!E65+Security!E65+IT!E65</f>
        <v>0</v>
      </c>
      <c r="F65" s="43">
        <f>EO!F65+Finance!F65+HR!F65+Security!F65+IT!F65</f>
        <v>0</v>
      </c>
      <c r="G65" s="43">
        <f>EO!G65+Finance!G65+HR!G65+Security!G65+IT!G65</f>
        <v>0</v>
      </c>
      <c r="H65" s="43">
        <f>EO!H65+Finance!H65+HR!H65+Security!H65+IT!H65</f>
        <v>0</v>
      </c>
      <c r="I65" s="43">
        <f>EO!I65+Finance!I65+HR!I65+Security!I65+IT!I65</f>
        <v>0</v>
      </c>
      <c r="J65" s="43">
        <f>EO!J65+Finance!J65+HR!J65+Security!J65+IT!J65</f>
        <v>0</v>
      </c>
      <c r="K65" s="43">
        <f>EO!K65+Finance!K65+HR!K65+Security!K65+IT!K65</f>
        <v>0</v>
      </c>
      <c r="L65" s="43">
        <f>EO!L65+Finance!L65+HR!L65+Security!L65+IT!L65</f>
        <v>0</v>
      </c>
      <c r="M65" s="43">
        <f>EO!M65+Finance!M65+HR!M65+Security!M65+IT!M65</f>
        <v>0</v>
      </c>
      <c r="N65" s="43">
        <f>EO!N65+Finance!N65+HR!N65+Security!N65+IT!N65</f>
        <v>0</v>
      </c>
      <c r="O65" s="43">
        <f>EO!O65+Finance!O65+HR!O65+Security!O65+IT!O65</f>
        <v>0</v>
      </c>
      <c r="P65" s="43">
        <f>EO!P65+Finance!P65+HR!P65+Security!P65+IT!P65</f>
        <v>0</v>
      </c>
      <c r="Q65" s="3">
        <f t="shared" si="2"/>
        <v>0</v>
      </c>
      <c r="R65" s="39">
        <f>Q65/Summary!$Q$16</f>
        <v>0</v>
      </c>
      <c r="S65" s="39"/>
      <c r="T65" s="35"/>
      <c r="U65" s="40">
        <f t="shared" si="3"/>
        <v>0</v>
      </c>
    </row>
    <row r="66" spans="1:21" s="3" customFormat="1" ht="24.95" customHeight="1">
      <c r="A66" s="3" t="s">
        <v>584</v>
      </c>
      <c r="B66" s="3" t="s">
        <v>49</v>
      </c>
      <c r="D66" s="26" t="s">
        <v>585</v>
      </c>
      <c r="E66" s="43">
        <f>EO!E66+Finance!E66+HR!E66+Security!E66+IT!E66</f>
        <v>0</v>
      </c>
      <c r="F66" s="43">
        <f>EO!F66+Finance!F66+HR!F66+Security!F66+IT!F66</f>
        <v>0</v>
      </c>
      <c r="G66" s="43">
        <f>EO!G66+Finance!G66+HR!G66+Security!G66+IT!G66</f>
        <v>0</v>
      </c>
      <c r="H66" s="43">
        <f>EO!H66+Finance!H66+HR!H66+Security!H66+IT!H66</f>
        <v>0</v>
      </c>
      <c r="I66" s="43">
        <f>EO!I66+Finance!I66+HR!I66+Security!I66+IT!I66</f>
        <v>0</v>
      </c>
      <c r="J66" s="43">
        <f>EO!J66+Finance!J66+HR!J66+Security!J66+IT!J66</f>
        <v>0</v>
      </c>
      <c r="K66" s="43">
        <f>EO!K66+Finance!K66+HR!K66+Security!K66+IT!K66</f>
        <v>0</v>
      </c>
      <c r="L66" s="43">
        <f>EO!L66+Finance!L66+HR!L66+Security!L66+IT!L66</f>
        <v>0</v>
      </c>
      <c r="M66" s="43">
        <f>EO!M66+Finance!M66+HR!M66+Security!M66+IT!M66</f>
        <v>0</v>
      </c>
      <c r="N66" s="43">
        <f>EO!N66+Finance!N66+HR!N66+Security!N66+IT!N66</f>
        <v>0</v>
      </c>
      <c r="O66" s="43">
        <f>EO!O66+Finance!O66+HR!O66+Security!O66+IT!O66</f>
        <v>0</v>
      </c>
      <c r="P66" s="43">
        <f>EO!P66+Finance!P66+HR!P66+Security!P66+IT!P66</f>
        <v>0</v>
      </c>
      <c r="Q66" s="3">
        <f t="shared" si="2"/>
        <v>0</v>
      </c>
      <c r="R66" s="39">
        <f>Q66/Summary!$Q$16</f>
        <v>0</v>
      </c>
      <c r="S66" s="39"/>
      <c r="T66" s="35"/>
      <c r="U66" s="40">
        <f t="shared" si="3"/>
        <v>0</v>
      </c>
    </row>
    <row r="67" spans="1:21" s="3" customFormat="1" ht="24.95" hidden="1" customHeight="1">
      <c r="A67" s="3" t="s">
        <v>586</v>
      </c>
      <c r="B67" s="3" t="s">
        <v>49</v>
      </c>
      <c r="D67" s="26" t="s">
        <v>587</v>
      </c>
      <c r="E67" s="43">
        <f>EO!E67+Finance!E67+HR!E67+Security!E67+IT!E67</f>
        <v>0</v>
      </c>
      <c r="F67" s="43">
        <f>EO!F67+Finance!F67+HR!F67+Security!F67+IT!F67</f>
        <v>0</v>
      </c>
      <c r="G67" s="43">
        <f>EO!G67+Finance!G67+HR!G67+Security!G67+IT!G67</f>
        <v>0</v>
      </c>
      <c r="H67" s="43">
        <f>EO!H67+Finance!H67+HR!H67+Security!H67+IT!H67</f>
        <v>0</v>
      </c>
      <c r="I67" s="43">
        <f>EO!I67+Finance!I67+HR!I67+Security!I67+IT!I67</f>
        <v>0</v>
      </c>
      <c r="J67" s="43">
        <f>EO!J67+Finance!J67+HR!J67+Security!J67+IT!J67</f>
        <v>0</v>
      </c>
      <c r="K67" s="43">
        <f>EO!K67+Finance!K67+HR!K67+Security!K67+IT!K67</f>
        <v>0</v>
      </c>
      <c r="L67" s="43">
        <f>EO!L67+Finance!L67+HR!L67+Security!L67+IT!L67</f>
        <v>0</v>
      </c>
      <c r="M67" s="43">
        <f>EO!M67+Finance!M67+HR!M67+Security!M67+IT!M67</f>
        <v>0</v>
      </c>
      <c r="N67" s="43">
        <f>EO!N67+Finance!N67+HR!N67+Security!N67+IT!N67</f>
        <v>0</v>
      </c>
      <c r="O67" s="43">
        <f>EO!O67+Finance!O67+HR!O67+Security!O67+IT!O67</f>
        <v>0</v>
      </c>
      <c r="P67" s="43">
        <f>EO!P67+Finance!P67+HR!P67+Security!P67+IT!P67</f>
        <v>0</v>
      </c>
      <c r="Q67" s="3">
        <f t="shared" si="2"/>
        <v>0</v>
      </c>
      <c r="R67" s="39">
        <f>Q67/Summary!$Q$16</f>
        <v>0</v>
      </c>
      <c r="S67" s="39"/>
      <c r="T67" s="35"/>
      <c r="U67" s="40">
        <f t="shared" si="3"/>
        <v>0</v>
      </c>
    </row>
    <row r="68" spans="1:21" s="3" customFormat="1" ht="24.95" customHeight="1">
      <c r="A68" s="3" t="s">
        <v>588</v>
      </c>
      <c r="B68" s="3" t="s">
        <v>49</v>
      </c>
      <c r="D68" s="26" t="s">
        <v>589</v>
      </c>
      <c r="E68" s="43">
        <f>EO!E68+Finance!E68+HR!E68+Security!E68+IT!E68</f>
        <v>240</v>
      </c>
      <c r="F68" s="43">
        <f>EO!F68+Finance!F68+HR!F68+Security!F68+IT!F68</f>
        <v>240</v>
      </c>
      <c r="G68" s="43">
        <f>EO!G68+Finance!G68+HR!G68+Security!G68+IT!G68</f>
        <v>240</v>
      </c>
      <c r="H68" s="43">
        <f>EO!H68+Finance!H68+HR!H68+Security!H68+IT!H68</f>
        <v>240</v>
      </c>
      <c r="I68" s="43">
        <f>EO!I68+Finance!I68+HR!I68+Security!I68+IT!I68</f>
        <v>240</v>
      </c>
      <c r="J68" s="43">
        <f>EO!J68+Finance!J68+HR!J68+Security!J68+IT!J68</f>
        <v>240</v>
      </c>
      <c r="K68" s="43">
        <f>EO!K68+Finance!K68+HR!K68+Security!K68+IT!K68</f>
        <v>240</v>
      </c>
      <c r="L68" s="43">
        <f>EO!L68+Finance!L68+HR!L68+Security!L68+IT!L68</f>
        <v>240</v>
      </c>
      <c r="M68" s="43">
        <f>EO!M68+Finance!M68+HR!M68+Security!M68+IT!M68</f>
        <v>240</v>
      </c>
      <c r="N68" s="43">
        <f>EO!N68+Finance!N68+HR!N68+Security!N68+IT!N68</f>
        <v>240</v>
      </c>
      <c r="O68" s="43">
        <f>EO!O68+Finance!O68+HR!O68+Security!O68+IT!O68</f>
        <v>240</v>
      </c>
      <c r="P68" s="43">
        <f>EO!P68+Finance!P68+HR!P68+Security!P68+IT!P68</f>
        <v>240</v>
      </c>
      <c r="Q68" s="3">
        <f t="shared" si="2"/>
        <v>2880</v>
      </c>
      <c r="R68" s="39">
        <f>Q68/Summary!$Q$16</f>
        <v>8.6596251005343377E-5</v>
      </c>
      <c r="S68" s="39"/>
      <c r="T68" s="35"/>
      <c r="U68" s="40" t="e">
        <f t="shared" si="3"/>
        <v>#DIV/0!</v>
      </c>
    </row>
    <row r="69" spans="1:21" s="3" customFormat="1" ht="24.95" customHeight="1">
      <c r="A69" s="3" t="s">
        <v>590</v>
      </c>
      <c r="B69" s="3" t="s">
        <v>49</v>
      </c>
      <c r="D69" s="26" t="s">
        <v>591</v>
      </c>
      <c r="E69" s="43">
        <f>EO!E69+Finance!E69+HR!E69+Security!E69+IT!E69</f>
        <v>1250</v>
      </c>
      <c r="F69" s="43">
        <f>EO!F69+Finance!F69+HR!F69+Security!F69+IT!F69</f>
        <v>1250</v>
      </c>
      <c r="G69" s="43">
        <f>EO!G69+Finance!G69+HR!G69+Security!G69+IT!G69</f>
        <v>1250</v>
      </c>
      <c r="H69" s="43">
        <f>EO!H69+Finance!H69+HR!H69+Security!H69+IT!H69</f>
        <v>1250</v>
      </c>
      <c r="I69" s="43">
        <f>EO!I69+Finance!I69+HR!I69+Security!I69+IT!I69</f>
        <v>1250</v>
      </c>
      <c r="J69" s="43">
        <f>EO!J69+Finance!J69+HR!J69+Security!J69+IT!J69</f>
        <v>1250</v>
      </c>
      <c r="K69" s="43">
        <f>EO!K69+Finance!K69+HR!K69+Security!K69+IT!K69</f>
        <v>1250</v>
      </c>
      <c r="L69" s="43">
        <f>EO!L69+Finance!L69+HR!L69+Security!L69+IT!L69</f>
        <v>1250</v>
      </c>
      <c r="M69" s="43">
        <f>EO!M69+Finance!M69+HR!M69+Security!M69+IT!M69</f>
        <v>1250</v>
      </c>
      <c r="N69" s="43">
        <f>EO!N69+Finance!N69+HR!N69+Security!N69+IT!N69</f>
        <v>1250</v>
      </c>
      <c r="O69" s="43">
        <f>EO!O69+Finance!O69+HR!O69+Security!O69+IT!O69</f>
        <v>1250</v>
      </c>
      <c r="P69" s="43">
        <f>EO!P69+Finance!P69+HR!P69+Security!P69+IT!P69</f>
        <v>1250</v>
      </c>
      <c r="Q69" s="3">
        <f t="shared" si="2"/>
        <v>15000</v>
      </c>
      <c r="R69" s="39">
        <f>Q69/Summary!$Q$16</f>
        <v>4.5102214065283013E-4</v>
      </c>
      <c r="S69" s="39"/>
      <c r="T69" s="35"/>
      <c r="U69" s="40" t="e">
        <f t="shared" si="3"/>
        <v>#DIV/0!</v>
      </c>
    </row>
    <row r="70" spans="1:21" s="3" customFormat="1" ht="24.95" customHeight="1">
      <c r="A70" s="3" t="s">
        <v>592</v>
      </c>
      <c r="B70" s="3" t="s">
        <v>49</v>
      </c>
      <c r="D70" s="26" t="s">
        <v>593</v>
      </c>
      <c r="E70" s="43">
        <f>EO!E70+Finance!E70+HR!E70+Security!E70+IT!E70</f>
        <v>12035.05</v>
      </c>
      <c r="F70" s="43">
        <f>EO!F70+Finance!F70+HR!F70+Security!F70+IT!F70</f>
        <v>12908.34</v>
      </c>
      <c r="G70" s="43">
        <f>EO!G70+Finance!G70+HR!G70+Security!G70+IT!G70</f>
        <v>12002.769999999999</v>
      </c>
      <c r="H70" s="43">
        <f>EO!H70+Finance!H70+HR!H70+Security!H70+IT!H70</f>
        <v>12983.21</v>
      </c>
      <c r="I70" s="43">
        <f>EO!I70+Finance!I70+HR!I70+Security!I70+IT!I70</f>
        <v>13104.050000000001</v>
      </c>
      <c r="J70" s="43">
        <f>EO!J70+Finance!J70+HR!J70+Security!J70+IT!J70</f>
        <v>13192.39</v>
      </c>
      <c r="K70" s="43">
        <f>EO!K70+Finance!K70+HR!K70+Security!K70+IT!K70</f>
        <v>13095.04</v>
      </c>
      <c r="L70" s="43">
        <f>EO!L70+Finance!L70+HR!L70+Security!L70+IT!L70</f>
        <v>13141.52</v>
      </c>
      <c r="M70" s="43">
        <f>EO!M70+Finance!M70+HR!M70+Security!M70+IT!M70</f>
        <v>13750.12</v>
      </c>
      <c r="N70" s="43">
        <f>EO!N70+Finance!N70+HR!N70+Security!N70+IT!N70</f>
        <v>14623.4</v>
      </c>
      <c r="O70" s="43">
        <f>EO!O70+Finance!O70+HR!O70+Security!O70+IT!O70</f>
        <v>12737.14</v>
      </c>
      <c r="P70" s="43">
        <f>EO!P70+Finance!P70+HR!P70+Security!P70+IT!P70</f>
        <v>12560.52</v>
      </c>
      <c r="Q70" s="3">
        <f t="shared" si="2"/>
        <v>156133.54999999999</v>
      </c>
      <c r="R70" s="39">
        <f>Q70/Summary!$Q$16</f>
        <v>4.6946458632483789E-3</v>
      </c>
      <c r="S70" s="39"/>
      <c r="T70" s="35"/>
      <c r="U70" s="40" t="e">
        <f t="shared" si="3"/>
        <v>#DIV/0!</v>
      </c>
    </row>
    <row r="71" spans="1:21" s="3" customFormat="1" ht="24.95" hidden="1" customHeight="1">
      <c r="A71" s="3" t="s">
        <v>594</v>
      </c>
      <c r="B71" s="3" t="s">
        <v>49</v>
      </c>
      <c r="D71" s="26" t="s">
        <v>595</v>
      </c>
      <c r="E71" s="43">
        <f>EO!E71+Finance!E71+HR!E71+Security!E71+IT!E71</f>
        <v>0</v>
      </c>
      <c r="F71" s="43">
        <f>EO!F71+Finance!F71+HR!F71+Security!F71+IT!F71</f>
        <v>0</v>
      </c>
      <c r="G71" s="43">
        <f>EO!G71+Finance!G71+HR!G71+Security!G71+IT!G71</f>
        <v>0</v>
      </c>
      <c r="H71" s="43">
        <f>EO!H71+Finance!H71+HR!H71+Security!H71+IT!H71</f>
        <v>0</v>
      </c>
      <c r="I71" s="43">
        <f>EO!I71+Finance!I71+HR!I71+Security!I71+IT!I71</f>
        <v>0</v>
      </c>
      <c r="J71" s="43">
        <f>EO!J71+Finance!J71+HR!J71+Security!J71+IT!J71</f>
        <v>0</v>
      </c>
      <c r="K71" s="43">
        <f>EO!K71+Finance!K71+HR!K71+Security!K71+IT!K71</f>
        <v>0</v>
      </c>
      <c r="L71" s="43">
        <f>EO!L71+Finance!L71+HR!L71+Security!L71+IT!L71</f>
        <v>0</v>
      </c>
      <c r="M71" s="43">
        <f>EO!M71+Finance!M71+HR!M71+Security!M71+IT!M71</f>
        <v>0</v>
      </c>
      <c r="N71" s="43">
        <f>EO!N71+Finance!N71+HR!N71+Security!N71+IT!N71</f>
        <v>0</v>
      </c>
      <c r="O71" s="43">
        <f>EO!O71+Finance!O71+HR!O71+Security!O71+IT!O71</f>
        <v>0</v>
      </c>
      <c r="P71" s="43">
        <f>EO!P71+Finance!P71+HR!P71+Security!P71+IT!P71</f>
        <v>0</v>
      </c>
      <c r="Q71" s="3">
        <f t="shared" si="2"/>
        <v>0</v>
      </c>
      <c r="R71" s="39">
        <f>Q71/Summary!$Q$16</f>
        <v>0</v>
      </c>
      <c r="S71" s="39"/>
      <c r="T71" s="35"/>
      <c r="U71" s="40"/>
    </row>
    <row r="72" spans="1:21" s="3" customFormat="1" ht="24.95" customHeight="1">
      <c r="A72" s="3" t="s">
        <v>596</v>
      </c>
      <c r="B72" s="3" t="s">
        <v>49</v>
      </c>
      <c r="D72" s="26" t="s">
        <v>597</v>
      </c>
      <c r="E72" s="43">
        <f>EO!E72+Finance!E72+HR!E72+Security!E72+IT!E72</f>
        <v>2800</v>
      </c>
      <c r="F72" s="43">
        <f>EO!F72+Finance!F72+HR!F72+Security!F72+IT!F72</f>
        <v>2800</v>
      </c>
      <c r="G72" s="43">
        <f>EO!G72+Finance!G72+HR!G72+Security!G72+IT!G72</f>
        <v>2800</v>
      </c>
      <c r="H72" s="43">
        <f>EO!H72+Finance!H72+HR!H72+Security!H72+IT!H72</f>
        <v>2800</v>
      </c>
      <c r="I72" s="43">
        <f>EO!I72+Finance!I72+HR!I72+Security!I72+IT!I72</f>
        <v>2800</v>
      </c>
      <c r="J72" s="43">
        <f>EO!J72+Finance!J72+HR!J72+Security!J72+IT!J72</f>
        <v>2800</v>
      </c>
      <c r="K72" s="43">
        <f>EO!K72+Finance!K72+HR!K72+Security!K72+IT!K72</f>
        <v>2800</v>
      </c>
      <c r="L72" s="43">
        <f>EO!L72+Finance!L72+HR!L72+Security!L72+IT!L72</f>
        <v>2800</v>
      </c>
      <c r="M72" s="43">
        <f>EO!M72+Finance!M72+HR!M72+Security!M72+IT!M72</f>
        <v>2800</v>
      </c>
      <c r="N72" s="43">
        <f>EO!N72+Finance!N72+HR!N72+Security!N72+IT!N72</f>
        <v>2800</v>
      </c>
      <c r="O72" s="43">
        <f>EO!O72+Finance!O72+HR!O72+Security!O72+IT!O72</f>
        <v>2800</v>
      </c>
      <c r="P72" s="43">
        <f>EO!P72+Finance!P72+HR!P72+Security!P72+IT!P72</f>
        <v>2800</v>
      </c>
      <c r="Q72" s="3">
        <f t="shared" si="2"/>
        <v>33600</v>
      </c>
      <c r="R72" s="39">
        <f>Q72/Summary!$Q$16</f>
        <v>1.0102895950623394E-3</v>
      </c>
      <c r="S72" s="39"/>
      <c r="T72" s="35"/>
      <c r="U72" s="40" t="e">
        <f t="shared" ref="U72:U85" si="4">-IF(Q72-T72=0,0,(Q72-T72)/T72)</f>
        <v>#DIV/0!</v>
      </c>
    </row>
    <row r="73" spans="1:21" s="3" customFormat="1" ht="24.95" hidden="1" customHeight="1">
      <c r="A73" s="3" t="s">
        <v>598</v>
      </c>
      <c r="B73" s="3" t="s">
        <v>49</v>
      </c>
      <c r="D73" s="26" t="s">
        <v>599</v>
      </c>
      <c r="E73" s="43">
        <f>EO!E73+Finance!E73+HR!E73+Security!E73+IT!E73</f>
        <v>0</v>
      </c>
      <c r="F73" s="43">
        <f>EO!F73+Finance!F73+HR!F73+Security!F73+IT!F73</f>
        <v>0</v>
      </c>
      <c r="G73" s="43">
        <f>EO!G73+Finance!G73+HR!G73+Security!G73+IT!G73</f>
        <v>0</v>
      </c>
      <c r="H73" s="43">
        <f>EO!H73+Finance!H73+HR!H73+Security!H73+IT!H73</f>
        <v>0</v>
      </c>
      <c r="I73" s="43">
        <f>EO!I73+Finance!I73+HR!I73+Security!I73+IT!I73</f>
        <v>0</v>
      </c>
      <c r="J73" s="43">
        <f>EO!J73+Finance!J73+HR!J73+Security!J73+IT!J73</f>
        <v>0</v>
      </c>
      <c r="K73" s="43">
        <f>EO!K73+Finance!K73+HR!K73+Security!K73+IT!K73</f>
        <v>0</v>
      </c>
      <c r="L73" s="43">
        <f>EO!L73+Finance!L73+HR!L73+Security!L73+IT!L73</f>
        <v>0</v>
      </c>
      <c r="M73" s="43">
        <f>EO!M73+Finance!M73+HR!M73+Security!M73+IT!M73</f>
        <v>0</v>
      </c>
      <c r="N73" s="43">
        <f>EO!N73+Finance!N73+HR!N73+Security!N73+IT!N73</f>
        <v>0</v>
      </c>
      <c r="O73" s="43">
        <f>EO!O73+Finance!O73+HR!O73+Security!O73+IT!O73</f>
        <v>0</v>
      </c>
      <c r="P73" s="43">
        <f>EO!P73+Finance!P73+HR!P73+Security!P73+IT!P73</f>
        <v>0</v>
      </c>
      <c r="Q73" s="3">
        <f t="shared" si="2"/>
        <v>0</v>
      </c>
      <c r="R73" s="39">
        <f>Q73/Summary!$Q$16</f>
        <v>0</v>
      </c>
      <c r="S73" s="39"/>
      <c r="T73" s="35"/>
      <c r="U73" s="40">
        <f t="shared" si="4"/>
        <v>0</v>
      </c>
    </row>
    <row r="74" spans="1:21" s="3" customFormat="1" ht="24.95" customHeight="1">
      <c r="A74" s="3" t="s">
        <v>600</v>
      </c>
      <c r="B74" s="3" t="s">
        <v>49</v>
      </c>
      <c r="D74" s="26" t="s">
        <v>601</v>
      </c>
      <c r="E74" s="43">
        <f>EO!E74+Finance!E74+HR!E74+Security!E74+IT!E74</f>
        <v>1800</v>
      </c>
      <c r="F74" s="43">
        <f>EO!F74+Finance!F74+HR!F74+Security!F74+IT!F74</f>
        <v>1800</v>
      </c>
      <c r="G74" s="43">
        <f>EO!G74+Finance!G74+HR!G74+Security!G74+IT!G74</f>
        <v>1800</v>
      </c>
      <c r="H74" s="43">
        <f>EO!H74+Finance!H74+HR!H74+Security!H74+IT!H74</f>
        <v>1800</v>
      </c>
      <c r="I74" s="43">
        <f>EO!I74+Finance!I74+HR!I74+Security!I74+IT!I74</f>
        <v>1800</v>
      </c>
      <c r="J74" s="43">
        <f>EO!J74+Finance!J74+HR!J74+Security!J74+IT!J74</f>
        <v>1800</v>
      </c>
      <c r="K74" s="43">
        <f>EO!K74+Finance!K74+HR!K74+Security!K74+IT!K74</f>
        <v>1800</v>
      </c>
      <c r="L74" s="43">
        <f>EO!L74+Finance!L74+HR!L74+Security!L74+IT!L74</f>
        <v>1800</v>
      </c>
      <c r="M74" s="43">
        <f>EO!M74+Finance!M74+HR!M74+Security!M74+IT!M74</f>
        <v>1800</v>
      </c>
      <c r="N74" s="43">
        <f>EO!N74+Finance!N74+HR!N74+Security!N74+IT!N74</f>
        <v>1800</v>
      </c>
      <c r="O74" s="43">
        <f>EO!O74+Finance!O74+HR!O74+Security!O74+IT!O74</f>
        <v>1800</v>
      </c>
      <c r="P74" s="43">
        <f>EO!P74+Finance!P74+HR!P74+Security!P74+IT!P74</f>
        <v>1800</v>
      </c>
      <c r="Q74" s="3">
        <f t="shared" si="2"/>
        <v>21600</v>
      </c>
      <c r="R74" s="39">
        <f>Q74/Summary!$Q$16</f>
        <v>6.4947188254007541E-4</v>
      </c>
      <c r="S74" s="39"/>
      <c r="T74" s="35"/>
      <c r="U74" s="40" t="e">
        <f t="shared" si="4"/>
        <v>#DIV/0!</v>
      </c>
    </row>
    <row r="75" spans="1:21" s="3" customFormat="1" ht="24.95" customHeight="1">
      <c r="A75" s="3" t="s">
        <v>602</v>
      </c>
      <c r="B75" s="3" t="s">
        <v>49</v>
      </c>
      <c r="D75" s="26" t="s">
        <v>603</v>
      </c>
      <c r="E75" s="43">
        <f>EO!E75+Finance!E75+HR!E75+Security!E75+IT!E75</f>
        <v>1100</v>
      </c>
      <c r="F75" s="43">
        <f>EO!F75+Finance!F75+HR!F75+Security!F75+IT!F75</f>
        <v>1100</v>
      </c>
      <c r="G75" s="43">
        <f>EO!G75+Finance!G75+HR!G75+Security!G75+IT!G75</f>
        <v>8600</v>
      </c>
      <c r="H75" s="43">
        <f>EO!H75+Finance!H75+HR!H75+Security!H75+IT!H75</f>
        <v>8600</v>
      </c>
      <c r="I75" s="43">
        <f>EO!I75+Finance!I75+HR!I75+Security!I75+IT!I75</f>
        <v>6100</v>
      </c>
      <c r="J75" s="43">
        <f>EO!J75+Finance!J75+HR!J75+Security!J75+IT!J75</f>
        <v>11100</v>
      </c>
      <c r="K75" s="43">
        <f>EO!K75+Finance!K75+HR!K75+Security!K75+IT!K75</f>
        <v>1100</v>
      </c>
      <c r="L75" s="43">
        <f>EO!L75+Finance!L75+HR!L75+Security!L75+IT!L75</f>
        <v>6100</v>
      </c>
      <c r="M75" s="43">
        <f>EO!M75+Finance!M75+HR!M75+Security!M75+IT!M75</f>
        <v>1100</v>
      </c>
      <c r="N75" s="43">
        <f>EO!N75+Finance!N75+HR!N75+Security!N75+IT!N75</f>
        <v>1100</v>
      </c>
      <c r="O75" s="43">
        <f>EO!O75+Finance!O75+HR!O75+Security!O75+IT!O75</f>
        <v>1100</v>
      </c>
      <c r="P75" s="43">
        <f>EO!P75+Finance!P75+HR!P75+Security!P75+IT!P75</f>
        <v>1100</v>
      </c>
      <c r="Q75" s="3">
        <f t="shared" si="2"/>
        <v>48200</v>
      </c>
      <c r="R75" s="39">
        <f>Q75/Summary!$Q$16</f>
        <v>1.4492844786310941E-3</v>
      </c>
      <c r="S75" s="39"/>
      <c r="T75" s="35"/>
      <c r="U75" s="40" t="e">
        <f t="shared" si="4"/>
        <v>#DIV/0!</v>
      </c>
    </row>
    <row r="76" spans="1:21" s="3" customFormat="1" ht="24.95" hidden="1" customHeight="1">
      <c r="A76" s="3" t="s">
        <v>604</v>
      </c>
      <c r="B76" s="3" t="s">
        <v>49</v>
      </c>
      <c r="D76" s="26" t="s">
        <v>605</v>
      </c>
      <c r="E76" s="43">
        <f>EO!E76+Finance!E76+HR!E76+Security!E76+IT!E76</f>
        <v>0</v>
      </c>
      <c r="F76" s="43">
        <f>EO!F76+Finance!F76+HR!F76+Security!F76+IT!F76</f>
        <v>0</v>
      </c>
      <c r="G76" s="43">
        <f>EO!G76+Finance!G76+HR!G76+Security!G76+IT!G76</f>
        <v>0</v>
      </c>
      <c r="H76" s="43">
        <f>EO!H76+Finance!H76+HR!H76+Security!H76+IT!H76</f>
        <v>0</v>
      </c>
      <c r="I76" s="43">
        <f>EO!I76+Finance!I76+HR!I76+Security!I76+IT!I76</f>
        <v>0</v>
      </c>
      <c r="J76" s="43">
        <f>EO!J76+Finance!J76+HR!J76+Security!J76+IT!J76</f>
        <v>0</v>
      </c>
      <c r="K76" s="43">
        <f>EO!K76+Finance!K76+HR!K76+Security!K76+IT!K76</f>
        <v>0</v>
      </c>
      <c r="L76" s="43">
        <f>EO!L76+Finance!L76+HR!L76+Security!L76+IT!L76</f>
        <v>0</v>
      </c>
      <c r="M76" s="43">
        <f>EO!M76+Finance!M76+HR!M76+Security!M76+IT!M76</f>
        <v>0</v>
      </c>
      <c r="N76" s="43">
        <f>EO!N76+Finance!N76+HR!N76+Security!N76+IT!N76</f>
        <v>0</v>
      </c>
      <c r="O76" s="43">
        <f>EO!O76+Finance!O76+HR!O76+Security!O76+IT!O76</f>
        <v>0</v>
      </c>
      <c r="P76" s="43">
        <f>EO!P76+Finance!P76+HR!P76+Security!P76+IT!P76</f>
        <v>0</v>
      </c>
      <c r="Q76" s="3">
        <f t="shared" si="2"/>
        <v>0</v>
      </c>
      <c r="R76" s="39">
        <f>Q76/Summary!$Q$16</f>
        <v>0</v>
      </c>
      <c r="S76" s="39"/>
      <c r="T76" s="35"/>
      <c r="U76" s="40">
        <f t="shared" si="4"/>
        <v>0</v>
      </c>
    </row>
    <row r="77" spans="1:21" s="3" customFormat="1" ht="24.95" hidden="1" customHeight="1">
      <c r="A77" s="3" t="s">
        <v>606</v>
      </c>
      <c r="B77" s="3" t="s">
        <v>49</v>
      </c>
      <c r="D77" s="26" t="s">
        <v>607</v>
      </c>
      <c r="E77" s="43">
        <f>EO!E77+Finance!E77+HR!E77+Security!E77+IT!E77</f>
        <v>0</v>
      </c>
      <c r="F77" s="43">
        <f>EO!F77+Finance!F77+HR!F77+Security!F77+IT!F77</f>
        <v>0</v>
      </c>
      <c r="G77" s="43">
        <f>EO!G77+Finance!G77+HR!G77+Security!G77+IT!G77</f>
        <v>0</v>
      </c>
      <c r="H77" s="43">
        <f>EO!H77+Finance!H77+HR!H77+Security!H77+IT!H77</f>
        <v>0</v>
      </c>
      <c r="I77" s="43">
        <f>EO!I77+Finance!I77+HR!I77+Security!I77+IT!I77</f>
        <v>0</v>
      </c>
      <c r="J77" s="43">
        <f>EO!J77+Finance!J77+HR!J77+Security!J77+IT!J77</f>
        <v>0</v>
      </c>
      <c r="K77" s="43">
        <f>EO!K77+Finance!K77+HR!K77+Security!K77+IT!K77</f>
        <v>0</v>
      </c>
      <c r="L77" s="43">
        <f>EO!L77+Finance!L77+HR!L77+Security!L77+IT!L77</f>
        <v>0</v>
      </c>
      <c r="M77" s="43">
        <f>EO!M77+Finance!M77+HR!M77+Security!M77+IT!M77</f>
        <v>0</v>
      </c>
      <c r="N77" s="43">
        <f>EO!N77+Finance!N77+HR!N77+Security!N77+IT!N77</f>
        <v>0</v>
      </c>
      <c r="O77" s="43">
        <f>EO!O77+Finance!O77+HR!O77+Security!O77+IT!O77</f>
        <v>0</v>
      </c>
      <c r="P77" s="43">
        <f>EO!P77+Finance!P77+HR!P77+Security!P77+IT!P77</f>
        <v>0</v>
      </c>
      <c r="Q77" s="3">
        <f t="shared" si="2"/>
        <v>0</v>
      </c>
      <c r="R77" s="39">
        <f>Q77/Summary!$Q$16</f>
        <v>0</v>
      </c>
      <c r="S77" s="39"/>
      <c r="T77" s="35"/>
      <c r="U77" s="40">
        <f t="shared" si="4"/>
        <v>0</v>
      </c>
    </row>
    <row r="78" spans="1:21" s="3" customFormat="1" ht="24.95" customHeight="1">
      <c r="A78" s="270" t="s">
        <v>863</v>
      </c>
      <c r="B78" s="3" t="s">
        <v>49</v>
      </c>
      <c r="D78" s="26" t="s">
        <v>864</v>
      </c>
      <c r="E78" s="43">
        <f>EO!E78+Finance!E78+HR!E78+Security!E78+IT!E78</f>
        <v>4567.6000000000004</v>
      </c>
      <c r="F78" s="43">
        <f>EO!F78+Finance!F78+HR!F78+Security!F78+IT!F78</f>
        <v>4567.6000000000004</v>
      </c>
      <c r="G78" s="43">
        <f>EO!G78+Finance!G78+HR!G78+Security!G78+IT!G78</f>
        <v>4567.6000000000004</v>
      </c>
      <c r="H78" s="43">
        <f>EO!H78+Finance!H78+HR!H78+Security!H78+IT!H78</f>
        <v>4567.6000000000004</v>
      </c>
      <c r="I78" s="43">
        <f>EO!I78+Finance!I78+HR!I78+Security!I78+IT!I78</f>
        <v>4567.6000000000004</v>
      </c>
      <c r="J78" s="43">
        <f>EO!J78+Finance!J78+HR!J78+Security!J78+IT!J78</f>
        <v>4567.6000000000004</v>
      </c>
      <c r="K78" s="43">
        <f>EO!K78+Finance!K78+HR!K78+Security!K78+IT!K78</f>
        <v>4567.6000000000004</v>
      </c>
      <c r="L78" s="43">
        <f>EO!L78+Finance!L78+HR!L78+Security!L78+IT!L78</f>
        <v>4567.6000000000004</v>
      </c>
      <c r="M78" s="43">
        <f>EO!M78+Finance!M78+HR!M78+Security!M78+IT!M78</f>
        <v>4567.6000000000004</v>
      </c>
      <c r="N78" s="43">
        <f>EO!N78+Finance!N78+HR!N78+Security!N78+IT!N78</f>
        <v>4567.6000000000004</v>
      </c>
      <c r="O78" s="43">
        <f>EO!O78+Finance!O78+HR!O78+Security!O78+IT!O78</f>
        <v>4567.6000000000004</v>
      </c>
      <c r="P78" s="43">
        <f>EO!P78+Finance!P78+HR!P78+Security!P78+IT!P78</f>
        <v>4567.6000000000004</v>
      </c>
      <c r="Q78" s="3">
        <f t="shared" si="2"/>
        <v>54811.19999999999</v>
      </c>
      <c r="R78" s="39">
        <f>Q78/Summary!$Q$16</f>
        <v>1.6480709837166931E-3</v>
      </c>
      <c r="S78" s="39"/>
      <c r="T78" s="35"/>
      <c r="U78" s="40" t="e">
        <f t="shared" si="4"/>
        <v>#DIV/0!</v>
      </c>
    </row>
    <row r="79" spans="1:21" s="3" customFormat="1" ht="24.95" customHeight="1">
      <c r="A79" s="3" t="s">
        <v>608</v>
      </c>
      <c r="B79" s="3" t="s">
        <v>49</v>
      </c>
      <c r="D79" s="26" t="s">
        <v>609</v>
      </c>
      <c r="E79" s="43">
        <f>EO!E79+Finance!E79+HR!E79+Security!E79+IT!E79</f>
        <v>2400</v>
      </c>
      <c r="F79" s="43">
        <f>EO!F79+Finance!F79+HR!F79+Security!F79+IT!F79</f>
        <v>2400</v>
      </c>
      <c r="G79" s="43">
        <f>EO!G79+Finance!G79+HR!G79+Security!G79+IT!G79</f>
        <v>2400</v>
      </c>
      <c r="H79" s="43">
        <f>EO!H79+Finance!H79+HR!H79+Security!H79+IT!H79</f>
        <v>2400</v>
      </c>
      <c r="I79" s="43">
        <f>EO!I79+Finance!I79+HR!I79+Security!I79+IT!I79</f>
        <v>2400</v>
      </c>
      <c r="J79" s="43">
        <f>EO!J79+Finance!J79+HR!J79+Security!J79+IT!J79</f>
        <v>10400</v>
      </c>
      <c r="K79" s="43">
        <f>EO!K79+Finance!K79+HR!K79+Security!K79+IT!K79</f>
        <v>2400</v>
      </c>
      <c r="L79" s="43">
        <f>EO!L79+Finance!L79+HR!L79+Security!L79+IT!L79</f>
        <v>2400</v>
      </c>
      <c r="M79" s="43">
        <f>EO!M79+Finance!M79+HR!M79+Security!M79+IT!M79</f>
        <v>2400</v>
      </c>
      <c r="N79" s="43">
        <f>EO!N79+Finance!N79+HR!N79+Security!N79+IT!N79</f>
        <v>2400</v>
      </c>
      <c r="O79" s="43">
        <f>EO!O79+Finance!O79+HR!O79+Security!O79+IT!O79</f>
        <v>2400</v>
      </c>
      <c r="P79" s="43">
        <f>EO!P79+Finance!P79+HR!P79+Security!P79+IT!P79</f>
        <v>7400</v>
      </c>
      <c r="Q79" s="3">
        <f t="shared" si="2"/>
        <v>41800</v>
      </c>
      <c r="R79" s="39">
        <f>Q79/Summary!$Q$16</f>
        <v>1.2568483652858867E-3</v>
      </c>
      <c r="S79" s="39"/>
      <c r="T79" s="35"/>
      <c r="U79" s="40" t="e">
        <f t="shared" si="4"/>
        <v>#DIV/0!</v>
      </c>
    </row>
    <row r="80" spans="1:21" s="3" customFormat="1" ht="24.95" customHeight="1">
      <c r="A80" s="3" t="s">
        <v>865</v>
      </c>
      <c r="B80" s="3" t="s">
        <v>49</v>
      </c>
      <c r="D80" s="26" t="s">
        <v>866</v>
      </c>
      <c r="E80" s="43">
        <f>EO!E80+Finance!E80+HR!E80+Security!E80+IT!E80</f>
        <v>0</v>
      </c>
      <c r="F80" s="43">
        <f>EO!F80+Finance!F80+HR!F80+Security!F80+IT!F80</f>
        <v>0</v>
      </c>
      <c r="G80" s="43">
        <f>EO!G80+Finance!G80+HR!G80+Security!G80+IT!G80</f>
        <v>0</v>
      </c>
      <c r="H80" s="43">
        <f>EO!H80+Finance!H80+HR!H80+Security!H80+IT!H80</f>
        <v>0</v>
      </c>
      <c r="I80" s="43">
        <f>EO!I80+Finance!I80+HR!I80+Security!I80+IT!I80</f>
        <v>0</v>
      </c>
      <c r="J80" s="43">
        <f>EO!J80+Finance!J80+HR!J80+Security!J80+IT!J80</f>
        <v>0</v>
      </c>
      <c r="K80" s="43">
        <f>EO!K80+Finance!K80+HR!K80+Security!K80+IT!K80</f>
        <v>0</v>
      </c>
      <c r="L80" s="43">
        <f>EO!L80+Finance!L80+HR!L80+Security!L80+IT!L80</f>
        <v>0</v>
      </c>
      <c r="M80" s="43">
        <f>EO!M80+Finance!M80+HR!M80+Security!M80+IT!M80</f>
        <v>0</v>
      </c>
      <c r="N80" s="43">
        <f>EO!N80+Finance!N80+HR!N80+Security!N80+IT!N80</f>
        <v>0</v>
      </c>
      <c r="O80" s="43">
        <f>EO!O80+Finance!O80+HR!O80+Security!O80+IT!O80</f>
        <v>0</v>
      </c>
      <c r="P80" s="43">
        <f>EO!P80+Finance!P80+HR!P80+Security!P80+IT!P80</f>
        <v>0</v>
      </c>
      <c r="Q80" s="3">
        <f t="shared" ref="Q80:Q143" si="5">SUM(E80:P80)</f>
        <v>0</v>
      </c>
      <c r="R80" s="39">
        <f>Q80/Summary!$Q$16</f>
        <v>0</v>
      </c>
      <c r="S80" s="39"/>
      <c r="T80" s="35"/>
      <c r="U80" s="40">
        <f t="shared" si="4"/>
        <v>0</v>
      </c>
    </row>
    <row r="81" spans="1:21" s="3" customFormat="1" ht="24.95" customHeight="1">
      <c r="A81" s="3" t="s">
        <v>867</v>
      </c>
      <c r="B81" s="3" t="s">
        <v>49</v>
      </c>
      <c r="D81" s="26" t="s">
        <v>868</v>
      </c>
      <c r="E81" s="43">
        <f>EO!E81+Finance!E81+HR!E81+Security!E81+IT!E81</f>
        <v>2122.64</v>
      </c>
      <c r="F81" s="43">
        <f>EO!F81+Finance!F81+HR!F81+Security!F81+IT!F81</f>
        <v>2122.64</v>
      </c>
      <c r="G81" s="43">
        <f>EO!G81+Finance!G81+HR!G81+Security!G81+IT!G81</f>
        <v>2122.64</v>
      </c>
      <c r="H81" s="43">
        <f>EO!H81+Finance!H81+HR!H81+Security!H81+IT!H81</f>
        <v>2122.64</v>
      </c>
      <c r="I81" s="43">
        <f>EO!I81+Finance!I81+HR!I81+Security!I81+IT!I81</f>
        <v>2122.64</v>
      </c>
      <c r="J81" s="43">
        <f>EO!J81+Finance!J81+HR!J81+Security!J81+IT!J81</f>
        <v>2122.64</v>
      </c>
      <c r="K81" s="43">
        <f>EO!K81+Finance!K81+HR!K81+Security!K81+IT!K81</f>
        <v>2122.64</v>
      </c>
      <c r="L81" s="43">
        <f>EO!L81+Finance!L81+HR!L81+Security!L81+IT!L81</f>
        <v>2122.64</v>
      </c>
      <c r="M81" s="43">
        <f>EO!M81+Finance!M81+HR!M81+Security!M81+IT!M81</f>
        <v>2122.64</v>
      </c>
      <c r="N81" s="43">
        <f>EO!N81+Finance!N81+HR!N81+Security!N81+IT!N81</f>
        <v>2122.64</v>
      </c>
      <c r="O81" s="43">
        <f>EO!O81+Finance!O81+HR!O81+Security!O81+IT!O81</f>
        <v>2122.64</v>
      </c>
      <c r="P81" s="43">
        <f>EO!P81+Finance!P81+HR!P81+Security!P81+IT!P81</f>
        <v>2122.64</v>
      </c>
      <c r="Q81" s="3">
        <f t="shared" si="5"/>
        <v>25471.679999999997</v>
      </c>
      <c r="R81" s="39">
        <f>Q81/Summary!$Q$16</f>
        <v>7.6588610930825854E-4</v>
      </c>
      <c r="S81" s="39"/>
      <c r="T81" s="35"/>
      <c r="U81" s="40" t="e">
        <f t="shared" si="4"/>
        <v>#DIV/0!</v>
      </c>
    </row>
    <row r="82" spans="1:21" s="3" customFormat="1" ht="24.95" hidden="1" customHeight="1">
      <c r="A82" s="3" t="s">
        <v>869</v>
      </c>
      <c r="B82" s="3" t="s">
        <v>49</v>
      </c>
      <c r="D82" s="26" t="s">
        <v>870</v>
      </c>
      <c r="E82" s="43">
        <f>EO!E82+Finance!E82+HR!E82+Security!E82+IT!E82</f>
        <v>0</v>
      </c>
      <c r="F82" s="43">
        <f>EO!F82+Finance!F82+HR!F82+Security!F82+IT!F82</f>
        <v>0</v>
      </c>
      <c r="G82" s="43">
        <f>EO!G82+Finance!G82+HR!G82+Security!G82+IT!G82</f>
        <v>0</v>
      </c>
      <c r="H82" s="43">
        <f>EO!H82+Finance!H82+HR!H82+Security!H82+IT!H82</f>
        <v>0</v>
      </c>
      <c r="I82" s="43">
        <f>EO!I82+Finance!I82+HR!I82+Security!I82+IT!I82</f>
        <v>0</v>
      </c>
      <c r="J82" s="43">
        <f>EO!J82+Finance!J82+HR!J82+Security!J82+IT!J82</f>
        <v>0</v>
      </c>
      <c r="K82" s="43">
        <f>EO!K82+Finance!K82+HR!K82+Security!K82+IT!K82</f>
        <v>0</v>
      </c>
      <c r="L82" s="43">
        <f>EO!L82+Finance!L82+HR!L82+Security!L82+IT!L82</f>
        <v>0</v>
      </c>
      <c r="M82" s="43">
        <f>EO!M82+Finance!M82+HR!M82+Security!M82+IT!M82</f>
        <v>0</v>
      </c>
      <c r="N82" s="43">
        <f>EO!N82+Finance!N82+HR!N82+Security!N82+IT!N82</f>
        <v>0</v>
      </c>
      <c r="O82" s="43">
        <f>EO!O82+Finance!O82+HR!O82+Security!O82+IT!O82</f>
        <v>0</v>
      </c>
      <c r="P82" s="43">
        <f>EO!P82+Finance!P82+HR!P82+Security!P82+IT!P82</f>
        <v>0</v>
      </c>
      <c r="Q82" s="3">
        <f t="shared" si="5"/>
        <v>0</v>
      </c>
      <c r="R82" s="39">
        <f>Q82/Summary!$Q$16</f>
        <v>0</v>
      </c>
      <c r="S82" s="39"/>
      <c r="T82" s="35"/>
      <c r="U82" s="40">
        <f t="shared" si="4"/>
        <v>0</v>
      </c>
    </row>
    <row r="83" spans="1:21" s="3" customFormat="1" ht="24.95" customHeight="1">
      <c r="A83" s="3" t="s">
        <v>871</v>
      </c>
      <c r="B83" s="3" t="s">
        <v>49</v>
      </c>
      <c r="D83" s="26" t="s">
        <v>872</v>
      </c>
      <c r="E83" s="43">
        <f>EO!E83+Finance!E83+HR!E83+Security!E83+IT!E83</f>
        <v>0</v>
      </c>
      <c r="F83" s="43">
        <f>EO!F83+Finance!F83+HR!F83+Security!F83+IT!F83</f>
        <v>0</v>
      </c>
      <c r="G83" s="43">
        <f>EO!G83+Finance!G83+HR!G83+Security!G83+IT!G83</f>
        <v>0</v>
      </c>
      <c r="H83" s="43">
        <f>EO!H83+Finance!H83+HR!H83+Security!H83+IT!H83</f>
        <v>0</v>
      </c>
      <c r="I83" s="43">
        <f>EO!I83+Finance!I83+HR!I83+Security!I83+IT!I83</f>
        <v>0</v>
      </c>
      <c r="J83" s="43">
        <f>EO!J83+Finance!J83+HR!J83+Security!J83+IT!J83</f>
        <v>0</v>
      </c>
      <c r="K83" s="43">
        <f>EO!K83+Finance!K83+HR!K83+Security!K83+IT!K83</f>
        <v>0</v>
      </c>
      <c r="L83" s="43">
        <f>EO!L83+Finance!L83+HR!L83+Security!L83+IT!L83</f>
        <v>0</v>
      </c>
      <c r="M83" s="43">
        <f>EO!M83+Finance!M83+HR!M83+Security!M83+IT!M83</f>
        <v>0</v>
      </c>
      <c r="N83" s="43">
        <f>EO!N83+Finance!N83+HR!N83+Security!N83+IT!N83</f>
        <v>0</v>
      </c>
      <c r="O83" s="43">
        <f>EO!O83+Finance!O83+HR!O83+Security!O83+IT!O83</f>
        <v>0</v>
      </c>
      <c r="P83" s="43">
        <f>EO!P83+Finance!P83+HR!P83+Security!P83+IT!P83</f>
        <v>0</v>
      </c>
      <c r="Q83" s="3">
        <f t="shared" si="5"/>
        <v>0</v>
      </c>
      <c r="R83" s="39">
        <f>Q83/Summary!$Q$16</f>
        <v>0</v>
      </c>
      <c r="S83" s="39"/>
      <c r="T83" s="35"/>
      <c r="U83" s="40">
        <f t="shared" si="4"/>
        <v>0</v>
      </c>
    </row>
    <row r="84" spans="1:21" s="3" customFormat="1" ht="24.95" hidden="1" customHeight="1">
      <c r="A84" s="3" t="s">
        <v>873</v>
      </c>
      <c r="B84" s="3" t="s">
        <v>49</v>
      </c>
      <c r="D84" s="26" t="s">
        <v>874</v>
      </c>
      <c r="E84" s="43">
        <f>EO!E84+Finance!E84+HR!E84+Security!E84+IT!E84</f>
        <v>0</v>
      </c>
      <c r="F84" s="43">
        <f>EO!F84+Finance!F84+HR!F84+Security!F84+IT!F84</f>
        <v>0</v>
      </c>
      <c r="G84" s="43">
        <f>EO!G84+Finance!G84+HR!G84+Security!G84+IT!G84</f>
        <v>0</v>
      </c>
      <c r="H84" s="43">
        <f>EO!H84+Finance!H84+HR!H84+Security!H84+IT!H84</f>
        <v>0</v>
      </c>
      <c r="I84" s="43">
        <f>EO!I84+Finance!I84+HR!I84+Security!I84+IT!I84</f>
        <v>0</v>
      </c>
      <c r="J84" s="43">
        <f>EO!J84+Finance!J84+HR!J84+Security!J84+IT!J84</f>
        <v>0</v>
      </c>
      <c r="K84" s="43">
        <f>EO!K84+Finance!K84+HR!K84+Security!K84+IT!K84</f>
        <v>0</v>
      </c>
      <c r="L84" s="43">
        <f>EO!L84+Finance!L84+HR!L84+Security!L84+IT!L84</f>
        <v>0</v>
      </c>
      <c r="M84" s="43">
        <f>EO!M84+Finance!M84+HR!M84+Security!M84+IT!M84</f>
        <v>0</v>
      </c>
      <c r="N84" s="43">
        <f>EO!N84+Finance!N84+HR!N84+Security!N84+IT!N84</f>
        <v>0</v>
      </c>
      <c r="O84" s="43">
        <f>EO!O84+Finance!O84+HR!O84+Security!O84+IT!O84</f>
        <v>0</v>
      </c>
      <c r="P84" s="43">
        <f>EO!P84+Finance!P84+HR!P84+Security!P84+IT!P84</f>
        <v>0</v>
      </c>
      <c r="Q84" s="3">
        <f t="shared" si="5"/>
        <v>0</v>
      </c>
      <c r="R84" s="39">
        <f>Q84/Summary!$Q$16</f>
        <v>0</v>
      </c>
      <c r="S84" s="39"/>
      <c r="T84" s="35"/>
      <c r="U84" s="40">
        <f t="shared" si="4"/>
        <v>0</v>
      </c>
    </row>
    <row r="85" spans="1:21" s="3" customFormat="1" ht="24.95" hidden="1" customHeight="1">
      <c r="A85" s="3" t="s">
        <v>875</v>
      </c>
      <c r="B85" s="3" t="s">
        <v>49</v>
      </c>
      <c r="D85" s="26" t="s">
        <v>876</v>
      </c>
      <c r="E85" s="43">
        <f>EO!E85+Finance!E85+HR!E85+Security!E85+IT!E85</f>
        <v>0</v>
      </c>
      <c r="F85" s="43">
        <f>EO!F85+Finance!F85+HR!F85+Security!F85+IT!F85</f>
        <v>0</v>
      </c>
      <c r="G85" s="43">
        <f>EO!G85+Finance!G85+HR!G85+Security!G85+IT!G85</f>
        <v>0</v>
      </c>
      <c r="H85" s="43">
        <f>EO!H85+Finance!H85+HR!H85+Security!H85+IT!H85</f>
        <v>0</v>
      </c>
      <c r="I85" s="43">
        <f>EO!I85+Finance!I85+HR!I85+Security!I85+IT!I85</f>
        <v>0</v>
      </c>
      <c r="J85" s="43">
        <f>EO!J85+Finance!J85+HR!J85+Security!J85+IT!J85</f>
        <v>0</v>
      </c>
      <c r="K85" s="43">
        <f>EO!K85+Finance!K85+HR!K85+Security!K85+IT!K85</f>
        <v>0</v>
      </c>
      <c r="L85" s="43">
        <f>EO!L85+Finance!L85+HR!L85+Security!L85+IT!L85</f>
        <v>0</v>
      </c>
      <c r="M85" s="43">
        <f>EO!M85+Finance!M85+HR!M85+Security!M85+IT!M85</f>
        <v>0</v>
      </c>
      <c r="N85" s="43">
        <f>EO!N85+Finance!N85+HR!N85+Security!N85+IT!N85</f>
        <v>0</v>
      </c>
      <c r="O85" s="43">
        <f>EO!O85+Finance!O85+HR!O85+Security!O85+IT!O85</f>
        <v>0</v>
      </c>
      <c r="P85" s="43">
        <f>EO!P85+Finance!P85+HR!P85+Security!P85+IT!P85</f>
        <v>0</v>
      </c>
      <c r="Q85" s="3">
        <f t="shared" si="5"/>
        <v>0</v>
      </c>
      <c r="R85" s="39">
        <f>Q85/Summary!$Q$16</f>
        <v>0</v>
      </c>
      <c r="S85" s="39"/>
      <c r="T85" s="35"/>
      <c r="U85" s="40">
        <f t="shared" si="4"/>
        <v>0</v>
      </c>
    </row>
    <row r="86" spans="1:21" s="3" customFormat="1" ht="24.95" hidden="1" customHeight="1">
      <c r="A86" s="3" t="s">
        <v>877</v>
      </c>
      <c r="B86" s="3" t="s">
        <v>49</v>
      </c>
      <c r="D86" s="26" t="s">
        <v>878</v>
      </c>
      <c r="E86" s="43">
        <f>EO!E86+Finance!E86+HR!E86+Security!E86+IT!E86</f>
        <v>0</v>
      </c>
      <c r="F86" s="43">
        <f>EO!F86+Finance!F86+HR!F86+Security!F86+IT!F86</f>
        <v>0</v>
      </c>
      <c r="G86" s="43">
        <f>EO!G86+Finance!G86+HR!G86+Security!G86+IT!G86</f>
        <v>0</v>
      </c>
      <c r="H86" s="43">
        <f>EO!H86+Finance!H86+HR!H86+Security!H86+IT!H86</f>
        <v>0</v>
      </c>
      <c r="I86" s="43">
        <f>EO!I86+Finance!I86+HR!I86+Security!I86+IT!I86</f>
        <v>0</v>
      </c>
      <c r="J86" s="43">
        <f>EO!J86+Finance!J86+HR!J86+Security!J86+IT!J86</f>
        <v>0</v>
      </c>
      <c r="K86" s="43">
        <f>EO!K86+Finance!K86+HR!K86+Security!K86+IT!K86</f>
        <v>0</v>
      </c>
      <c r="L86" s="43">
        <f>EO!L86+Finance!L86+HR!L86+Security!L86+IT!L86</f>
        <v>0</v>
      </c>
      <c r="M86" s="43">
        <f>EO!M86+Finance!M86+HR!M86+Security!M86+IT!M86</f>
        <v>0</v>
      </c>
      <c r="N86" s="43">
        <f>EO!N86+Finance!N86+HR!N86+Security!N86+IT!N86</f>
        <v>0</v>
      </c>
      <c r="O86" s="43">
        <f>EO!O86+Finance!O86+HR!O86+Security!O86+IT!O86</f>
        <v>0</v>
      </c>
      <c r="P86" s="43">
        <f>EO!P86+Finance!P86+HR!P86+Security!P86+IT!P86</f>
        <v>0</v>
      </c>
      <c r="Q86" s="3">
        <f t="shared" si="5"/>
        <v>0</v>
      </c>
      <c r="R86" s="39">
        <f>Q86/Summary!$Q$16</f>
        <v>0</v>
      </c>
      <c r="S86" s="39"/>
      <c r="T86" s="35"/>
      <c r="U86" s="40"/>
    </row>
    <row r="87" spans="1:21" s="3" customFormat="1" ht="24.95" customHeight="1">
      <c r="A87" s="3" t="s">
        <v>879</v>
      </c>
      <c r="B87" s="3" t="s">
        <v>49</v>
      </c>
      <c r="D87" s="26" t="s">
        <v>880</v>
      </c>
      <c r="E87" s="43">
        <f>EO!E87+Finance!E87+HR!E87+Security!E87+IT!E87</f>
        <v>4067.72</v>
      </c>
      <c r="F87" s="43">
        <f>EO!F87+Finance!F87+HR!F87+Security!F87+IT!F87</f>
        <v>3269.42</v>
      </c>
      <c r="G87" s="43">
        <f>EO!G87+Finance!G87+HR!G87+Security!G87+IT!G87</f>
        <v>4213.7299999999996</v>
      </c>
      <c r="H87" s="43">
        <f>EO!H87+Finance!H87+HR!H87+Security!H87+IT!H87</f>
        <v>4987.8500000000004</v>
      </c>
      <c r="I87" s="43">
        <f>EO!I87+Finance!I87+HR!I87+Security!I87+IT!I87</f>
        <v>5573.45</v>
      </c>
      <c r="J87" s="43">
        <f>EO!J87+Finance!J87+HR!J87+Security!J87+IT!J87</f>
        <v>4713.88</v>
      </c>
      <c r="K87" s="43">
        <f>EO!K87+Finance!K87+HR!K87+Security!K87+IT!K87</f>
        <v>5352.93</v>
      </c>
      <c r="L87" s="43">
        <f>EO!L87+Finance!L87+HR!L87+Security!L87+IT!L87</f>
        <v>5484.77</v>
      </c>
      <c r="M87" s="43">
        <f>EO!M87+Finance!M87+HR!M87+Security!M87+IT!M87</f>
        <v>5591.2</v>
      </c>
      <c r="N87" s="43">
        <f>EO!N87+Finance!N87+HR!N87+Security!N87+IT!N87</f>
        <v>6242.61</v>
      </c>
      <c r="O87" s="43">
        <f>EO!O87+Finance!O87+HR!O87+Security!O87+IT!O87</f>
        <v>5305.65</v>
      </c>
      <c r="P87" s="43">
        <f>EO!P87+Finance!P87+HR!P87+Security!P87+IT!P87</f>
        <v>5060.8100000000004</v>
      </c>
      <c r="Q87" s="3">
        <f t="shared" si="5"/>
        <v>59864.02</v>
      </c>
      <c r="R87" s="39">
        <f>Q87/Summary!$Q$16</f>
        <v>1.799999896565589E-3</v>
      </c>
      <c r="S87" s="39"/>
      <c r="T87" s="35"/>
      <c r="U87" s="40" t="e">
        <f>-IF(Q87-T87=0,0,(Q87-T87)/T87)</f>
        <v>#DIV/0!</v>
      </c>
    </row>
    <row r="88" spans="1:21" s="3" customFormat="1" ht="24.95" hidden="1" customHeight="1">
      <c r="A88" s="3" t="s">
        <v>881</v>
      </c>
      <c r="B88" s="3" t="s">
        <v>49</v>
      </c>
      <c r="D88" s="26" t="s">
        <v>882</v>
      </c>
      <c r="E88" s="43">
        <f>EO!E88+Finance!E88+HR!E88+Security!E88+IT!E88</f>
        <v>0</v>
      </c>
      <c r="F88" s="43">
        <f>EO!F88+Finance!F88+HR!F88+Security!F88+IT!F88</f>
        <v>0</v>
      </c>
      <c r="G88" s="43">
        <f>EO!G88+Finance!G88+HR!G88+Security!G88+IT!G88</f>
        <v>0</v>
      </c>
      <c r="H88" s="43">
        <f>EO!H88+Finance!H88+HR!H88+Security!H88+IT!H88</f>
        <v>0</v>
      </c>
      <c r="I88" s="43">
        <f>EO!I88+Finance!I88+HR!I88+Security!I88+IT!I88</f>
        <v>0</v>
      </c>
      <c r="J88" s="43">
        <f>EO!J88+Finance!J88+HR!J88+Security!J88+IT!J88</f>
        <v>0</v>
      </c>
      <c r="K88" s="43">
        <f>EO!K88+Finance!K88+HR!K88+Security!K88+IT!K88</f>
        <v>0</v>
      </c>
      <c r="L88" s="43">
        <f>EO!L88+Finance!L88+HR!L88+Security!L88+IT!L88</f>
        <v>0</v>
      </c>
      <c r="M88" s="43">
        <f>EO!M88+Finance!M88+HR!M88+Security!M88+IT!M88</f>
        <v>0</v>
      </c>
      <c r="N88" s="43">
        <f>EO!N88+Finance!N88+HR!N88+Security!N88+IT!N88</f>
        <v>0</v>
      </c>
      <c r="O88" s="43">
        <f>EO!O88+Finance!O88+HR!O88+Security!O88+IT!O88</f>
        <v>0</v>
      </c>
      <c r="P88" s="43">
        <f>EO!P88+Finance!P88+HR!P88+Security!P88+IT!P88</f>
        <v>0</v>
      </c>
      <c r="Q88" s="3">
        <f t="shared" si="5"/>
        <v>0</v>
      </c>
      <c r="R88" s="39">
        <f>Q88/Summary!$Q$16</f>
        <v>0</v>
      </c>
      <c r="S88" s="39"/>
      <c r="T88" s="35"/>
      <c r="U88" s="40">
        <f>-IF(Q88-T88=0,0,(Q88-T88)/T88)</f>
        <v>0</v>
      </c>
    </row>
    <row r="89" spans="1:21" s="3" customFormat="1" ht="24.95" hidden="1" customHeight="1">
      <c r="A89" s="3" t="s">
        <v>268</v>
      </c>
      <c r="B89" s="3" t="s">
        <v>49</v>
      </c>
      <c r="D89" s="26" t="s">
        <v>610</v>
      </c>
      <c r="E89" s="43">
        <f>EO!E89+Finance!E89+HR!E89+Security!E89+IT!E89</f>
        <v>0</v>
      </c>
      <c r="F89" s="43">
        <f>EO!F89+Finance!F89+HR!F89+Security!F89+IT!F89</f>
        <v>0</v>
      </c>
      <c r="G89" s="43">
        <f>EO!G89+Finance!G89+HR!G89+Security!G89+IT!G89</f>
        <v>0</v>
      </c>
      <c r="H89" s="43">
        <f>EO!H89+Finance!H89+HR!H89+Security!H89+IT!H89</f>
        <v>0</v>
      </c>
      <c r="I89" s="43">
        <f>EO!I89+Finance!I89+HR!I89+Security!I89+IT!I89</f>
        <v>0</v>
      </c>
      <c r="J89" s="43">
        <f>EO!J89+Finance!J89+HR!J89+Security!J89+IT!J89</f>
        <v>0</v>
      </c>
      <c r="K89" s="43">
        <f>EO!K89+Finance!K89+HR!K89+Security!K89+IT!K89</f>
        <v>0</v>
      </c>
      <c r="L89" s="43">
        <f>EO!L89+Finance!L89+HR!L89+Security!L89+IT!L89</f>
        <v>0</v>
      </c>
      <c r="M89" s="43">
        <f>EO!M89+Finance!M89+HR!M89+Security!M89+IT!M89</f>
        <v>0</v>
      </c>
      <c r="N89" s="43">
        <f>EO!N89+Finance!N89+HR!N89+Security!N89+IT!N89</f>
        <v>0</v>
      </c>
      <c r="O89" s="43">
        <f>EO!O89+Finance!O89+HR!O89+Security!O89+IT!O89</f>
        <v>0</v>
      </c>
      <c r="P89" s="43">
        <f>EO!P89+Finance!P89+HR!P89+Security!P89+IT!P89</f>
        <v>0</v>
      </c>
      <c r="Q89" s="3">
        <f t="shared" si="5"/>
        <v>0</v>
      </c>
      <c r="R89" s="39">
        <f>Q89/Summary!$Q$16</f>
        <v>0</v>
      </c>
      <c r="S89" s="39"/>
      <c r="T89" s="35"/>
      <c r="U89" s="40">
        <f>-IF(Q89-T89=0,0,(Q89-T89)/T89)</f>
        <v>0</v>
      </c>
    </row>
    <row r="90" spans="1:21" s="3" customFormat="1" ht="24.95" customHeight="1">
      <c r="A90" s="3" t="s">
        <v>1104</v>
      </c>
      <c r="B90" s="3" t="s">
        <v>49</v>
      </c>
      <c r="D90" s="26" t="s">
        <v>884</v>
      </c>
      <c r="E90" s="43">
        <f>EO!E90+Finance!E90+HR!E90+Security!E90+IT!E90</f>
        <v>3400</v>
      </c>
      <c r="F90" s="43">
        <f>EO!F90+Finance!F90+HR!F90+Security!F90+IT!F90</f>
        <v>3400</v>
      </c>
      <c r="G90" s="43">
        <f>EO!G90+Finance!G90+HR!G90+Security!G90+IT!G90</f>
        <v>3400</v>
      </c>
      <c r="H90" s="43">
        <f>EO!H90+Finance!H90+HR!H90+Security!H90+IT!H90</f>
        <v>3400</v>
      </c>
      <c r="I90" s="43">
        <f>EO!I90+Finance!I90+HR!I90+Security!I90+IT!I90</f>
        <v>3400</v>
      </c>
      <c r="J90" s="43">
        <f>EO!J90+Finance!J90+HR!J90+Security!J90+IT!J90</f>
        <v>3400</v>
      </c>
      <c r="K90" s="43">
        <f>EO!K90+Finance!K90+HR!K90+Security!K90+IT!K90</f>
        <v>3400</v>
      </c>
      <c r="L90" s="43">
        <f>EO!L90+Finance!L90+HR!L90+Security!L90+IT!L90</f>
        <v>3400</v>
      </c>
      <c r="M90" s="43">
        <f>EO!M90+Finance!M90+HR!M90+Security!M90+IT!M90</f>
        <v>3400</v>
      </c>
      <c r="N90" s="43">
        <f>EO!N90+Finance!N90+HR!N90+Security!N90+IT!N90</f>
        <v>3400</v>
      </c>
      <c r="O90" s="43">
        <f>EO!O90+Finance!O90+HR!O90+Security!O90+IT!O90</f>
        <v>3400</v>
      </c>
      <c r="P90" s="43">
        <f>EO!P90+Finance!P90+HR!P90+Security!P90+IT!P90</f>
        <v>3400</v>
      </c>
      <c r="Q90" s="3">
        <f t="shared" si="5"/>
        <v>40800</v>
      </c>
      <c r="R90" s="39">
        <f>Q90/Summary!$Q$16</f>
        <v>1.2267802225756979E-3</v>
      </c>
      <c r="S90" s="39"/>
      <c r="T90" s="35"/>
      <c r="U90" s="40" t="e">
        <f>-IF(Q90-T90=0,0,(Q90-T90)/T90)</f>
        <v>#DIV/0!</v>
      </c>
    </row>
    <row r="91" spans="1:21" s="3" customFormat="1" ht="24.95" hidden="1" customHeight="1">
      <c r="A91" s="3" t="s">
        <v>270</v>
      </c>
      <c r="B91" s="3" t="s">
        <v>49</v>
      </c>
      <c r="D91" s="26" t="s">
        <v>271</v>
      </c>
      <c r="E91" s="43">
        <f>EO!E91+Finance!E91+HR!E91+Security!E91+IT!E91</f>
        <v>0</v>
      </c>
      <c r="F91" s="43">
        <f>EO!F91+Finance!F91+HR!F91+Security!F91+IT!F91</f>
        <v>0</v>
      </c>
      <c r="G91" s="43">
        <f>EO!G91+Finance!G91+HR!G91+Security!G91+IT!G91</f>
        <v>0</v>
      </c>
      <c r="H91" s="43">
        <f>EO!H91+Finance!H91+HR!H91+Security!H91+IT!H91</f>
        <v>0</v>
      </c>
      <c r="I91" s="43">
        <f>EO!I91+Finance!I91+HR!I91+Security!I91+IT!I91</f>
        <v>0</v>
      </c>
      <c r="J91" s="43">
        <f>EO!J91+Finance!J91+HR!J91+Security!J91+IT!J91</f>
        <v>0</v>
      </c>
      <c r="K91" s="43">
        <f>EO!K91+Finance!K91+HR!K91+Security!K91+IT!K91</f>
        <v>0</v>
      </c>
      <c r="L91" s="43">
        <f>EO!L91+Finance!L91+HR!L91+Security!L91+IT!L91</f>
        <v>0</v>
      </c>
      <c r="M91" s="43">
        <f>EO!M91+Finance!M91+HR!M91+Security!M91+IT!M91</f>
        <v>0</v>
      </c>
      <c r="N91" s="43">
        <f>EO!N91+Finance!N91+HR!N91+Security!N91+IT!N91</f>
        <v>0</v>
      </c>
      <c r="O91" s="43">
        <f>EO!O91+Finance!O91+HR!O91+Security!O91+IT!O91</f>
        <v>0</v>
      </c>
      <c r="P91" s="43">
        <f>EO!P91+Finance!P91+HR!P91+Security!P91+IT!P91</f>
        <v>0</v>
      </c>
      <c r="Q91" s="3">
        <f t="shared" si="5"/>
        <v>0</v>
      </c>
      <c r="R91" s="39">
        <f>Q91/Summary!$Q$16</f>
        <v>0</v>
      </c>
      <c r="S91" s="39"/>
      <c r="T91" s="35"/>
      <c r="U91" s="40">
        <f>-IF(Q91-T91=0,0,(Q91-T91)/T91)</f>
        <v>0</v>
      </c>
    </row>
    <row r="92" spans="1:21" s="3" customFormat="1" ht="24.95" hidden="1" customHeight="1">
      <c r="A92" s="3" t="s">
        <v>885</v>
      </c>
      <c r="B92" s="3" t="s">
        <v>49</v>
      </c>
      <c r="D92" s="26" t="s">
        <v>886</v>
      </c>
      <c r="E92" s="43">
        <f>EO!E92+Finance!E92+HR!E92+Security!E92+IT!E92</f>
        <v>0</v>
      </c>
      <c r="F92" s="43">
        <f>EO!F92+Finance!F92+HR!F92+Security!F92+IT!F92</f>
        <v>0</v>
      </c>
      <c r="G92" s="43">
        <f>EO!G92+Finance!G92+HR!G92+Security!G92+IT!G92</f>
        <v>0</v>
      </c>
      <c r="H92" s="43">
        <f>EO!H92+Finance!H92+HR!H92+Security!H92+IT!H92</f>
        <v>0</v>
      </c>
      <c r="I92" s="43">
        <f>EO!I92+Finance!I92+HR!I92+Security!I92+IT!I92</f>
        <v>0</v>
      </c>
      <c r="J92" s="43">
        <f>EO!J92+Finance!J92+HR!J92+Security!J92+IT!J92</f>
        <v>0</v>
      </c>
      <c r="K92" s="43">
        <f>EO!K92+Finance!K92+HR!K92+Security!K92+IT!K92</f>
        <v>0</v>
      </c>
      <c r="L92" s="43">
        <f>EO!L92+Finance!L92+HR!L92+Security!L92+IT!L92</f>
        <v>0</v>
      </c>
      <c r="M92" s="43">
        <f>EO!M92+Finance!M92+HR!M92+Security!M92+IT!M92</f>
        <v>0</v>
      </c>
      <c r="N92" s="43">
        <f>EO!N92+Finance!N92+HR!N92+Security!N92+IT!N92</f>
        <v>0</v>
      </c>
      <c r="O92" s="43">
        <f>EO!O92+Finance!O92+HR!O92+Security!O92+IT!O92</f>
        <v>0</v>
      </c>
      <c r="P92" s="43">
        <f>EO!P92+Finance!P92+HR!P92+Security!P92+IT!P92</f>
        <v>0</v>
      </c>
      <c r="Q92" s="3">
        <f t="shared" si="5"/>
        <v>0</v>
      </c>
      <c r="R92" s="39">
        <f>Q92/Summary!$Q$16</f>
        <v>0</v>
      </c>
      <c r="S92" s="39"/>
      <c r="T92" s="35"/>
      <c r="U92" s="40"/>
    </row>
    <row r="93" spans="1:21" s="3" customFormat="1" ht="24.95" customHeight="1">
      <c r="A93" s="3" t="s">
        <v>887</v>
      </c>
      <c r="B93" s="3" t="s">
        <v>49</v>
      </c>
      <c r="D93" s="26" t="s">
        <v>888</v>
      </c>
      <c r="E93" s="43">
        <f>EO!E93+Finance!E93+HR!E93+Security!E93+IT!E93</f>
        <v>0</v>
      </c>
      <c r="F93" s="43">
        <f>EO!F93+Finance!F93+HR!F93+Security!F93+IT!F93</f>
        <v>0</v>
      </c>
      <c r="G93" s="43">
        <f>EO!G93+Finance!G93+HR!G93+Security!G93+IT!G93</f>
        <v>0</v>
      </c>
      <c r="H93" s="43">
        <f>EO!H93+Finance!H93+HR!H93+Security!H93+IT!H93</f>
        <v>0</v>
      </c>
      <c r="I93" s="43">
        <f>EO!I93+Finance!I93+HR!I93+Security!I93+IT!I93</f>
        <v>0</v>
      </c>
      <c r="J93" s="43">
        <f>EO!J93+Finance!J93+HR!J93+Security!J93+IT!J93</f>
        <v>0</v>
      </c>
      <c r="K93" s="43">
        <f>EO!K93+Finance!K93+HR!K93+Security!K93+IT!K93</f>
        <v>0</v>
      </c>
      <c r="L93" s="43">
        <f>EO!L93+Finance!L93+HR!L93+Security!L93+IT!L93</f>
        <v>0</v>
      </c>
      <c r="M93" s="43">
        <f>EO!M93+Finance!M93+HR!M93+Security!M93+IT!M93</f>
        <v>0</v>
      </c>
      <c r="N93" s="43">
        <f>EO!N93+Finance!N93+HR!N93+Security!N93+IT!N93</f>
        <v>0</v>
      </c>
      <c r="O93" s="43">
        <f>EO!O93+Finance!O93+HR!O93+Security!O93+IT!O93</f>
        <v>0</v>
      </c>
      <c r="P93" s="43">
        <f>EO!P93+Finance!P93+HR!P93+Security!P93+IT!P93</f>
        <v>0</v>
      </c>
      <c r="Q93" s="3">
        <f t="shared" si="5"/>
        <v>0</v>
      </c>
      <c r="R93" s="39">
        <f>Q93/Summary!$Q$16</f>
        <v>0</v>
      </c>
      <c r="S93" s="39"/>
      <c r="T93" s="35"/>
      <c r="U93" s="40">
        <f t="shared" ref="U93:U124" si="6">-IF(Q93-T93=0,0,(Q93-T93)/T93)</f>
        <v>0</v>
      </c>
    </row>
    <row r="94" spans="1:21" s="3" customFormat="1" ht="24.95" customHeight="1">
      <c r="A94" s="3" t="s">
        <v>889</v>
      </c>
      <c r="B94" s="3" t="s">
        <v>49</v>
      </c>
      <c r="D94" s="26" t="s">
        <v>890</v>
      </c>
      <c r="E94" s="43">
        <f>EO!E94+Finance!E94+HR!E94+Security!E94+IT!E94</f>
        <v>0</v>
      </c>
      <c r="F94" s="43">
        <f>EO!F94+Finance!F94+HR!F94+Security!F94+IT!F94</f>
        <v>750</v>
      </c>
      <c r="G94" s="43">
        <f>EO!G94+Finance!G94+HR!G94+Security!G94+IT!G94</f>
        <v>750</v>
      </c>
      <c r="H94" s="43">
        <f>EO!H94+Finance!H94+HR!H94+Security!H94+IT!H94</f>
        <v>380</v>
      </c>
      <c r="I94" s="43">
        <f>EO!I94+Finance!I94+HR!I94+Security!I94+IT!I94</f>
        <v>3380</v>
      </c>
      <c r="J94" s="43">
        <f>EO!J94+Finance!J94+HR!J94+Security!J94+IT!J94</f>
        <v>20000</v>
      </c>
      <c r="K94" s="43">
        <f>EO!K94+Finance!K94+HR!K94+Security!K94+IT!K94</f>
        <v>10000</v>
      </c>
      <c r="L94" s="43">
        <f>EO!L94+Finance!L94+HR!L94+Security!L94+IT!L94</f>
        <v>16000</v>
      </c>
      <c r="M94" s="43">
        <f>EO!M94+Finance!M94+HR!M94+Security!M94+IT!M94</f>
        <v>15000</v>
      </c>
      <c r="N94" s="43">
        <f>EO!N94+Finance!N94+HR!N94+Security!N94+IT!N94</f>
        <v>20000</v>
      </c>
      <c r="O94" s="43">
        <f>EO!O94+Finance!O94+HR!O94+Security!O94+IT!O94</f>
        <v>13000</v>
      </c>
      <c r="P94" s="43">
        <f>EO!P94+Finance!P94+HR!P94+Security!P94+IT!P94</f>
        <v>0</v>
      </c>
      <c r="Q94" s="3">
        <f t="shared" si="5"/>
        <v>99260</v>
      </c>
      <c r="R94" s="39">
        <f>Q94/Summary!$Q$16</f>
        <v>2.9845638454133279E-3</v>
      </c>
      <c r="S94" s="39"/>
      <c r="T94" s="35"/>
      <c r="U94" s="40" t="e">
        <f t="shared" si="6"/>
        <v>#DIV/0!</v>
      </c>
    </row>
    <row r="95" spans="1:21" s="3" customFormat="1" ht="24.95" customHeight="1">
      <c r="A95" s="3" t="s">
        <v>891</v>
      </c>
      <c r="B95" s="3" t="s">
        <v>49</v>
      </c>
      <c r="D95" s="26" t="s">
        <v>892</v>
      </c>
      <c r="E95" s="43">
        <f>EO!E95+Finance!E95+HR!E95+Security!E95+IT!E95</f>
        <v>0</v>
      </c>
      <c r="F95" s="43">
        <f>EO!F95+Finance!F95+HR!F95+Security!F95+IT!F95</f>
        <v>0</v>
      </c>
      <c r="G95" s="43">
        <f>EO!G95+Finance!G95+HR!G95+Security!G95+IT!G95</f>
        <v>0</v>
      </c>
      <c r="H95" s="43">
        <f>EO!H95+Finance!H95+HR!H95+Security!H95+IT!H95</f>
        <v>0</v>
      </c>
      <c r="I95" s="43">
        <f>EO!I95+Finance!I95+HR!I95+Security!I95+IT!I95</f>
        <v>0</v>
      </c>
      <c r="J95" s="43">
        <f>EO!J95+Finance!J95+HR!J95+Security!J95+IT!J95</f>
        <v>0</v>
      </c>
      <c r="K95" s="43">
        <f>EO!K95+Finance!K95+HR!K95+Security!K95+IT!K95</f>
        <v>0</v>
      </c>
      <c r="L95" s="43">
        <f>EO!L95+Finance!L95+HR!L95+Security!L95+IT!L95</f>
        <v>0</v>
      </c>
      <c r="M95" s="43">
        <f>EO!M95+Finance!M95+HR!M95+Security!M95+IT!M95</f>
        <v>0</v>
      </c>
      <c r="N95" s="43">
        <f>EO!N95+Finance!N95+HR!N95+Security!N95+IT!N95</f>
        <v>0</v>
      </c>
      <c r="O95" s="43">
        <f>EO!O95+Finance!O95+HR!O95+Security!O95+IT!O95</f>
        <v>0</v>
      </c>
      <c r="P95" s="43">
        <f>EO!P95+Finance!P95+HR!P95+Security!P95+IT!P95</f>
        <v>0</v>
      </c>
      <c r="Q95" s="3">
        <f t="shared" si="5"/>
        <v>0</v>
      </c>
      <c r="R95" s="39">
        <f>Q95/Summary!$Q$16</f>
        <v>0</v>
      </c>
      <c r="S95" s="39"/>
      <c r="T95" s="35"/>
      <c r="U95" s="40">
        <f t="shared" si="6"/>
        <v>0</v>
      </c>
    </row>
    <row r="96" spans="1:21" s="3" customFormat="1" ht="24.95" customHeight="1">
      <c r="A96" s="3" t="s">
        <v>893</v>
      </c>
      <c r="B96" s="3" t="s">
        <v>49</v>
      </c>
      <c r="D96" s="26" t="s">
        <v>894</v>
      </c>
      <c r="E96" s="43">
        <f>EO!E96+Finance!E96+HR!E96+Security!E96+IT!E96</f>
        <v>4750</v>
      </c>
      <c r="F96" s="43">
        <f>EO!F96+Finance!F96+HR!F96+Security!F96+IT!F96</f>
        <v>3750</v>
      </c>
      <c r="G96" s="43">
        <f>EO!G96+Finance!G96+HR!G96+Security!G96+IT!G96</f>
        <v>3750</v>
      </c>
      <c r="H96" s="43">
        <f>EO!H96+Finance!H96+HR!H96+Security!H96+IT!H96</f>
        <v>3750</v>
      </c>
      <c r="I96" s="43">
        <f>EO!I96+Finance!I96+HR!I96+Security!I96+IT!I96</f>
        <v>3750</v>
      </c>
      <c r="J96" s="43">
        <f>EO!J96+Finance!J96+HR!J96+Security!J96+IT!J96</f>
        <v>10750</v>
      </c>
      <c r="K96" s="43">
        <f>EO!K96+Finance!K96+HR!K96+Security!K96+IT!K96</f>
        <v>8750</v>
      </c>
      <c r="L96" s="43">
        <f>EO!L96+Finance!L96+HR!L96+Security!L96+IT!L96</f>
        <v>7750</v>
      </c>
      <c r="M96" s="43">
        <f>EO!M96+Finance!M96+HR!M96+Security!M96+IT!M96</f>
        <v>6750</v>
      </c>
      <c r="N96" s="43">
        <f>EO!N96+Finance!N96+HR!N96+Security!N96+IT!N96</f>
        <v>3750</v>
      </c>
      <c r="O96" s="43">
        <f>EO!O96+Finance!O96+HR!O96+Security!O96+IT!O96</f>
        <v>3750</v>
      </c>
      <c r="P96" s="43">
        <f>EO!P96+Finance!P96+HR!P96+Security!P96+IT!P96</f>
        <v>3750</v>
      </c>
      <c r="Q96" s="3">
        <f t="shared" si="5"/>
        <v>65000</v>
      </c>
      <c r="R96" s="39">
        <f>Q96/Summary!$Q$16</f>
        <v>1.9544292761622638E-3</v>
      </c>
      <c r="S96" s="39"/>
      <c r="T96" s="35"/>
      <c r="U96" s="40" t="e">
        <f t="shared" si="6"/>
        <v>#DIV/0!</v>
      </c>
    </row>
    <row r="97" spans="1:21" s="3" customFormat="1" ht="24.95" hidden="1" customHeight="1">
      <c r="A97" s="3" t="s">
        <v>895</v>
      </c>
      <c r="B97" s="3" t="s">
        <v>49</v>
      </c>
      <c r="D97" s="26" t="s">
        <v>896</v>
      </c>
      <c r="E97" s="43">
        <f>EO!E97+Finance!E97+HR!E97+Security!E97+IT!E97</f>
        <v>0</v>
      </c>
      <c r="F97" s="43">
        <f>EO!F97+Finance!F97+HR!F97+Security!F97+IT!F97</f>
        <v>0</v>
      </c>
      <c r="G97" s="43">
        <f>EO!G97+Finance!G97+HR!G97+Security!G97+IT!G97</f>
        <v>0</v>
      </c>
      <c r="H97" s="43">
        <f>EO!H97+Finance!H97+HR!H97+Security!H97+IT!H97</f>
        <v>0</v>
      </c>
      <c r="I97" s="43">
        <f>EO!I97+Finance!I97+HR!I97+Security!I97+IT!I97</f>
        <v>0</v>
      </c>
      <c r="J97" s="43">
        <f>EO!J97+Finance!J97+HR!J97+Security!J97+IT!J97</f>
        <v>0</v>
      </c>
      <c r="K97" s="43">
        <f>EO!K97+Finance!K97+HR!K97+Security!K97+IT!K97</f>
        <v>0</v>
      </c>
      <c r="L97" s="43">
        <f>EO!L97+Finance!L97+HR!L97+Security!L97+IT!L97</f>
        <v>0</v>
      </c>
      <c r="M97" s="43">
        <f>EO!M97+Finance!M97+HR!M97+Security!M97+IT!M97</f>
        <v>0</v>
      </c>
      <c r="N97" s="43">
        <f>EO!N97+Finance!N97+HR!N97+Security!N97+IT!N97</f>
        <v>0</v>
      </c>
      <c r="O97" s="43">
        <f>EO!O97+Finance!O97+HR!O97+Security!O97+IT!O97</f>
        <v>0</v>
      </c>
      <c r="P97" s="43">
        <f>EO!P97+Finance!P97+HR!P97+Security!P97+IT!P97</f>
        <v>0</v>
      </c>
      <c r="Q97" s="3">
        <f t="shared" si="5"/>
        <v>0</v>
      </c>
      <c r="R97" s="39">
        <f>Q97/Summary!$Q$16</f>
        <v>0</v>
      </c>
      <c r="S97" s="39"/>
      <c r="T97" s="35"/>
      <c r="U97" s="40">
        <f t="shared" si="6"/>
        <v>0</v>
      </c>
    </row>
    <row r="98" spans="1:21" s="3" customFormat="1" ht="24.95" hidden="1" customHeight="1">
      <c r="A98" s="3" t="s">
        <v>897</v>
      </c>
      <c r="B98" s="3" t="s">
        <v>49</v>
      </c>
      <c r="D98" s="26" t="s">
        <v>898</v>
      </c>
      <c r="E98" s="43">
        <f>EO!E98+Finance!E98+HR!E98+Security!E98+IT!E98</f>
        <v>0</v>
      </c>
      <c r="F98" s="43">
        <f>EO!F98+Finance!F98+HR!F98+Security!F98+IT!F98</f>
        <v>0</v>
      </c>
      <c r="G98" s="43">
        <f>EO!G98+Finance!G98+HR!G98+Security!G98+IT!G98</f>
        <v>0</v>
      </c>
      <c r="H98" s="43">
        <f>EO!H98+Finance!H98+HR!H98+Security!H98+IT!H98</f>
        <v>0</v>
      </c>
      <c r="I98" s="43">
        <f>EO!I98+Finance!I98+HR!I98+Security!I98+IT!I98</f>
        <v>0</v>
      </c>
      <c r="J98" s="43">
        <f>EO!J98+Finance!J98+HR!J98+Security!J98+IT!J98</f>
        <v>0</v>
      </c>
      <c r="K98" s="43">
        <f>EO!K98+Finance!K98+HR!K98+Security!K98+IT!K98</f>
        <v>0</v>
      </c>
      <c r="L98" s="43">
        <f>EO!L98+Finance!L98+HR!L98+Security!L98+IT!L98</f>
        <v>0</v>
      </c>
      <c r="M98" s="43">
        <f>EO!M98+Finance!M98+HR!M98+Security!M98+IT!M98</f>
        <v>0</v>
      </c>
      <c r="N98" s="43">
        <f>EO!N98+Finance!N98+HR!N98+Security!N98+IT!N98</f>
        <v>0</v>
      </c>
      <c r="O98" s="43">
        <f>EO!O98+Finance!O98+HR!O98+Security!O98+IT!O98</f>
        <v>0</v>
      </c>
      <c r="P98" s="43">
        <f>EO!P98+Finance!P98+HR!P98+Security!P98+IT!P98</f>
        <v>0</v>
      </c>
      <c r="Q98" s="3">
        <f t="shared" si="5"/>
        <v>0</v>
      </c>
      <c r="R98" s="39">
        <f>Q98/Summary!$Q$16</f>
        <v>0</v>
      </c>
      <c r="S98" s="39"/>
      <c r="T98" s="35"/>
      <c r="U98" s="40">
        <f t="shared" si="6"/>
        <v>0</v>
      </c>
    </row>
    <row r="99" spans="1:21" s="3" customFormat="1" ht="24.95" hidden="1" customHeight="1">
      <c r="A99" s="3" t="s">
        <v>899</v>
      </c>
      <c r="B99" s="3" t="s">
        <v>49</v>
      </c>
      <c r="D99" s="26" t="s">
        <v>900</v>
      </c>
      <c r="E99" s="43">
        <f>EO!E99+Finance!E99+HR!E99+Security!E99+IT!E99</f>
        <v>0</v>
      </c>
      <c r="F99" s="43">
        <f>EO!F99+Finance!F99+HR!F99+Security!F99+IT!F99</f>
        <v>0</v>
      </c>
      <c r="G99" s="43">
        <f>EO!G99+Finance!G99+HR!G99+Security!G99+IT!G99</f>
        <v>0</v>
      </c>
      <c r="H99" s="43">
        <f>EO!H99+Finance!H99+HR!H99+Security!H99+IT!H99</f>
        <v>0</v>
      </c>
      <c r="I99" s="43">
        <f>EO!I99+Finance!I99+HR!I99+Security!I99+IT!I99</f>
        <v>0</v>
      </c>
      <c r="J99" s="43">
        <f>EO!J99+Finance!J99+HR!J99+Security!J99+IT!J99</f>
        <v>0</v>
      </c>
      <c r="K99" s="43">
        <f>EO!K99+Finance!K99+HR!K99+Security!K99+IT!K99</f>
        <v>0</v>
      </c>
      <c r="L99" s="43">
        <f>EO!L99+Finance!L99+HR!L99+Security!L99+IT!L99</f>
        <v>0</v>
      </c>
      <c r="M99" s="43">
        <f>EO!M99+Finance!M99+HR!M99+Security!M99+IT!M99</f>
        <v>0</v>
      </c>
      <c r="N99" s="43">
        <f>EO!N99+Finance!N99+HR!N99+Security!N99+IT!N99</f>
        <v>0</v>
      </c>
      <c r="O99" s="43">
        <f>EO!O99+Finance!O99+HR!O99+Security!O99+IT!O99</f>
        <v>0</v>
      </c>
      <c r="P99" s="43">
        <f>EO!P99+Finance!P99+HR!P99+Security!P99+IT!P99</f>
        <v>0</v>
      </c>
      <c r="Q99" s="3">
        <f t="shared" si="5"/>
        <v>0</v>
      </c>
      <c r="R99" s="39">
        <f>Q99/Summary!$Q$16</f>
        <v>0</v>
      </c>
      <c r="S99" s="39"/>
      <c r="T99" s="35"/>
      <c r="U99" s="40">
        <f t="shared" si="6"/>
        <v>0</v>
      </c>
    </row>
    <row r="100" spans="1:21" s="3" customFormat="1" ht="24.95" hidden="1" customHeight="1">
      <c r="A100" s="3" t="s">
        <v>901</v>
      </c>
      <c r="B100" s="3" t="s">
        <v>49</v>
      </c>
      <c r="D100" s="26" t="s">
        <v>902</v>
      </c>
      <c r="E100" s="43">
        <f>EO!E100+Finance!E100+HR!E100+Security!E100+IT!E100</f>
        <v>0</v>
      </c>
      <c r="F100" s="43">
        <f>EO!F100+Finance!F100+HR!F100+Security!F100+IT!F100</f>
        <v>0</v>
      </c>
      <c r="G100" s="43">
        <f>EO!G100+Finance!G100+HR!G100+Security!G100+IT!G100</f>
        <v>0</v>
      </c>
      <c r="H100" s="43">
        <f>EO!H100+Finance!H100+HR!H100+Security!H100+IT!H100</f>
        <v>0</v>
      </c>
      <c r="I100" s="43">
        <f>EO!I100+Finance!I100+HR!I100+Security!I100+IT!I100</f>
        <v>0</v>
      </c>
      <c r="J100" s="43">
        <f>EO!J100+Finance!J100+HR!J100+Security!J100+IT!J100</f>
        <v>0</v>
      </c>
      <c r="K100" s="43">
        <f>EO!K100+Finance!K100+HR!K100+Security!K100+IT!K100</f>
        <v>0</v>
      </c>
      <c r="L100" s="43">
        <f>EO!L100+Finance!L100+HR!L100+Security!L100+IT!L100</f>
        <v>0</v>
      </c>
      <c r="M100" s="43">
        <f>EO!M100+Finance!M100+HR!M100+Security!M100+IT!M100</f>
        <v>0</v>
      </c>
      <c r="N100" s="43">
        <f>EO!N100+Finance!N100+HR!N100+Security!N100+IT!N100</f>
        <v>0</v>
      </c>
      <c r="O100" s="43">
        <f>EO!O100+Finance!O100+HR!O100+Security!O100+IT!O100</f>
        <v>0</v>
      </c>
      <c r="P100" s="43">
        <f>EO!P100+Finance!P100+HR!P100+Security!P100+IT!P100</f>
        <v>0</v>
      </c>
      <c r="Q100" s="3">
        <f t="shared" si="5"/>
        <v>0</v>
      </c>
      <c r="R100" s="39">
        <f>Q100/Summary!$Q$16</f>
        <v>0</v>
      </c>
      <c r="S100" s="39"/>
      <c r="T100" s="35"/>
      <c r="U100" s="40">
        <f t="shared" si="6"/>
        <v>0</v>
      </c>
    </row>
    <row r="101" spans="1:21" s="3" customFormat="1" ht="24.95" hidden="1" customHeight="1">
      <c r="A101" s="3" t="s">
        <v>903</v>
      </c>
      <c r="B101" s="3" t="s">
        <v>49</v>
      </c>
      <c r="D101" s="26" t="s">
        <v>904</v>
      </c>
      <c r="E101" s="43">
        <f>EO!E101+Finance!E101+HR!E101+Security!E101+IT!E101</f>
        <v>0</v>
      </c>
      <c r="F101" s="43">
        <f>EO!F101+Finance!F101+HR!F101+Security!F101+IT!F101</f>
        <v>0</v>
      </c>
      <c r="G101" s="43">
        <f>EO!G101+Finance!G101+HR!G101+Security!G101+IT!G101</f>
        <v>0</v>
      </c>
      <c r="H101" s="43">
        <f>EO!H101+Finance!H101+HR!H101+Security!H101+IT!H101</f>
        <v>0</v>
      </c>
      <c r="I101" s="43">
        <f>EO!I101+Finance!I101+HR!I101+Security!I101+IT!I101</f>
        <v>0</v>
      </c>
      <c r="J101" s="43">
        <f>EO!J101+Finance!J101+HR!J101+Security!J101+IT!J101</f>
        <v>0</v>
      </c>
      <c r="K101" s="43">
        <f>EO!K101+Finance!K101+HR!K101+Security!K101+IT!K101</f>
        <v>0</v>
      </c>
      <c r="L101" s="43">
        <f>EO!L101+Finance!L101+HR!L101+Security!L101+IT!L101</f>
        <v>0</v>
      </c>
      <c r="M101" s="43">
        <f>EO!M101+Finance!M101+HR!M101+Security!M101+IT!M101</f>
        <v>0</v>
      </c>
      <c r="N101" s="43">
        <f>EO!N101+Finance!N101+HR!N101+Security!N101+IT!N101</f>
        <v>0</v>
      </c>
      <c r="O101" s="43">
        <f>EO!O101+Finance!O101+HR!O101+Security!O101+IT!O101</f>
        <v>0</v>
      </c>
      <c r="P101" s="43">
        <f>EO!P101+Finance!P101+HR!P101+Security!P101+IT!P101</f>
        <v>0</v>
      </c>
      <c r="Q101" s="3">
        <f t="shared" si="5"/>
        <v>0</v>
      </c>
      <c r="R101" s="39">
        <f>Q101/Summary!$Q$16</f>
        <v>0</v>
      </c>
      <c r="S101" s="39"/>
      <c r="T101" s="35"/>
      <c r="U101" s="40">
        <f t="shared" si="6"/>
        <v>0</v>
      </c>
    </row>
    <row r="102" spans="1:21" s="3" customFormat="1" ht="24.95" hidden="1" customHeight="1">
      <c r="A102" s="3" t="s">
        <v>905</v>
      </c>
      <c r="B102" s="3" t="s">
        <v>49</v>
      </c>
      <c r="D102" s="26" t="s">
        <v>906</v>
      </c>
      <c r="E102" s="43">
        <f>EO!E102+Finance!E102+HR!E102+Security!E102+IT!E102</f>
        <v>0</v>
      </c>
      <c r="F102" s="43">
        <f>EO!F102+Finance!F102+HR!F102+Security!F102+IT!F102</f>
        <v>0</v>
      </c>
      <c r="G102" s="43">
        <f>EO!G102+Finance!G102+HR!G102+Security!G102+IT!G102</f>
        <v>0</v>
      </c>
      <c r="H102" s="43">
        <f>EO!H102+Finance!H102+HR!H102+Security!H102+IT!H102</f>
        <v>0</v>
      </c>
      <c r="I102" s="43">
        <f>EO!I102+Finance!I102+HR!I102+Security!I102+IT!I102</f>
        <v>0</v>
      </c>
      <c r="J102" s="43">
        <f>EO!J102+Finance!J102+HR!J102+Security!J102+IT!J102</f>
        <v>0</v>
      </c>
      <c r="K102" s="43">
        <f>EO!K102+Finance!K102+HR!K102+Security!K102+IT!K102</f>
        <v>0</v>
      </c>
      <c r="L102" s="43">
        <f>EO!L102+Finance!L102+HR!L102+Security!L102+IT!L102</f>
        <v>0</v>
      </c>
      <c r="M102" s="43">
        <f>EO!M102+Finance!M102+HR!M102+Security!M102+IT!M102</f>
        <v>0</v>
      </c>
      <c r="N102" s="43">
        <f>EO!N102+Finance!N102+HR!N102+Security!N102+IT!N102</f>
        <v>0</v>
      </c>
      <c r="O102" s="43">
        <f>EO!O102+Finance!O102+HR!O102+Security!O102+IT!O102</f>
        <v>0</v>
      </c>
      <c r="P102" s="43">
        <f>EO!P102+Finance!P102+HR!P102+Security!P102+IT!P102</f>
        <v>0</v>
      </c>
      <c r="Q102" s="3">
        <f t="shared" si="5"/>
        <v>0</v>
      </c>
      <c r="R102" s="39">
        <f>Q102/Summary!$Q$16</f>
        <v>0</v>
      </c>
      <c r="S102" s="39"/>
      <c r="T102" s="35"/>
      <c r="U102" s="40">
        <f t="shared" si="6"/>
        <v>0</v>
      </c>
    </row>
    <row r="103" spans="1:21" s="3" customFormat="1" ht="24.95" hidden="1" customHeight="1">
      <c r="A103" s="3" t="s">
        <v>907</v>
      </c>
      <c r="B103" s="3" t="s">
        <v>49</v>
      </c>
      <c r="D103" s="26" t="s">
        <v>908</v>
      </c>
      <c r="E103" s="43">
        <f>EO!E103+Finance!E103+HR!E103+Security!E103+IT!E103</f>
        <v>0</v>
      </c>
      <c r="F103" s="43">
        <f>EO!F103+Finance!F103+HR!F103+Security!F103+IT!F103</f>
        <v>0</v>
      </c>
      <c r="G103" s="43">
        <f>EO!G103+Finance!G103+HR!G103+Security!G103+IT!G103</f>
        <v>0</v>
      </c>
      <c r="H103" s="43">
        <f>EO!H103+Finance!H103+HR!H103+Security!H103+IT!H103</f>
        <v>0</v>
      </c>
      <c r="I103" s="43">
        <f>EO!I103+Finance!I103+HR!I103+Security!I103+IT!I103</f>
        <v>0</v>
      </c>
      <c r="J103" s="43">
        <f>EO!J103+Finance!J103+HR!J103+Security!J103+IT!J103</f>
        <v>0</v>
      </c>
      <c r="K103" s="43">
        <f>EO!K103+Finance!K103+HR!K103+Security!K103+IT!K103</f>
        <v>0</v>
      </c>
      <c r="L103" s="43">
        <f>EO!L103+Finance!L103+HR!L103+Security!L103+IT!L103</f>
        <v>0</v>
      </c>
      <c r="M103" s="43">
        <f>EO!M103+Finance!M103+HR!M103+Security!M103+IT!M103</f>
        <v>0</v>
      </c>
      <c r="N103" s="43">
        <f>EO!N103+Finance!N103+HR!N103+Security!N103+IT!N103</f>
        <v>0</v>
      </c>
      <c r="O103" s="43">
        <f>EO!O103+Finance!O103+HR!O103+Security!O103+IT!O103</f>
        <v>0</v>
      </c>
      <c r="P103" s="43">
        <f>EO!P103+Finance!P103+HR!P103+Security!P103+IT!P103</f>
        <v>0</v>
      </c>
      <c r="Q103" s="3">
        <f t="shared" si="5"/>
        <v>0</v>
      </c>
      <c r="R103" s="39">
        <f>Q103/Summary!$Q$16</f>
        <v>0</v>
      </c>
      <c r="S103" s="39"/>
      <c r="T103" s="35"/>
      <c r="U103" s="40">
        <f t="shared" si="6"/>
        <v>0</v>
      </c>
    </row>
    <row r="104" spans="1:21" s="3" customFormat="1" ht="24.95" hidden="1" customHeight="1">
      <c r="A104" s="3" t="s">
        <v>909</v>
      </c>
      <c r="B104" s="3" t="s">
        <v>49</v>
      </c>
      <c r="D104" s="26" t="s">
        <v>910</v>
      </c>
      <c r="E104" s="43">
        <f>EO!E104+Finance!E104+HR!E104+Security!E104+IT!E104</f>
        <v>0</v>
      </c>
      <c r="F104" s="43">
        <f>EO!F104+Finance!F104+HR!F104+Security!F104+IT!F104</f>
        <v>0</v>
      </c>
      <c r="G104" s="43">
        <f>EO!G104+Finance!G104+HR!G104+Security!G104+IT!G104</f>
        <v>0</v>
      </c>
      <c r="H104" s="43">
        <f>EO!H104+Finance!H104+HR!H104+Security!H104+IT!H104</f>
        <v>0</v>
      </c>
      <c r="I104" s="43">
        <f>EO!I104+Finance!I104+HR!I104+Security!I104+IT!I104</f>
        <v>0</v>
      </c>
      <c r="J104" s="43">
        <f>EO!J104+Finance!J104+HR!J104+Security!J104+IT!J104</f>
        <v>0</v>
      </c>
      <c r="K104" s="43">
        <f>EO!K104+Finance!K104+HR!K104+Security!K104+IT!K104</f>
        <v>0</v>
      </c>
      <c r="L104" s="43">
        <f>EO!L104+Finance!L104+HR!L104+Security!L104+IT!L104</f>
        <v>0</v>
      </c>
      <c r="M104" s="43">
        <f>EO!M104+Finance!M104+HR!M104+Security!M104+IT!M104</f>
        <v>0</v>
      </c>
      <c r="N104" s="43">
        <f>EO!N104+Finance!N104+HR!N104+Security!N104+IT!N104</f>
        <v>0</v>
      </c>
      <c r="O104" s="43">
        <f>EO!O104+Finance!O104+HR!O104+Security!O104+IT!O104</f>
        <v>0</v>
      </c>
      <c r="P104" s="43">
        <f>EO!P104+Finance!P104+HR!P104+Security!P104+IT!P104</f>
        <v>0</v>
      </c>
      <c r="Q104" s="3">
        <f t="shared" si="5"/>
        <v>0</v>
      </c>
      <c r="R104" s="39">
        <f>Q104/Summary!$Q$16</f>
        <v>0</v>
      </c>
      <c r="S104" s="39"/>
      <c r="T104" s="35"/>
      <c r="U104" s="40">
        <f t="shared" si="6"/>
        <v>0</v>
      </c>
    </row>
    <row r="105" spans="1:21" s="3" customFormat="1" ht="24.95" hidden="1" customHeight="1">
      <c r="A105" s="3" t="s">
        <v>911</v>
      </c>
      <c r="B105" s="3" t="s">
        <v>49</v>
      </c>
      <c r="D105" s="26" t="s">
        <v>912</v>
      </c>
      <c r="E105" s="43">
        <f>EO!E105+Finance!E105+HR!E105+Security!E105+IT!E105</f>
        <v>0</v>
      </c>
      <c r="F105" s="43">
        <f>EO!F105+Finance!F105+HR!F105+Security!F105+IT!F105</f>
        <v>0</v>
      </c>
      <c r="G105" s="43">
        <f>EO!G105+Finance!G105+HR!G105+Security!G105+IT!G105</f>
        <v>0</v>
      </c>
      <c r="H105" s="43">
        <f>EO!H105+Finance!H105+HR!H105+Security!H105+IT!H105</f>
        <v>0</v>
      </c>
      <c r="I105" s="43">
        <f>EO!I105+Finance!I105+HR!I105+Security!I105+IT!I105</f>
        <v>0</v>
      </c>
      <c r="J105" s="43">
        <f>EO!J105+Finance!J105+HR!J105+Security!J105+IT!J105</f>
        <v>0</v>
      </c>
      <c r="K105" s="43">
        <f>EO!K105+Finance!K105+HR!K105+Security!K105+IT!K105</f>
        <v>0</v>
      </c>
      <c r="L105" s="43">
        <f>EO!L105+Finance!L105+HR!L105+Security!L105+IT!L105</f>
        <v>0</v>
      </c>
      <c r="M105" s="43">
        <f>EO!M105+Finance!M105+HR!M105+Security!M105+IT!M105</f>
        <v>0</v>
      </c>
      <c r="N105" s="43">
        <f>EO!N105+Finance!N105+HR!N105+Security!N105+IT!N105</f>
        <v>0</v>
      </c>
      <c r="O105" s="43">
        <f>EO!O105+Finance!O105+HR!O105+Security!O105+IT!O105</f>
        <v>0</v>
      </c>
      <c r="P105" s="43">
        <f>EO!P105+Finance!P105+HR!P105+Security!P105+IT!P105</f>
        <v>0</v>
      </c>
      <c r="Q105" s="3">
        <f t="shared" si="5"/>
        <v>0</v>
      </c>
      <c r="R105" s="39">
        <f>Q105/Summary!$Q$16</f>
        <v>0</v>
      </c>
      <c r="S105" s="39"/>
      <c r="T105" s="35"/>
      <c r="U105" s="40">
        <f t="shared" si="6"/>
        <v>0</v>
      </c>
    </row>
    <row r="106" spans="1:21" s="3" customFormat="1" ht="24.95" hidden="1" customHeight="1">
      <c r="A106" s="3" t="s">
        <v>913</v>
      </c>
      <c r="B106" s="3" t="s">
        <v>49</v>
      </c>
      <c r="D106" s="26" t="s">
        <v>914</v>
      </c>
      <c r="E106" s="43">
        <f>EO!E106+Finance!E106+HR!E106+Security!E106+IT!E106</f>
        <v>0</v>
      </c>
      <c r="F106" s="43">
        <f>EO!F106+Finance!F106+HR!F106+Security!F106+IT!F106</f>
        <v>0</v>
      </c>
      <c r="G106" s="43">
        <f>EO!G106+Finance!G106+HR!G106+Security!G106+IT!G106</f>
        <v>0</v>
      </c>
      <c r="H106" s="43">
        <f>EO!H106+Finance!H106+HR!H106+Security!H106+IT!H106</f>
        <v>0</v>
      </c>
      <c r="I106" s="43">
        <f>EO!I106+Finance!I106+HR!I106+Security!I106+IT!I106</f>
        <v>0</v>
      </c>
      <c r="J106" s="43">
        <f>EO!J106+Finance!J106+HR!J106+Security!J106+IT!J106</f>
        <v>0</v>
      </c>
      <c r="K106" s="43">
        <f>EO!K106+Finance!K106+HR!K106+Security!K106+IT!K106</f>
        <v>0</v>
      </c>
      <c r="L106" s="43">
        <f>EO!L106+Finance!L106+HR!L106+Security!L106+IT!L106</f>
        <v>0</v>
      </c>
      <c r="M106" s="43">
        <f>EO!M106+Finance!M106+HR!M106+Security!M106+IT!M106</f>
        <v>0</v>
      </c>
      <c r="N106" s="43">
        <f>EO!N106+Finance!N106+HR!N106+Security!N106+IT!N106</f>
        <v>0</v>
      </c>
      <c r="O106" s="43">
        <f>EO!O106+Finance!O106+HR!O106+Security!O106+IT!O106</f>
        <v>0</v>
      </c>
      <c r="P106" s="43">
        <f>EO!P106+Finance!P106+HR!P106+Security!P106+IT!P106</f>
        <v>0</v>
      </c>
      <c r="Q106" s="3">
        <f t="shared" si="5"/>
        <v>0</v>
      </c>
      <c r="R106" s="39">
        <f>Q106/Summary!$Q$16</f>
        <v>0</v>
      </c>
      <c r="S106" s="39"/>
      <c r="T106" s="35"/>
      <c r="U106" s="40">
        <f t="shared" si="6"/>
        <v>0</v>
      </c>
    </row>
    <row r="107" spans="1:21" s="3" customFormat="1" ht="24.95" hidden="1" customHeight="1">
      <c r="A107" s="3" t="s">
        <v>915</v>
      </c>
      <c r="B107" s="3" t="s">
        <v>49</v>
      </c>
      <c r="D107" s="26" t="s">
        <v>916</v>
      </c>
      <c r="E107" s="43">
        <f>EO!E107+Finance!E107+HR!E107+Security!E107+IT!E107</f>
        <v>0</v>
      </c>
      <c r="F107" s="43">
        <f>EO!F107+Finance!F107+HR!F107+Security!F107+IT!F107</f>
        <v>0</v>
      </c>
      <c r="G107" s="43">
        <f>EO!G107+Finance!G107+HR!G107+Security!G107+IT!G107</f>
        <v>0</v>
      </c>
      <c r="H107" s="43">
        <f>EO!H107+Finance!H107+HR!H107+Security!H107+IT!H107</f>
        <v>0</v>
      </c>
      <c r="I107" s="43">
        <f>EO!I107+Finance!I107+HR!I107+Security!I107+IT!I107</f>
        <v>0</v>
      </c>
      <c r="J107" s="43">
        <f>EO!J107+Finance!J107+HR!J107+Security!J107+IT!J107</f>
        <v>0</v>
      </c>
      <c r="K107" s="43">
        <f>EO!K107+Finance!K107+HR!K107+Security!K107+IT!K107</f>
        <v>0</v>
      </c>
      <c r="L107" s="43">
        <f>EO!L107+Finance!L107+HR!L107+Security!L107+IT!L107</f>
        <v>0</v>
      </c>
      <c r="M107" s="43">
        <f>EO!M107+Finance!M107+HR!M107+Security!M107+IT!M107</f>
        <v>0</v>
      </c>
      <c r="N107" s="43">
        <f>EO!N107+Finance!N107+HR!N107+Security!N107+IT!N107</f>
        <v>0</v>
      </c>
      <c r="O107" s="43">
        <f>EO!O107+Finance!O107+HR!O107+Security!O107+IT!O107</f>
        <v>0</v>
      </c>
      <c r="P107" s="43">
        <f>EO!P107+Finance!P107+HR!P107+Security!P107+IT!P107</f>
        <v>0</v>
      </c>
      <c r="Q107" s="3">
        <f t="shared" si="5"/>
        <v>0</v>
      </c>
      <c r="R107" s="39">
        <f>Q107/Summary!$Q$16</f>
        <v>0</v>
      </c>
      <c r="S107" s="39"/>
      <c r="T107" s="35"/>
      <c r="U107" s="40">
        <f t="shared" si="6"/>
        <v>0</v>
      </c>
    </row>
    <row r="108" spans="1:21" s="3" customFormat="1" ht="24.95" hidden="1" customHeight="1">
      <c r="A108" s="3" t="s">
        <v>917</v>
      </c>
      <c r="B108" s="3" t="s">
        <v>49</v>
      </c>
      <c r="D108" s="26" t="s">
        <v>918</v>
      </c>
      <c r="E108" s="43">
        <f>EO!E108+Finance!E108+HR!E108+Security!E108+IT!E108</f>
        <v>0</v>
      </c>
      <c r="F108" s="43">
        <f>EO!F108+Finance!F108+HR!F108+Security!F108+IT!F108</f>
        <v>0</v>
      </c>
      <c r="G108" s="43">
        <f>EO!G108+Finance!G108+HR!G108+Security!G108+IT!G108</f>
        <v>0</v>
      </c>
      <c r="H108" s="43">
        <f>EO!H108+Finance!H108+HR!H108+Security!H108+IT!H108</f>
        <v>0</v>
      </c>
      <c r="I108" s="43">
        <f>EO!I108+Finance!I108+HR!I108+Security!I108+IT!I108</f>
        <v>0</v>
      </c>
      <c r="J108" s="43">
        <f>EO!J108+Finance!J108+HR!J108+Security!J108+IT!J108</f>
        <v>0</v>
      </c>
      <c r="K108" s="43">
        <f>EO!K108+Finance!K108+HR!K108+Security!K108+IT!K108</f>
        <v>0</v>
      </c>
      <c r="L108" s="43">
        <f>EO!L108+Finance!L108+HR!L108+Security!L108+IT!L108</f>
        <v>0</v>
      </c>
      <c r="M108" s="43">
        <f>EO!M108+Finance!M108+HR!M108+Security!M108+IT!M108</f>
        <v>0</v>
      </c>
      <c r="N108" s="43">
        <f>EO!N108+Finance!N108+HR!N108+Security!N108+IT!N108</f>
        <v>0</v>
      </c>
      <c r="O108" s="43">
        <f>EO!O108+Finance!O108+HR!O108+Security!O108+IT!O108</f>
        <v>0</v>
      </c>
      <c r="P108" s="43">
        <f>EO!P108+Finance!P108+HR!P108+Security!P108+IT!P108</f>
        <v>0</v>
      </c>
      <c r="Q108" s="3">
        <f t="shared" si="5"/>
        <v>0</v>
      </c>
      <c r="R108" s="39">
        <f>Q108/Summary!$Q$16</f>
        <v>0</v>
      </c>
      <c r="S108" s="39"/>
      <c r="T108" s="35"/>
      <c r="U108" s="40">
        <f t="shared" si="6"/>
        <v>0</v>
      </c>
    </row>
    <row r="109" spans="1:21" s="3" customFormat="1" ht="24.95" hidden="1" customHeight="1">
      <c r="A109" s="3" t="s">
        <v>919</v>
      </c>
      <c r="B109" s="3" t="s">
        <v>49</v>
      </c>
      <c r="D109" s="26" t="s">
        <v>920</v>
      </c>
      <c r="E109" s="43">
        <f>EO!E109+Finance!E109+HR!E109+Security!E109+IT!E109</f>
        <v>0</v>
      </c>
      <c r="F109" s="43">
        <f>EO!F109+Finance!F109+HR!F109+Security!F109+IT!F109</f>
        <v>0</v>
      </c>
      <c r="G109" s="43">
        <f>EO!G109+Finance!G109+HR!G109+Security!G109+IT!G109</f>
        <v>0</v>
      </c>
      <c r="H109" s="43">
        <f>EO!H109+Finance!H109+HR!H109+Security!H109+IT!H109</f>
        <v>0</v>
      </c>
      <c r="I109" s="43">
        <f>EO!I109+Finance!I109+HR!I109+Security!I109+IT!I109</f>
        <v>0</v>
      </c>
      <c r="J109" s="43">
        <f>EO!J109+Finance!J109+HR!J109+Security!J109+IT!J109</f>
        <v>0</v>
      </c>
      <c r="K109" s="43">
        <f>EO!K109+Finance!K109+HR!K109+Security!K109+IT!K109</f>
        <v>0</v>
      </c>
      <c r="L109" s="43">
        <f>EO!L109+Finance!L109+HR!L109+Security!L109+IT!L109</f>
        <v>0</v>
      </c>
      <c r="M109" s="43">
        <f>EO!M109+Finance!M109+HR!M109+Security!M109+IT!M109</f>
        <v>0</v>
      </c>
      <c r="N109" s="43">
        <f>EO!N109+Finance!N109+HR!N109+Security!N109+IT!N109</f>
        <v>0</v>
      </c>
      <c r="O109" s="43">
        <f>EO!O109+Finance!O109+HR!O109+Security!O109+IT!O109</f>
        <v>0</v>
      </c>
      <c r="P109" s="43">
        <f>EO!P109+Finance!P109+HR!P109+Security!P109+IT!P109</f>
        <v>0</v>
      </c>
      <c r="Q109" s="3">
        <f t="shared" si="5"/>
        <v>0</v>
      </c>
      <c r="R109" s="39">
        <f>Q109/Summary!$Q$16</f>
        <v>0</v>
      </c>
      <c r="S109" s="39"/>
      <c r="T109" s="35"/>
      <c r="U109" s="40">
        <f t="shared" si="6"/>
        <v>0</v>
      </c>
    </row>
    <row r="110" spans="1:21" s="3" customFormat="1" ht="24.95" hidden="1" customHeight="1">
      <c r="A110" s="3" t="s">
        <v>921</v>
      </c>
      <c r="B110" s="3" t="s">
        <v>49</v>
      </c>
      <c r="D110" s="26" t="s">
        <v>922</v>
      </c>
      <c r="E110" s="43">
        <f>EO!E110+Finance!E110+HR!E110+Security!E110+IT!E110</f>
        <v>0</v>
      </c>
      <c r="F110" s="43">
        <f>EO!F110+Finance!F110+HR!F110+Security!F110+IT!F110</f>
        <v>0</v>
      </c>
      <c r="G110" s="43">
        <f>EO!G110+Finance!G110+HR!G110+Security!G110+IT!G110</f>
        <v>0</v>
      </c>
      <c r="H110" s="43">
        <f>EO!H110+Finance!H110+HR!H110+Security!H110+IT!H110</f>
        <v>0</v>
      </c>
      <c r="I110" s="43">
        <f>EO!I110+Finance!I110+HR!I110+Security!I110+IT!I110</f>
        <v>0</v>
      </c>
      <c r="J110" s="43">
        <f>EO!J110+Finance!J110+HR!J110+Security!J110+IT!J110</f>
        <v>0</v>
      </c>
      <c r="K110" s="43">
        <f>EO!K110+Finance!K110+HR!K110+Security!K110+IT!K110</f>
        <v>0</v>
      </c>
      <c r="L110" s="43">
        <f>EO!L110+Finance!L110+HR!L110+Security!L110+IT!L110</f>
        <v>0</v>
      </c>
      <c r="M110" s="43">
        <f>EO!M110+Finance!M110+HR!M110+Security!M110+IT!M110</f>
        <v>0</v>
      </c>
      <c r="N110" s="43">
        <f>EO!N110+Finance!N110+HR!N110+Security!N110+IT!N110</f>
        <v>0</v>
      </c>
      <c r="O110" s="43">
        <f>EO!O110+Finance!O110+HR!O110+Security!O110+IT!O110</f>
        <v>0</v>
      </c>
      <c r="P110" s="43">
        <f>EO!P110+Finance!P110+HR!P110+Security!P110+IT!P110</f>
        <v>0</v>
      </c>
      <c r="Q110" s="3">
        <f t="shared" si="5"/>
        <v>0</v>
      </c>
      <c r="R110" s="39">
        <f>Q110/Summary!$Q$16</f>
        <v>0</v>
      </c>
      <c r="S110" s="39"/>
      <c r="T110" s="35"/>
      <c r="U110" s="40">
        <f t="shared" si="6"/>
        <v>0</v>
      </c>
    </row>
    <row r="111" spans="1:21" s="3" customFormat="1" ht="24.95" hidden="1" customHeight="1">
      <c r="A111" s="3" t="s">
        <v>923</v>
      </c>
      <c r="B111" s="3" t="s">
        <v>49</v>
      </c>
      <c r="D111" s="26" t="s">
        <v>924</v>
      </c>
      <c r="E111" s="43">
        <f>EO!E111+Finance!E111+HR!E111+Security!E111+IT!E111</f>
        <v>0</v>
      </c>
      <c r="F111" s="43">
        <f>EO!F111+Finance!F111+HR!F111+Security!F111+IT!F111</f>
        <v>0</v>
      </c>
      <c r="G111" s="43">
        <f>EO!G111+Finance!G111+HR!G111+Security!G111+IT!G111</f>
        <v>0</v>
      </c>
      <c r="H111" s="43">
        <f>EO!H111+Finance!H111+HR!H111+Security!H111+IT!H111</f>
        <v>0</v>
      </c>
      <c r="I111" s="43">
        <f>EO!I111+Finance!I111+HR!I111+Security!I111+IT!I111</f>
        <v>0</v>
      </c>
      <c r="J111" s="43">
        <f>EO!J111+Finance!J111+HR!J111+Security!J111+IT!J111</f>
        <v>0</v>
      </c>
      <c r="K111" s="43">
        <f>EO!K111+Finance!K111+HR!K111+Security!K111+IT!K111</f>
        <v>0</v>
      </c>
      <c r="L111" s="43">
        <f>EO!L111+Finance!L111+HR!L111+Security!L111+IT!L111</f>
        <v>0</v>
      </c>
      <c r="M111" s="43">
        <f>EO!M111+Finance!M111+HR!M111+Security!M111+IT!M111</f>
        <v>0</v>
      </c>
      <c r="N111" s="43">
        <f>EO!N111+Finance!N111+HR!N111+Security!N111+IT!N111</f>
        <v>0</v>
      </c>
      <c r="O111" s="43">
        <f>EO!O111+Finance!O111+HR!O111+Security!O111+IT!O111</f>
        <v>0</v>
      </c>
      <c r="P111" s="43">
        <f>EO!P111+Finance!P111+HR!P111+Security!P111+IT!P111</f>
        <v>0</v>
      </c>
      <c r="Q111" s="3">
        <f t="shared" si="5"/>
        <v>0</v>
      </c>
      <c r="R111" s="39">
        <f>Q111/Summary!$Q$16</f>
        <v>0</v>
      </c>
      <c r="S111" s="39"/>
      <c r="T111" s="35"/>
      <c r="U111" s="40">
        <f t="shared" si="6"/>
        <v>0</v>
      </c>
    </row>
    <row r="112" spans="1:21" s="3" customFormat="1" ht="24.95" customHeight="1">
      <c r="A112" s="3" t="s">
        <v>925</v>
      </c>
      <c r="B112" s="3" t="s">
        <v>49</v>
      </c>
      <c r="D112" s="26" t="s">
        <v>926</v>
      </c>
      <c r="E112" s="43">
        <f>EO!E112+Finance!E112+HR!E112+Security!E112+IT!E112</f>
        <v>0</v>
      </c>
      <c r="F112" s="43">
        <f>EO!F112+Finance!F112+HR!F112+Security!F112+IT!F112</f>
        <v>0</v>
      </c>
      <c r="G112" s="43">
        <f>EO!G112+Finance!G112+HR!G112+Security!G112+IT!G112</f>
        <v>0</v>
      </c>
      <c r="H112" s="43">
        <f>EO!H112+Finance!H112+HR!H112+Security!H112+IT!H112</f>
        <v>0</v>
      </c>
      <c r="I112" s="43">
        <f>EO!I112+Finance!I112+HR!I112+Security!I112+IT!I112</f>
        <v>0</v>
      </c>
      <c r="J112" s="43">
        <f>EO!J112+Finance!J112+HR!J112+Security!J112+IT!J112</f>
        <v>0</v>
      </c>
      <c r="K112" s="43">
        <f>EO!K112+Finance!K112+HR!K112+Security!K112+IT!K112</f>
        <v>0</v>
      </c>
      <c r="L112" s="43">
        <f>EO!L112+Finance!L112+HR!L112+Security!L112+IT!L112</f>
        <v>0</v>
      </c>
      <c r="M112" s="43">
        <f>EO!M112+Finance!M112+HR!M112+Security!M112+IT!M112</f>
        <v>0</v>
      </c>
      <c r="N112" s="43">
        <f>EO!N112+Finance!N112+HR!N112+Security!N112+IT!N112</f>
        <v>0</v>
      </c>
      <c r="O112" s="43">
        <f>EO!O112+Finance!O112+HR!O112+Security!O112+IT!O112</f>
        <v>0</v>
      </c>
      <c r="P112" s="43">
        <f>EO!P112+Finance!P112+HR!P112+Security!P112+IT!P112</f>
        <v>0</v>
      </c>
      <c r="Q112" s="3">
        <f t="shared" si="5"/>
        <v>0</v>
      </c>
      <c r="R112" s="39">
        <f>Q112/Summary!$Q$16</f>
        <v>0</v>
      </c>
      <c r="S112" s="39"/>
      <c r="T112" s="35"/>
      <c r="U112" s="40">
        <f t="shared" si="6"/>
        <v>0</v>
      </c>
    </row>
    <row r="113" spans="1:21" s="3" customFormat="1" ht="24.95" hidden="1" customHeight="1">
      <c r="A113" s="3" t="s">
        <v>927</v>
      </c>
      <c r="B113" s="3" t="s">
        <v>49</v>
      </c>
      <c r="D113" s="26" t="s">
        <v>928</v>
      </c>
      <c r="E113" s="43">
        <f>EO!E113+Finance!E113+HR!E113+Security!E113+IT!E113</f>
        <v>0</v>
      </c>
      <c r="F113" s="43">
        <f>EO!F113+Finance!F113+HR!F113+Security!F113+IT!F113</f>
        <v>0</v>
      </c>
      <c r="G113" s="43">
        <f>EO!G113+Finance!G113+HR!G113+Security!G113+IT!G113</f>
        <v>0</v>
      </c>
      <c r="H113" s="43">
        <f>EO!H113+Finance!H113+HR!H113+Security!H113+IT!H113</f>
        <v>0</v>
      </c>
      <c r="I113" s="43">
        <f>EO!I113+Finance!I113+HR!I113+Security!I113+IT!I113</f>
        <v>0</v>
      </c>
      <c r="J113" s="43">
        <f>EO!J113+Finance!J113+HR!J113+Security!J113+IT!J113</f>
        <v>0</v>
      </c>
      <c r="K113" s="43">
        <f>EO!K113+Finance!K113+HR!K113+Security!K113+IT!K113</f>
        <v>0</v>
      </c>
      <c r="L113" s="43">
        <f>EO!L113+Finance!L113+HR!L113+Security!L113+IT!L113</f>
        <v>0</v>
      </c>
      <c r="M113" s="43">
        <f>EO!M113+Finance!M113+HR!M113+Security!M113+IT!M113</f>
        <v>0</v>
      </c>
      <c r="N113" s="43">
        <f>EO!N113+Finance!N113+HR!N113+Security!N113+IT!N113</f>
        <v>0</v>
      </c>
      <c r="O113" s="43">
        <f>EO!O113+Finance!O113+HR!O113+Security!O113+IT!O113</f>
        <v>0</v>
      </c>
      <c r="P113" s="43">
        <f>EO!P113+Finance!P113+HR!P113+Security!P113+IT!P113</f>
        <v>0</v>
      </c>
      <c r="Q113" s="3">
        <f t="shared" si="5"/>
        <v>0</v>
      </c>
      <c r="R113" s="39">
        <f>Q113/Summary!$Q$16</f>
        <v>0</v>
      </c>
      <c r="S113" s="39"/>
      <c r="T113" s="35"/>
      <c r="U113" s="40">
        <f t="shared" si="6"/>
        <v>0</v>
      </c>
    </row>
    <row r="114" spans="1:21" s="3" customFormat="1" ht="24.95" hidden="1" customHeight="1">
      <c r="A114" s="3" t="s">
        <v>929</v>
      </c>
      <c r="B114" s="3" t="s">
        <v>49</v>
      </c>
      <c r="D114" s="26" t="s">
        <v>930</v>
      </c>
      <c r="E114" s="43">
        <f>EO!E114+Finance!E114+HR!E114+Security!E114+IT!E114</f>
        <v>0</v>
      </c>
      <c r="F114" s="43">
        <f>EO!F114+Finance!F114+HR!F114+Security!F114+IT!F114</f>
        <v>0</v>
      </c>
      <c r="G114" s="43">
        <f>EO!G114+Finance!G114+HR!G114+Security!G114+IT!G114</f>
        <v>0</v>
      </c>
      <c r="H114" s="43">
        <f>EO!H114+Finance!H114+HR!H114+Security!H114+IT!H114</f>
        <v>0</v>
      </c>
      <c r="I114" s="43">
        <f>EO!I114+Finance!I114+HR!I114+Security!I114+IT!I114</f>
        <v>0</v>
      </c>
      <c r="J114" s="43">
        <f>EO!J114+Finance!J114+HR!J114+Security!J114+IT!J114</f>
        <v>0</v>
      </c>
      <c r="K114" s="43">
        <f>EO!K114+Finance!K114+HR!K114+Security!K114+IT!K114</f>
        <v>0</v>
      </c>
      <c r="L114" s="43">
        <f>EO!L114+Finance!L114+HR!L114+Security!L114+IT!L114</f>
        <v>0</v>
      </c>
      <c r="M114" s="43">
        <f>EO!M114+Finance!M114+HR!M114+Security!M114+IT!M114</f>
        <v>0</v>
      </c>
      <c r="N114" s="43">
        <f>EO!N114+Finance!N114+HR!N114+Security!N114+IT!N114</f>
        <v>0</v>
      </c>
      <c r="O114" s="43">
        <f>EO!O114+Finance!O114+HR!O114+Security!O114+IT!O114</f>
        <v>0</v>
      </c>
      <c r="P114" s="43">
        <f>EO!P114+Finance!P114+HR!P114+Security!P114+IT!P114</f>
        <v>0</v>
      </c>
      <c r="Q114" s="3">
        <f t="shared" si="5"/>
        <v>0</v>
      </c>
      <c r="R114" s="39">
        <f>Q114/Summary!$Q$16</f>
        <v>0</v>
      </c>
      <c r="S114" s="39"/>
      <c r="T114" s="35"/>
      <c r="U114" s="40">
        <f t="shared" si="6"/>
        <v>0</v>
      </c>
    </row>
    <row r="115" spans="1:21" s="3" customFormat="1" ht="24.95" hidden="1" customHeight="1">
      <c r="A115" s="3" t="s">
        <v>931</v>
      </c>
      <c r="B115" s="3" t="s">
        <v>49</v>
      </c>
      <c r="D115" s="26" t="s">
        <v>932</v>
      </c>
      <c r="E115" s="43">
        <f>EO!E115+Finance!E115+HR!E115+Security!E115+IT!E115</f>
        <v>0</v>
      </c>
      <c r="F115" s="43">
        <f>EO!F115+Finance!F115+HR!F115+Security!F115+IT!F115</f>
        <v>0</v>
      </c>
      <c r="G115" s="43">
        <f>EO!G115+Finance!G115+HR!G115+Security!G115+IT!G115</f>
        <v>0</v>
      </c>
      <c r="H115" s="43">
        <f>EO!H115+Finance!H115+HR!H115+Security!H115+IT!H115</f>
        <v>0</v>
      </c>
      <c r="I115" s="43">
        <f>EO!I115+Finance!I115+HR!I115+Security!I115+IT!I115</f>
        <v>0</v>
      </c>
      <c r="J115" s="43">
        <f>EO!J115+Finance!J115+HR!J115+Security!J115+IT!J115</f>
        <v>0</v>
      </c>
      <c r="K115" s="43">
        <f>EO!K115+Finance!K115+HR!K115+Security!K115+IT!K115</f>
        <v>0</v>
      </c>
      <c r="L115" s="43">
        <f>EO!L115+Finance!L115+HR!L115+Security!L115+IT!L115</f>
        <v>0</v>
      </c>
      <c r="M115" s="43">
        <f>EO!M115+Finance!M115+HR!M115+Security!M115+IT!M115</f>
        <v>0</v>
      </c>
      <c r="N115" s="43">
        <f>EO!N115+Finance!N115+HR!N115+Security!N115+IT!N115</f>
        <v>0</v>
      </c>
      <c r="O115" s="43">
        <f>EO!O115+Finance!O115+HR!O115+Security!O115+IT!O115</f>
        <v>0</v>
      </c>
      <c r="P115" s="43">
        <f>EO!P115+Finance!P115+HR!P115+Security!P115+IT!P115</f>
        <v>0</v>
      </c>
      <c r="Q115" s="3">
        <f t="shared" si="5"/>
        <v>0</v>
      </c>
      <c r="R115" s="39">
        <f>Q115/Summary!$Q$16</f>
        <v>0</v>
      </c>
      <c r="S115" s="39"/>
      <c r="T115" s="35"/>
      <c r="U115" s="40">
        <f t="shared" si="6"/>
        <v>0</v>
      </c>
    </row>
    <row r="116" spans="1:21" s="3" customFormat="1" ht="24.95" hidden="1" customHeight="1">
      <c r="A116" s="3" t="s">
        <v>933</v>
      </c>
      <c r="B116" s="3" t="s">
        <v>49</v>
      </c>
      <c r="D116" s="26" t="s">
        <v>934</v>
      </c>
      <c r="E116" s="43">
        <f>EO!E116+Finance!E116+HR!E116+Security!E116+IT!E116</f>
        <v>0</v>
      </c>
      <c r="F116" s="43">
        <f>EO!F116+Finance!F116+HR!F116+Security!F116+IT!F116</f>
        <v>0</v>
      </c>
      <c r="G116" s="43">
        <f>EO!G116+Finance!G116+HR!G116+Security!G116+IT!G116</f>
        <v>0</v>
      </c>
      <c r="H116" s="43">
        <f>EO!H116+Finance!H116+HR!H116+Security!H116+IT!H116</f>
        <v>0</v>
      </c>
      <c r="I116" s="43">
        <f>EO!I116+Finance!I116+HR!I116+Security!I116+IT!I116</f>
        <v>0</v>
      </c>
      <c r="J116" s="43">
        <f>EO!J116+Finance!J116+HR!J116+Security!J116+IT!J116</f>
        <v>0</v>
      </c>
      <c r="K116" s="43">
        <f>EO!K116+Finance!K116+HR!K116+Security!K116+IT!K116</f>
        <v>0</v>
      </c>
      <c r="L116" s="43">
        <f>EO!L116+Finance!L116+HR!L116+Security!L116+IT!L116</f>
        <v>0</v>
      </c>
      <c r="M116" s="43">
        <f>EO!M116+Finance!M116+HR!M116+Security!M116+IT!M116</f>
        <v>0</v>
      </c>
      <c r="N116" s="43">
        <f>EO!N116+Finance!N116+HR!N116+Security!N116+IT!N116</f>
        <v>0</v>
      </c>
      <c r="O116" s="43">
        <f>EO!O116+Finance!O116+HR!O116+Security!O116+IT!O116</f>
        <v>0</v>
      </c>
      <c r="P116" s="43">
        <f>EO!P116+Finance!P116+HR!P116+Security!P116+IT!P116</f>
        <v>0</v>
      </c>
      <c r="Q116" s="3">
        <f t="shared" si="5"/>
        <v>0</v>
      </c>
      <c r="R116" s="39">
        <f>Q116/Summary!$Q$16</f>
        <v>0</v>
      </c>
      <c r="S116" s="39"/>
      <c r="T116" s="35"/>
      <c r="U116" s="40">
        <f t="shared" si="6"/>
        <v>0</v>
      </c>
    </row>
    <row r="117" spans="1:21" s="3" customFormat="1" ht="24.95" hidden="1" customHeight="1">
      <c r="A117" s="3" t="s">
        <v>935</v>
      </c>
      <c r="B117" s="3" t="s">
        <v>49</v>
      </c>
      <c r="D117" s="26" t="s">
        <v>936</v>
      </c>
      <c r="E117" s="43">
        <f>EO!E117+Finance!E117+HR!E117+Security!E117+IT!E117</f>
        <v>0</v>
      </c>
      <c r="F117" s="43">
        <f>EO!F117+Finance!F117+HR!F117+Security!F117+IT!F117</f>
        <v>0</v>
      </c>
      <c r="G117" s="43">
        <f>EO!G117+Finance!G117+HR!G117+Security!G117+IT!G117</f>
        <v>0</v>
      </c>
      <c r="H117" s="43">
        <f>EO!H117+Finance!H117+HR!H117+Security!H117+IT!H117</f>
        <v>0</v>
      </c>
      <c r="I117" s="43">
        <f>EO!I117+Finance!I117+HR!I117+Security!I117+IT!I117</f>
        <v>0</v>
      </c>
      <c r="J117" s="43">
        <f>EO!J117+Finance!J117+HR!J117+Security!J117+IT!J117</f>
        <v>0</v>
      </c>
      <c r="K117" s="43">
        <f>EO!K117+Finance!K117+HR!K117+Security!K117+IT!K117</f>
        <v>0</v>
      </c>
      <c r="L117" s="43">
        <f>EO!L117+Finance!L117+HR!L117+Security!L117+IT!L117</f>
        <v>0</v>
      </c>
      <c r="M117" s="43">
        <f>EO!M117+Finance!M117+HR!M117+Security!M117+IT!M117</f>
        <v>0</v>
      </c>
      <c r="N117" s="43">
        <f>EO!N117+Finance!N117+HR!N117+Security!N117+IT!N117</f>
        <v>0</v>
      </c>
      <c r="O117" s="43">
        <f>EO!O117+Finance!O117+HR!O117+Security!O117+IT!O117</f>
        <v>0</v>
      </c>
      <c r="P117" s="43">
        <f>EO!P117+Finance!P117+HR!P117+Security!P117+IT!P117</f>
        <v>0</v>
      </c>
      <c r="Q117" s="3">
        <f t="shared" si="5"/>
        <v>0</v>
      </c>
      <c r="R117" s="39">
        <f>Q117/Summary!$Q$16</f>
        <v>0</v>
      </c>
      <c r="S117" s="39"/>
      <c r="T117" s="35"/>
      <c r="U117" s="40">
        <f t="shared" si="6"/>
        <v>0</v>
      </c>
    </row>
    <row r="118" spans="1:21" s="3" customFormat="1" ht="24.95" hidden="1" customHeight="1">
      <c r="A118" s="3" t="s">
        <v>937</v>
      </c>
      <c r="B118" s="3" t="s">
        <v>49</v>
      </c>
      <c r="D118" s="26" t="s">
        <v>938</v>
      </c>
      <c r="E118" s="43">
        <f>EO!E118+Finance!E118+HR!E118+Security!E118+IT!E118</f>
        <v>0</v>
      </c>
      <c r="F118" s="43">
        <f>EO!F118+Finance!F118+HR!F118+Security!F118+IT!F118</f>
        <v>0</v>
      </c>
      <c r="G118" s="43">
        <f>EO!G118+Finance!G118+HR!G118+Security!G118+IT!G118</f>
        <v>0</v>
      </c>
      <c r="H118" s="43">
        <f>EO!H118+Finance!H118+HR!H118+Security!H118+IT!H118</f>
        <v>0</v>
      </c>
      <c r="I118" s="43">
        <f>EO!I118+Finance!I118+HR!I118+Security!I118+IT!I118</f>
        <v>0</v>
      </c>
      <c r="J118" s="43">
        <f>EO!J118+Finance!J118+HR!J118+Security!J118+IT!J118</f>
        <v>0</v>
      </c>
      <c r="K118" s="43">
        <f>EO!K118+Finance!K118+HR!K118+Security!K118+IT!K118</f>
        <v>0</v>
      </c>
      <c r="L118" s="43">
        <f>EO!L118+Finance!L118+HR!L118+Security!L118+IT!L118</f>
        <v>0</v>
      </c>
      <c r="M118" s="43">
        <f>EO!M118+Finance!M118+HR!M118+Security!M118+IT!M118</f>
        <v>0</v>
      </c>
      <c r="N118" s="43">
        <f>EO!N118+Finance!N118+HR!N118+Security!N118+IT!N118</f>
        <v>0</v>
      </c>
      <c r="O118" s="43">
        <f>EO!O118+Finance!O118+HR!O118+Security!O118+IT!O118</f>
        <v>0</v>
      </c>
      <c r="P118" s="43">
        <f>EO!P118+Finance!P118+HR!P118+Security!P118+IT!P118</f>
        <v>0</v>
      </c>
      <c r="Q118" s="3">
        <f t="shared" si="5"/>
        <v>0</v>
      </c>
      <c r="R118" s="39">
        <f>Q118/Summary!$Q$16</f>
        <v>0</v>
      </c>
      <c r="S118" s="39"/>
      <c r="T118" s="35"/>
      <c r="U118" s="40">
        <f t="shared" si="6"/>
        <v>0</v>
      </c>
    </row>
    <row r="119" spans="1:21" s="3" customFormat="1" ht="24.95" hidden="1" customHeight="1">
      <c r="A119" s="3" t="s">
        <v>939</v>
      </c>
      <c r="B119" s="3" t="s">
        <v>49</v>
      </c>
      <c r="D119" s="26" t="s">
        <v>940</v>
      </c>
      <c r="E119" s="43">
        <f>EO!E119+Finance!E119+HR!E119+Security!E119+IT!E119</f>
        <v>0</v>
      </c>
      <c r="F119" s="43">
        <f>EO!F119+Finance!F119+HR!F119+Security!F119+IT!F119</f>
        <v>0</v>
      </c>
      <c r="G119" s="43">
        <f>EO!G119+Finance!G119+HR!G119+Security!G119+IT!G119</f>
        <v>0</v>
      </c>
      <c r="H119" s="43">
        <f>EO!H119+Finance!H119+HR!H119+Security!H119+IT!H119</f>
        <v>0</v>
      </c>
      <c r="I119" s="43">
        <f>EO!I119+Finance!I119+HR!I119+Security!I119+IT!I119</f>
        <v>0</v>
      </c>
      <c r="J119" s="43">
        <f>EO!J119+Finance!J119+HR!J119+Security!J119+IT!J119</f>
        <v>0</v>
      </c>
      <c r="K119" s="43">
        <f>EO!K119+Finance!K119+HR!K119+Security!K119+IT!K119</f>
        <v>0</v>
      </c>
      <c r="L119" s="43">
        <f>EO!L119+Finance!L119+HR!L119+Security!L119+IT!L119</f>
        <v>0</v>
      </c>
      <c r="M119" s="43">
        <f>EO!M119+Finance!M119+HR!M119+Security!M119+IT!M119</f>
        <v>0</v>
      </c>
      <c r="N119" s="43">
        <f>EO!N119+Finance!N119+HR!N119+Security!N119+IT!N119</f>
        <v>0</v>
      </c>
      <c r="O119" s="43">
        <f>EO!O119+Finance!O119+HR!O119+Security!O119+IT!O119</f>
        <v>0</v>
      </c>
      <c r="P119" s="43">
        <f>EO!P119+Finance!P119+HR!P119+Security!P119+IT!P119</f>
        <v>0</v>
      </c>
      <c r="Q119" s="3">
        <f t="shared" si="5"/>
        <v>0</v>
      </c>
      <c r="R119" s="39">
        <f>Q119/Summary!$Q$16</f>
        <v>0</v>
      </c>
      <c r="S119" s="39"/>
      <c r="T119" s="35"/>
      <c r="U119" s="40">
        <f t="shared" si="6"/>
        <v>0</v>
      </c>
    </row>
    <row r="120" spans="1:21" s="3" customFormat="1" ht="24.95" hidden="1" customHeight="1">
      <c r="A120" s="3" t="s">
        <v>941</v>
      </c>
      <c r="B120" s="3" t="s">
        <v>49</v>
      </c>
      <c r="D120" s="26" t="s">
        <v>942</v>
      </c>
      <c r="E120" s="43">
        <f>EO!E120+Finance!E120+HR!E120+Security!E120+IT!E120</f>
        <v>0</v>
      </c>
      <c r="F120" s="43">
        <f>EO!F120+Finance!F120+HR!F120+Security!F120+IT!F120</f>
        <v>0</v>
      </c>
      <c r="G120" s="43">
        <f>EO!G120+Finance!G120+HR!G120+Security!G120+IT!G120</f>
        <v>0</v>
      </c>
      <c r="H120" s="43">
        <f>EO!H120+Finance!H120+HR!H120+Security!H120+IT!H120</f>
        <v>0</v>
      </c>
      <c r="I120" s="43">
        <f>EO!I120+Finance!I120+HR!I120+Security!I120+IT!I120</f>
        <v>0</v>
      </c>
      <c r="J120" s="43">
        <f>EO!J120+Finance!J120+HR!J120+Security!J120+IT!J120</f>
        <v>0</v>
      </c>
      <c r="K120" s="43">
        <f>EO!K120+Finance!K120+HR!K120+Security!K120+IT!K120</f>
        <v>0</v>
      </c>
      <c r="L120" s="43">
        <f>EO!L120+Finance!L120+HR!L120+Security!L120+IT!L120</f>
        <v>0</v>
      </c>
      <c r="M120" s="43">
        <f>EO!M120+Finance!M120+HR!M120+Security!M120+IT!M120</f>
        <v>0</v>
      </c>
      <c r="N120" s="43">
        <f>EO!N120+Finance!N120+HR!N120+Security!N120+IT!N120</f>
        <v>0</v>
      </c>
      <c r="O120" s="43">
        <f>EO!O120+Finance!O120+HR!O120+Security!O120+IT!O120</f>
        <v>0</v>
      </c>
      <c r="P120" s="43">
        <f>EO!P120+Finance!P120+HR!P120+Security!P120+IT!P120</f>
        <v>0</v>
      </c>
      <c r="Q120" s="3">
        <f t="shared" si="5"/>
        <v>0</v>
      </c>
      <c r="R120" s="39">
        <f>Q120/Summary!$Q$16</f>
        <v>0</v>
      </c>
      <c r="S120" s="39"/>
      <c r="T120" s="35"/>
      <c r="U120" s="40">
        <f t="shared" si="6"/>
        <v>0</v>
      </c>
    </row>
    <row r="121" spans="1:21" s="3" customFormat="1" ht="24.95" hidden="1" customHeight="1">
      <c r="A121" s="3" t="s">
        <v>943</v>
      </c>
      <c r="B121" s="3" t="s">
        <v>49</v>
      </c>
      <c r="D121" s="26" t="s">
        <v>944</v>
      </c>
      <c r="E121" s="43">
        <f>EO!E121+Finance!E121+HR!E121+Security!E121+IT!E121</f>
        <v>0</v>
      </c>
      <c r="F121" s="43">
        <f>EO!F121+Finance!F121+HR!F121+Security!F121+IT!F121</f>
        <v>0</v>
      </c>
      <c r="G121" s="43">
        <f>EO!G121+Finance!G121+HR!G121+Security!G121+IT!G121</f>
        <v>0</v>
      </c>
      <c r="H121" s="43">
        <f>EO!H121+Finance!H121+HR!H121+Security!H121+IT!H121</f>
        <v>0</v>
      </c>
      <c r="I121" s="43">
        <f>EO!I121+Finance!I121+HR!I121+Security!I121+IT!I121</f>
        <v>0</v>
      </c>
      <c r="J121" s="43">
        <f>EO!J121+Finance!J121+HR!J121+Security!J121+IT!J121</f>
        <v>0</v>
      </c>
      <c r="K121" s="43">
        <f>EO!K121+Finance!K121+HR!K121+Security!K121+IT!K121</f>
        <v>0</v>
      </c>
      <c r="L121" s="43">
        <f>EO!L121+Finance!L121+HR!L121+Security!L121+IT!L121</f>
        <v>0</v>
      </c>
      <c r="M121" s="43">
        <f>EO!M121+Finance!M121+HR!M121+Security!M121+IT!M121</f>
        <v>0</v>
      </c>
      <c r="N121" s="43">
        <f>EO!N121+Finance!N121+HR!N121+Security!N121+IT!N121</f>
        <v>0</v>
      </c>
      <c r="O121" s="43">
        <f>EO!O121+Finance!O121+HR!O121+Security!O121+IT!O121</f>
        <v>0</v>
      </c>
      <c r="P121" s="43">
        <f>EO!P121+Finance!P121+HR!P121+Security!P121+IT!P121</f>
        <v>0</v>
      </c>
      <c r="Q121" s="3">
        <f t="shared" si="5"/>
        <v>0</v>
      </c>
      <c r="R121" s="39">
        <f>Q121/Summary!$Q$16</f>
        <v>0</v>
      </c>
      <c r="S121" s="39"/>
      <c r="T121" s="35"/>
      <c r="U121" s="40">
        <f t="shared" si="6"/>
        <v>0</v>
      </c>
    </row>
    <row r="122" spans="1:21" s="3" customFormat="1" ht="24.95" hidden="1" customHeight="1">
      <c r="A122" s="3" t="s">
        <v>945</v>
      </c>
      <c r="B122" s="3" t="s">
        <v>49</v>
      </c>
      <c r="D122" s="26" t="s">
        <v>946</v>
      </c>
      <c r="E122" s="43">
        <f>EO!E122+Finance!E122+HR!E122+Security!E122+IT!E122</f>
        <v>0</v>
      </c>
      <c r="F122" s="43">
        <f>EO!F122+Finance!F122+HR!F122+Security!F122+IT!F122</f>
        <v>0</v>
      </c>
      <c r="G122" s="43">
        <f>EO!G122+Finance!G122+HR!G122+Security!G122+IT!G122</f>
        <v>0</v>
      </c>
      <c r="H122" s="43">
        <f>EO!H122+Finance!H122+HR!H122+Security!H122+IT!H122</f>
        <v>0</v>
      </c>
      <c r="I122" s="43">
        <f>EO!I122+Finance!I122+HR!I122+Security!I122+IT!I122</f>
        <v>0</v>
      </c>
      <c r="J122" s="43">
        <f>EO!J122+Finance!J122+HR!J122+Security!J122+IT!J122</f>
        <v>0</v>
      </c>
      <c r="K122" s="43">
        <f>EO!K122+Finance!K122+HR!K122+Security!K122+IT!K122</f>
        <v>0</v>
      </c>
      <c r="L122" s="43">
        <f>EO!L122+Finance!L122+HR!L122+Security!L122+IT!L122</f>
        <v>0</v>
      </c>
      <c r="M122" s="43">
        <f>EO!M122+Finance!M122+HR!M122+Security!M122+IT!M122</f>
        <v>0</v>
      </c>
      <c r="N122" s="43">
        <f>EO!N122+Finance!N122+HR!N122+Security!N122+IT!N122</f>
        <v>0</v>
      </c>
      <c r="O122" s="43">
        <f>EO!O122+Finance!O122+HR!O122+Security!O122+IT!O122</f>
        <v>0</v>
      </c>
      <c r="P122" s="43">
        <f>EO!P122+Finance!P122+HR!P122+Security!P122+IT!P122</f>
        <v>0</v>
      </c>
      <c r="Q122" s="3">
        <f t="shared" si="5"/>
        <v>0</v>
      </c>
      <c r="R122" s="39">
        <f>Q122/Summary!$Q$16</f>
        <v>0</v>
      </c>
      <c r="S122" s="39"/>
      <c r="T122" s="35"/>
      <c r="U122" s="40">
        <f t="shared" si="6"/>
        <v>0</v>
      </c>
    </row>
    <row r="123" spans="1:21" s="3" customFormat="1" ht="24.95" hidden="1" customHeight="1">
      <c r="A123" s="3" t="s">
        <v>947</v>
      </c>
      <c r="B123" s="3" t="s">
        <v>49</v>
      </c>
      <c r="D123" s="26" t="s">
        <v>948</v>
      </c>
      <c r="E123" s="43">
        <f>EO!E123+Finance!E123+HR!E123+Security!E123+IT!E123</f>
        <v>0</v>
      </c>
      <c r="F123" s="43">
        <f>EO!F123+Finance!F123+HR!F123+Security!F123+IT!F123</f>
        <v>0</v>
      </c>
      <c r="G123" s="43">
        <f>EO!G123+Finance!G123+HR!G123+Security!G123+IT!G123</f>
        <v>0</v>
      </c>
      <c r="H123" s="43">
        <f>EO!H123+Finance!H123+HR!H123+Security!H123+IT!H123</f>
        <v>0</v>
      </c>
      <c r="I123" s="43">
        <f>EO!I123+Finance!I123+HR!I123+Security!I123+IT!I123</f>
        <v>0</v>
      </c>
      <c r="J123" s="43">
        <f>EO!J123+Finance!J123+HR!J123+Security!J123+IT!J123</f>
        <v>0</v>
      </c>
      <c r="K123" s="43">
        <f>EO!K123+Finance!K123+HR!K123+Security!K123+IT!K123</f>
        <v>0</v>
      </c>
      <c r="L123" s="43">
        <f>EO!L123+Finance!L123+HR!L123+Security!L123+IT!L123</f>
        <v>0</v>
      </c>
      <c r="M123" s="43">
        <f>EO!M123+Finance!M123+HR!M123+Security!M123+IT!M123</f>
        <v>0</v>
      </c>
      <c r="N123" s="43">
        <f>EO!N123+Finance!N123+HR!N123+Security!N123+IT!N123</f>
        <v>0</v>
      </c>
      <c r="O123" s="43">
        <f>EO!O123+Finance!O123+HR!O123+Security!O123+IT!O123</f>
        <v>0</v>
      </c>
      <c r="P123" s="43">
        <f>EO!P123+Finance!P123+HR!P123+Security!P123+IT!P123</f>
        <v>0</v>
      </c>
      <c r="Q123" s="3">
        <f t="shared" si="5"/>
        <v>0</v>
      </c>
      <c r="R123" s="39">
        <f>Q123/Summary!$Q$16</f>
        <v>0</v>
      </c>
      <c r="S123" s="39"/>
      <c r="T123" s="35"/>
      <c r="U123" s="40">
        <f t="shared" si="6"/>
        <v>0</v>
      </c>
    </row>
    <row r="124" spans="1:21" s="3" customFormat="1" ht="24.95" hidden="1" customHeight="1">
      <c r="A124" s="3" t="s">
        <v>949</v>
      </c>
      <c r="B124" s="3" t="s">
        <v>49</v>
      </c>
      <c r="D124" s="26" t="s">
        <v>950</v>
      </c>
      <c r="E124" s="43">
        <f>EO!E124+Finance!E124+HR!E124+Security!E124+IT!E124</f>
        <v>0</v>
      </c>
      <c r="F124" s="43">
        <f>EO!F124+Finance!F124+HR!F124+Security!F124+IT!F124</f>
        <v>0</v>
      </c>
      <c r="G124" s="43">
        <f>EO!G124+Finance!G124+HR!G124+Security!G124+IT!G124</f>
        <v>0</v>
      </c>
      <c r="H124" s="43">
        <f>EO!H124+Finance!H124+HR!H124+Security!H124+IT!H124</f>
        <v>0</v>
      </c>
      <c r="I124" s="43">
        <f>EO!I124+Finance!I124+HR!I124+Security!I124+IT!I124</f>
        <v>0</v>
      </c>
      <c r="J124" s="43">
        <f>EO!J124+Finance!J124+HR!J124+Security!J124+IT!J124</f>
        <v>0</v>
      </c>
      <c r="K124" s="43">
        <f>EO!K124+Finance!K124+HR!K124+Security!K124+IT!K124</f>
        <v>0</v>
      </c>
      <c r="L124" s="43">
        <f>EO!L124+Finance!L124+HR!L124+Security!L124+IT!L124</f>
        <v>0</v>
      </c>
      <c r="M124" s="43">
        <f>EO!M124+Finance!M124+HR!M124+Security!M124+IT!M124</f>
        <v>0</v>
      </c>
      <c r="N124" s="43">
        <f>EO!N124+Finance!N124+HR!N124+Security!N124+IT!N124</f>
        <v>0</v>
      </c>
      <c r="O124" s="43">
        <f>EO!O124+Finance!O124+HR!O124+Security!O124+IT!O124</f>
        <v>0</v>
      </c>
      <c r="P124" s="43">
        <f>EO!P124+Finance!P124+HR!P124+Security!P124+IT!P124</f>
        <v>0</v>
      </c>
      <c r="Q124" s="3">
        <f t="shared" si="5"/>
        <v>0</v>
      </c>
      <c r="R124" s="39">
        <f>Q124/Summary!$Q$16</f>
        <v>0</v>
      </c>
      <c r="S124" s="39"/>
      <c r="T124" s="35"/>
      <c r="U124" s="40">
        <f t="shared" si="6"/>
        <v>0</v>
      </c>
    </row>
    <row r="125" spans="1:21" s="3" customFormat="1" ht="24.95" hidden="1" customHeight="1">
      <c r="A125" s="3" t="s">
        <v>951</v>
      </c>
      <c r="B125" s="3" t="s">
        <v>49</v>
      </c>
      <c r="D125" s="26" t="s">
        <v>952</v>
      </c>
      <c r="E125" s="43">
        <f>EO!E125+Finance!E125+HR!E125+Security!E125+IT!E125</f>
        <v>0</v>
      </c>
      <c r="F125" s="43">
        <f>EO!F125+Finance!F125+HR!F125+Security!F125+IT!F125</f>
        <v>0</v>
      </c>
      <c r="G125" s="43">
        <f>EO!G125+Finance!G125+HR!G125+Security!G125+IT!G125</f>
        <v>0</v>
      </c>
      <c r="H125" s="43">
        <f>EO!H125+Finance!H125+HR!H125+Security!H125+IT!H125</f>
        <v>0</v>
      </c>
      <c r="I125" s="43">
        <f>EO!I125+Finance!I125+HR!I125+Security!I125+IT!I125</f>
        <v>0</v>
      </c>
      <c r="J125" s="43">
        <f>EO!J125+Finance!J125+HR!J125+Security!J125+IT!J125</f>
        <v>0</v>
      </c>
      <c r="K125" s="43">
        <f>EO!K125+Finance!K125+HR!K125+Security!K125+IT!K125</f>
        <v>0</v>
      </c>
      <c r="L125" s="43">
        <f>EO!L125+Finance!L125+HR!L125+Security!L125+IT!L125</f>
        <v>0</v>
      </c>
      <c r="M125" s="43">
        <f>EO!M125+Finance!M125+HR!M125+Security!M125+IT!M125</f>
        <v>0</v>
      </c>
      <c r="N125" s="43">
        <f>EO!N125+Finance!N125+HR!N125+Security!N125+IT!N125</f>
        <v>0</v>
      </c>
      <c r="O125" s="43">
        <f>EO!O125+Finance!O125+HR!O125+Security!O125+IT!O125</f>
        <v>0</v>
      </c>
      <c r="P125" s="43">
        <f>EO!P125+Finance!P125+HR!P125+Security!P125+IT!P125</f>
        <v>0</v>
      </c>
      <c r="Q125" s="3">
        <f t="shared" si="5"/>
        <v>0</v>
      </c>
      <c r="R125" s="39">
        <f>Q125/Summary!$Q$16</f>
        <v>0</v>
      </c>
      <c r="S125" s="39"/>
      <c r="T125" s="35"/>
      <c r="U125" s="40">
        <f t="shared" ref="U125:U156" si="7">-IF(Q125-T125=0,0,(Q125-T125)/T125)</f>
        <v>0</v>
      </c>
    </row>
    <row r="126" spans="1:21" s="3" customFormat="1" ht="24.95" hidden="1" customHeight="1">
      <c r="A126" s="3" t="s">
        <v>953</v>
      </c>
      <c r="B126" s="3" t="s">
        <v>49</v>
      </c>
      <c r="D126" s="26" t="s">
        <v>954</v>
      </c>
      <c r="E126" s="43">
        <f>EO!E126+Finance!E126+HR!E126+Security!E126+IT!E126</f>
        <v>0</v>
      </c>
      <c r="F126" s="43">
        <f>EO!F126+Finance!F126+HR!F126+Security!F126+IT!F126</f>
        <v>0</v>
      </c>
      <c r="G126" s="43">
        <f>EO!G126+Finance!G126+HR!G126+Security!G126+IT!G126</f>
        <v>0</v>
      </c>
      <c r="H126" s="43">
        <f>EO!H126+Finance!H126+HR!H126+Security!H126+IT!H126</f>
        <v>0</v>
      </c>
      <c r="I126" s="43">
        <f>EO!I126+Finance!I126+HR!I126+Security!I126+IT!I126</f>
        <v>0</v>
      </c>
      <c r="J126" s="43">
        <f>EO!J126+Finance!J126+HR!J126+Security!J126+IT!J126</f>
        <v>0</v>
      </c>
      <c r="K126" s="43">
        <f>EO!K126+Finance!K126+HR!K126+Security!K126+IT!K126</f>
        <v>0</v>
      </c>
      <c r="L126" s="43">
        <f>EO!L126+Finance!L126+HR!L126+Security!L126+IT!L126</f>
        <v>0</v>
      </c>
      <c r="M126" s="43">
        <f>EO!M126+Finance!M126+HR!M126+Security!M126+IT!M126</f>
        <v>0</v>
      </c>
      <c r="N126" s="43">
        <f>EO!N126+Finance!N126+HR!N126+Security!N126+IT!N126</f>
        <v>0</v>
      </c>
      <c r="O126" s="43">
        <f>EO!O126+Finance!O126+HR!O126+Security!O126+IT!O126</f>
        <v>0</v>
      </c>
      <c r="P126" s="43">
        <f>EO!P126+Finance!P126+HR!P126+Security!P126+IT!P126</f>
        <v>0</v>
      </c>
      <c r="Q126" s="3">
        <f t="shared" si="5"/>
        <v>0</v>
      </c>
      <c r="R126" s="39">
        <f>Q126/Summary!$Q$16</f>
        <v>0</v>
      </c>
      <c r="S126" s="39"/>
      <c r="T126" s="35"/>
      <c r="U126" s="40">
        <f t="shared" si="7"/>
        <v>0</v>
      </c>
    </row>
    <row r="127" spans="1:21" s="3" customFormat="1" ht="24.95" hidden="1" customHeight="1">
      <c r="A127" s="3" t="s">
        <v>955</v>
      </c>
      <c r="B127" s="3" t="s">
        <v>49</v>
      </c>
      <c r="D127" s="26" t="s">
        <v>956</v>
      </c>
      <c r="E127" s="43">
        <f>EO!E127+Finance!E127+HR!E127+Security!E127+IT!E127</f>
        <v>0</v>
      </c>
      <c r="F127" s="43">
        <f>EO!F127+Finance!F127+HR!F127+Security!F127+IT!F127</f>
        <v>0</v>
      </c>
      <c r="G127" s="43">
        <f>EO!G127+Finance!G127+HR!G127+Security!G127+IT!G127</f>
        <v>0</v>
      </c>
      <c r="H127" s="43">
        <f>EO!H127+Finance!H127+HR!H127+Security!H127+IT!H127</f>
        <v>0</v>
      </c>
      <c r="I127" s="43">
        <f>EO!I127+Finance!I127+HR!I127+Security!I127+IT!I127</f>
        <v>0</v>
      </c>
      <c r="J127" s="43">
        <f>EO!J127+Finance!J127+HR!J127+Security!J127+IT!J127</f>
        <v>0</v>
      </c>
      <c r="K127" s="43">
        <f>EO!K127+Finance!K127+HR!K127+Security!K127+IT!K127</f>
        <v>0</v>
      </c>
      <c r="L127" s="43">
        <f>EO!L127+Finance!L127+HR!L127+Security!L127+IT!L127</f>
        <v>0</v>
      </c>
      <c r="M127" s="43">
        <f>EO!M127+Finance!M127+HR!M127+Security!M127+IT!M127</f>
        <v>0</v>
      </c>
      <c r="N127" s="43">
        <f>EO!N127+Finance!N127+HR!N127+Security!N127+IT!N127</f>
        <v>0</v>
      </c>
      <c r="O127" s="43">
        <f>EO!O127+Finance!O127+HR!O127+Security!O127+IT!O127</f>
        <v>0</v>
      </c>
      <c r="P127" s="43">
        <f>EO!P127+Finance!P127+HR!P127+Security!P127+IT!P127</f>
        <v>0</v>
      </c>
      <c r="Q127" s="3">
        <f t="shared" si="5"/>
        <v>0</v>
      </c>
      <c r="R127" s="39">
        <f>Q127/Summary!$Q$16</f>
        <v>0</v>
      </c>
      <c r="S127" s="39"/>
      <c r="T127" s="35"/>
      <c r="U127" s="40">
        <f t="shared" si="7"/>
        <v>0</v>
      </c>
    </row>
    <row r="128" spans="1:21" s="3" customFormat="1" ht="24.95" hidden="1" customHeight="1">
      <c r="A128" s="3" t="s">
        <v>957</v>
      </c>
      <c r="B128" s="3" t="s">
        <v>49</v>
      </c>
      <c r="D128" s="26" t="s">
        <v>958</v>
      </c>
      <c r="E128" s="43">
        <f>EO!E128+Finance!E128+HR!E128+Security!E128+IT!E128</f>
        <v>0</v>
      </c>
      <c r="F128" s="43">
        <f>EO!F128+Finance!F128+HR!F128+Security!F128+IT!F128</f>
        <v>0</v>
      </c>
      <c r="G128" s="43">
        <f>EO!G128+Finance!G128+HR!G128+Security!G128+IT!G128</f>
        <v>0</v>
      </c>
      <c r="H128" s="43">
        <f>EO!H128+Finance!H128+HR!H128+Security!H128+IT!H128</f>
        <v>0</v>
      </c>
      <c r="I128" s="43">
        <f>EO!I128+Finance!I128+HR!I128+Security!I128+IT!I128</f>
        <v>0</v>
      </c>
      <c r="J128" s="43">
        <f>EO!J128+Finance!J128+HR!J128+Security!J128+IT!J128</f>
        <v>0</v>
      </c>
      <c r="K128" s="43">
        <f>EO!K128+Finance!K128+HR!K128+Security!K128+IT!K128</f>
        <v>0</v>
      </c>
      <c r="L128" s="43">
        <f>EO!L128+Finance!L128+HR!L128+Security!L128+IT!L128</f>
        <v>0</v>
      </c>
      <c r="M128" s="43">
        <f>EO!M128+Finance!M128+HR!M128+Security!M128+IT!M128</f>
        <v>0</v>
      </c>
      <c r="N128" s="43">
        <f>EO!N128+Finance!N128+HR!N128+Security!N128+IT!N128</f>
        <v>0</v>
      </c>
      <c r="O128" s="43">
        <f>EO!O128+Finance!O128+HR!O128+Security!O128+IT!O128</f>
        <v>0</v>
      </c>
      <c r="P128" s="43">
        <f>EO!P128+Finance!P128+HR!P128+Security!P128+IT!P128</f>
        <v>0</v>
      </c>
      <c r="Q128" s="3">
        <f t="shared" si="5"/>
        <v>0</v>
      </c>
      <c r="R128" s="39">
        <f>Q128/Summary!$Q$16</f>
        <v>0</v>
      </c>
      <c r="S128" s="39"/>
      <c r="T128" s="35"/>
      <c r="U128" s="40">
        <f t="shared" si="7"/>
        <v>0</v>
      </c>
    </row>
    <row r="129" spans="1:21" s="3" customFormat="1" ht="24.95" hidden="1" customHeight="1">
      <c r="A129" s="3" t="s">
        <v>959</v>
      </c>
      <c r="B129" s="3" t="s">
        <v>49</v>
      </c>
      <c r="D129" s="26" t="s">
        <v>960</v>
      </c>
      <c r="E129" s="43">
        <f>EO!E129+Finance!E129+HR!E129+Security!E129+IT!E129</f>
        <v>0</v>
      </c>
      <c r="F129" s="43">
        <f>EO!F129+Finance!F129+HR!F129+Security!F129+IT!F129</f>
        <v>0</v>
      </c>
      <c r="G129" s="43">
        <f>EO!G129+Finance!G129+HR!G129+Security!G129+IT!G129</f>
        <v>0</v>
      </c>
      <c r="H129" s="43">
        <f>EO!H129+Finance!H129+HR!H129+Security!H129+IT!H129</f>
        <v>0</v>
      </c>
      <c r="I129" s="43">
        <f>EO!I129+Finance!I129+HR!I129+Security!I129+IT!I129</f>
        <v>0</v>
      </c>
      <c r="J129" s="43">
        <f>EO!J129+Finance!J129+HR!J129+Security!J129+IT!J129</f>
        <v>0</v>
      </c>
      <c r="K129" s="43">
        <f>EO!K129+Finance!K129+HR!K129+Security!K129+IT!K129</f>
        <v>0</v>
      </c>
      <c r="L129" s="43">
        <f>EO!L129+Finance!L129+HR!L129+Security!L129+IT!L129</f>
        <v>0</v>
      </c>
      <c r="M129" s="43">
        <f>EO!M129+Finance!M129+HR!M129+Security!M129+IT!M129</f>
        <v>0</v>
      </c>
      <c r="N129" s="43">
        <f>EO!N129+Finance!N129+HR!N129+Security!N129+IT!N129</f>
        <v>0</v>
      </c>
      <c r="O129" s="43">
        <f>EO!O129+Finance!O129+HR!O129+Security!O129+IT!O129</f>
        <v>0</v>
      </c>
      <c r="P129" s="43">
        <f>EO!P129+Finance!P129+HR!P129+Security!P129+IT!P129</f>
        <v>0</v>
      </c>
      <c r="Q129" s="3">
        <f t="shared" si="5"/>
        <v>0</v>
      </c>
      <c r="R129" s="39">
        <f>Q129/Summary!$Q$16</f>
        <v>0</v>
      </c>
      <c r="S129" s="39"/>
      <c r="T129" s="35"/>
      <c r="U129" s="40">
        <f t="shared" si="7"/>
        <v>0</v>
      </c>
    </row>
    <row r="130" spans="1:21" s="3" customFormat="1" ht="24.95" hidden="1" customHeight="1">
      <c r="A130" s="3" t="s">
        <v>961</v>
      </c>
      <c r="B130" s="3" t="s">
        <v>49</v>
      </c>
      <c r="D130" s="26" t="s">
        <v>962</v>
      </c>
      <c r="E130" s="43">
        <f>EO!E130+Finance!E130+HR!E130+Security!E130+IT!E130</f>
        <v>0</v>
      </c>
      <c r="F130" s="43">
        <f>EO!F130+Finance!F130+HR!F130+Security!F130+IT!F130</f>
        <v>0</v>
      </c>
      <c r="G130" s="43">
        <f>EO!G130+Finance!G130+HR!G130+Security!G130+IT!G130</f>
        <v>0</v>
      </c>
      <c r="H130" s="43">
        <f>EO!H130+Finance!H130+HR!H130+Security!H130+IT!H130</f>
        <v>0</v>
      </c>
      <c r="I130" s="43">
        <f>EO!I130+Finance!I130+HR!I130+Security!I130+IT!I130</f>
        <v>0</v>
      </c>
      <c r="J130" s="43">
        <f>EO!J130+Finance!J130+HR!J130+Security!J130+IT!J130</f>
        <v>0</v>
      </c>
      <c r="K130" s="43">
        <f>EO!K130+Finance!K130+HR!K130+Security!K130+IT!K130</f>
        <v>0</v>
      </c>
      <c r="L130" s="43">
        <f>EO!L130+Finance!L130+HR!L130+Security!L130+IT!L130</f>
        <v>0</v>
      </c>
      <c r="M130" s="43">
        <f>EO!M130+Finance!M130+HR!M130+Security!M130+IT!M130</f>
        <v>0</v>
      </c>
      <c r="N130" s="43">
        <f>EO!N130+Finance!N130+HR!N130+Security!N130+IT!N130</f>
        <v>0</v>
      </c>
      <c r="O130" s="43">
        <f>EO!O130+Finance!O130+HR!O130+Security!O130+IT!O130</f>
        <v>0</v>
      </c>
      <c r="P130" s="43">
        <f>EO!P130+Finance!P130+HR!P130+Security!P130+IT!P130</f>
        <v>0</v>
      </c>
      <c r="Q130" s="3">
        <f t="shared" si="5"/>
        <v>0</v>
      </c>
      <c r="R130" s="39">
        <f>Q130/Summary!$Q$16</f>
        <v>0</v>
      </c>
      <c r="S130" s="39"/>
      <c r="T130" s="35"/>
      <c r="U130" s="40">
        <f t="shared" si="7"/>
        <v>0</v>
      </c>
    </row>
    <row r="131" spans="1:21" s="3" customFormat="1" ht="24.95" hidden="1" customHeight="1">
      <c r="A131" s="3" t="s">
        <v>963</v>
      </c>
      <c r="B131" s="3" t="s">
        <v>49</v>
      </c>
      <c r="D131" s="26" t="s">
        <v>964</v>
      </c>
      <c r="E131" s="43">
        <f>EO!E131+Finance!E131+HR!E131+Security!E131+IT!E131</f>
        <v>0</v>
      </c>
      <c r="F131" s="43">
        <f>EO!F131+Finance!F131+HR!F131+Security!F131+IT!F131</f>
        <v>0</v>
      </c>
      <c r="G131" s="43">
        <f>EO!G131+Finance!G131+HR!G131+Security!G131+IT!G131</f>
        <v>0</v>
      </c>
      <c r="H131" s="43">
        <f>EO!H131+Finance!H131+HR!H131+Security!H131+IT!H131</f>
        <v>0</v>
      </c>
      <c r="I131" s="43">
        <f>EO!I131+Finance!I131+HR!I131+Security!I131+IT!I131</f>
        <v>0</v>
      </c>
      <c r="J131" s="43">
        <f>EO!J131+Finance!J131+HR!J131+Security!J131+IT!J131</f>
        <v>0</v>
      </c>
      <c r="K131" s="43">
        <f>EO!K131+Finance!K131+HR!K131+Security!K131+IT!K131</f>
        <v>0</v>
      </c>
      <c r="L131" s="43">
        <f>EO!L131+Finance!L131+HR!L131+Security!L131+IT!L131</f>
        <v>0</v>
      </c>
      <c r="M131" s="43">
        <f>EO!M131+Finance!M131+HR!M131+Security!M131+IT!M131</f>
        <v>0</v>
      </c>
      <c r="N131" s="43">
        <f>EO!N131+Finance!N131+HR!N131+Security!N131+IT!N131</f>
        <v>0</v>
      </c>
      <c r="O131" s="43">
        <f>EO!O131+Finance!O131+HR!O131+Security!O131+IT!O131</f>
        <v>0</v>
      </c>
      <c r="P131" s="43">
        <f>EO!P131+Finance!P131+HR!P131+Security!P131+IT!P131</f>
        <v>0</v>
      </c>
      <c r="Q131" s="3">
        <f t="shared" si="5"/>
        <v>0</v>
      </c>
      <c r="R131" s="39">
        <f>Q131/Summary!$Q$16</f>
        <v>0</v>
      </c>
      <c r="S131" s="39"/>
      <c r="T131" s="35"/>
      <c r="U131" s="40">
        <f t="shared" si="7"/>
        <v>0</v>
      </c>
    </row>
    <row r="132" spans="1:21" s="3" customFormat="1" ht="24.95" hidden="1" customHeight="1">
      <c r="A132" s="3" t="s">
        <v>965</v>
      </c>
      <c r="B132" s="3" t="s">
        <v>49</v>
      </c>
      <c r="D132" s="26" t="s">
        <v>966</v>
      </c>
      <c r="E132" s="43">
        <f>EO!E132+Finance!E132+HR!E132+Security!E132+IT!E132</f>
        <v>0</v>
      </c>
      <c r="F132" s="43">
        <f>EO!F132+Finance!F132+HR!F132+Security!F132+IT!F132</f>
        <v>0</v>
      </c>
      <c r="G132" s="43">
        <f>EO!G132+Finance!G132+HR!G132+Security!G132+IT!G132</f>
        <v>0</v>
      </c>
      <c r="H132" s="43">
        <f>EO!H132+Finance!H132+HR!H132+Security!H132+IT!H132</f>
        <v>0</v>
      </c>
      <c r="I132" s="43">
        <f>EO!I132+Finance!I132+HR!I132+Security!I132+IT!I132</f>
        <v>0</v>
      </c>
      <c r="J132" s="43">
        <f>EO!J132+Finance!J132+HR!J132+Security!J132+IT!J132</f>
        <v>0</v>
      </c>
      <c r="K132" s="43">
        <f>EO!K132+Finance!K132+HR!K132+Security!K132+IT!K132</f>
        <v>0</v>
      </c>
      <c r="L132" s="43">
        <f>EO!L132+Finance!L132+HR!L132+Security!L132+IT!L132</f>
        <v>0</v>
      </c>
      <c r="M132" s="43">
        <f>EO!M132+Finance!M132+HR!M132+Security!M132+IT!M132</f>
        <v>0</v>
      </c>
      <c r="N132" s="43">
        <f>EO!N132+Finance!N132+HR!N132+Security!N132+IT!N132</f>
        <v>0</v>
      </c>
      <c r="O132" s="43">
        <f>EO!O132+Finance!O132+HR!O132+Security!O132+IT!O132</f>
        <v>0</v>
      </c>
      <c r="P132" s="43">
        <f>EO!P132+Finance!P132+HR!P132+Security!P132+IT!P132</f>
        <v>0</v>
      </c>
      <c r="Q132" s="3">
        <f t="shared" si="5"/>
        <v>0</v>
      </c>
      <c r="R132" s="39">
        <f>Q132/Summary!$Q$16</f>
        <v>0</v>
      </c>
      <c r="S132" s="39"/>
      <c r="T132" s="35"/>
      <c r="U132" s="40">
        <f t="shared" si="7"/>
        <v>0</v>
      </c>
    </row>
    <row r="133" spans="1:21" s="3" customFormat="1" ht="24.95" hidden="1" customHeight="1">
      <c r="A133" s="3" t="s">
        <v>967</v>
      </c>
      <c r="B133" s="3" t="s">
        <v>49</v>
      </c>
      <c r="D133" s="26" t="s">
        <v>968</v>
      </c>
      <c r="E133" s="43">
        <f>EO!E133+Finance!E133+HR!E133+Security!E133+IT!E133</f>
        <v>0</v>
      </c>
      <c r="F133" s="43">
        <f>EO!F133+Finance!F133+HR!F133+Security!F133+IT!F133</f>
        <v>0</v>
      </c>
      <c r="G133" s="43">
        <f>EO!G133+Finance!G133+HR!G133+Security!G133+IT!G133</f>
        <v>0</v>
      </c>
      <c r="H133" s="43">
        <f>EO!H133+Finance!H133+HR!H133+Security!H133+IT!H133</f>
        <v>0</v>
      </c>
      <c r="I133" s="43">
        <f>EO!I133+Finance!I133+HR!I133+Security!I133+IT!I133</f>
        <v>0</v>
      </c>
      <c r="J133" s="43">
        <f>EO!J133+Finance!J133+HR!J133+Security!J133+IT!J133</f>
        <v>0</v>
      </c>
      <c r="K133" s="43">
        <f>EO!K133+Finance!K133+HR!K133+Security!K133+IT!K133</f>
        <v>0</v>
      </c>
      <c r="L133" s="43">
        <f>EO!L133+Finance!L133+HR!L133+Security!L133+IT!L133</f>
        <v>0</v>
      </c>
      <c r="M133" s="43">
        <f>EO!M133+Finance!M133+HR!M133+Security!M133+IT!M133</f>
        <v>0</v>
      </c>
      <c r="N133" s="43">
        <f>EO!N133+Finance!N133+HR!N133+Security!N133+IT!N133</f>
        <v>0</v>
      </c>
      <c r="O133" s="43">
        <f>EO!O133+Finance!O133+HR!O133+Security!O133+IT!O133</f>
        <v>0</v>
      </c>
      <c r="P133" s="43">
        <f>EO!P133+Finance!P133+HR!P133+Security!P133+IT!P133</f>
        <v>0</v>
      </c>
      <c r="Q133" s="3">
        <f t="shared" si="5"/>
        <v>0</v>
      </c>
      <c r="R133" s="39">
        <f>Q133/Summary!$Q$16</f>
        <v>0</v>
      </c>
      <c r="S133" s="39"/>
      <c r="T133" s="35"/>
      <c r="U133" s="40">
        <f t="shared" si="7"/>
        <v>0</v>
      </c>
    </row>
    <row r="134" spans="1:21" s="3" customFormat="1" ht="24.95" hidden="1" customHeight="1">
      <c r="A134" s="3" t="s">
        <v>969</v>
      </c>
      <c r="B134" s="3" t="s">
        <v>49</v>
      </c>
      <c r="D134" s="26" t="s">
        <v>970</v>
      </c>
      <c r="E134" s="43">
        <f>EO!E134+Finance!E134+HR!E134+Security!E134+IT!E134</f>
        <v>0</v>
      </c>
      <c r="F134" s="43">
        <f>EO!F134+Finance!F134+HR!F134+Security!F134+IT!F134</f>
        <v>0</v>
      </c>
      <c r="G134" s="43">
        <f>EO!G134+Finance!G134+HR!G134+Security!G134+IT!G134</f>
        <v>0</v>
      </c>
      <c r="H134" s="43">
        <f>EO!H134+Finance!H134+HR!H134+Security!H134+IT!H134</f>
        <v>0</v>
      </c>
      <c r="I134" s="43">
        <f>EO!I134+Finance!I134+HR!I134+Security!I134+IT!I134</f>
        <v>0</v>
      </c>
      <c r="J134" s="43">
        <f>EO!J134+Finance!J134+HR!J134+Security!J134+IT!J134</f>
        <v>0</v>
      </c>
      <c r="K134" s="43">
        <f>EO!K134+Finance!K134+HR!K134+Security!K134+IT!K134</f>
        <v>0</v>
      </c>
      <c r="L134" s="43">
        <f>EO!L134+Finance!L134+HR!L134+Security!L134+IT!L134</f>
        <v>0</v>
      </c>
      <c r="M134" s="43">
        <f>EO!M134+Finance!M134+HR!M134+Security!M134+IT!M134</f>
        <v>0</v>
      </c>
      <c r="N134" s="43">
        <f>EO!N134+Finance!N134+HR!N134+Security!N134+IT!N134</f>
        <v>0</v>
      </c>
      <c r="O134" s="43">
        <f>EO!O134+Finance!O134+HR!O134+Security!O134+IT!O134</f>
        <v>0</v>
      </c>
      <c r="P134" s="43">
        <f>EO!P134+Finance!P134+HR!P134+Security!P134+IT!P134</f>
        <v>0</v>
      </c>
      <c r="Q134" s="3">
        <f t="shared" si="5"/>
        <v>0</v>
      </c>
      <c r="R134" s="39">
        <f>Q134/Summary!$Q$16</f>
        <v>0</v>
      </c>
      <c r="S134" s="39"/>
      <c r="T134" s="35"/>
      <c r="U134" s="40">
        <f t="shared" si="7"/>
        <v>0</v>
      </c>
    </row>
    <row r="135" spans="1:21" s="3" customFormat="1" ht="24.95" hidden="1" customHeight="1">
      <c r="A135" s="3" t="s">
        <v>971</v>
      </c>
      <c r="B135" s="3" t="s">
        <v>49</v>
      </c>
      <c r="D135" s="26" t="s">
        <v>972</v>
      </c>
      <c r="E135" s="43">
        <f>EO!E135+Finance!E135+HR!E135+Security!E135+IT!E135</f>
        <v>0</v>
      </c>
      <c r="F135" s="43">
        <f>EO!F135+Finance!F135+HR!F135+Security!F135+IT!F135</f>
        <v>0</v>
      </c>
      <c r="G135" s="43">
        <f>EO!G135+Finance!G135+HR!G135+Security!G135+IT!G135</f>
        <v>0</v>
      </c>
      <c r="H135" s="43">
        <f>EO!H135+Finance!H135+HR!H135+Security!H135+IT!H135</f>
        <v>0</v>
      </c>
      <c r="I135" s="43">
        <f>EO!I135+Finance!I135+HR!I135+Security!I135+IT!I135</f>
        <v>0</v>
      </c>
      <c r="J135" s="43">
        <f>EO!J135+Finance!J135+HR!J135+Security!J135+IT!J135</f>
        <v>0</v>
      </c>
      <c r="K135" s="43">
        <f>EO!K135+Finance!K135+HR!K135+Security!K135+IT!K135</f>
        <v>0</v>
      </c>
      <c r="L135" s="43">
        <f>EO!L135+Finance!L135+HR!L135+Security!L135+IT!L135</f>
        <v>0</v>
      </c>
      <c r="M135" s="43">
        <f>EO!M135+Finance!M135+HR!M135+Security!M135+IT!M135</f>
        <v>0</v>
      </c>
      <c r="N135" s="43">
        <f>EO!N135+Finance!N135+HR!N135+Security!N135+IT!N135</f>
        <v>0</v>
      </c>
      <c r="O135" s="43">
        <f>EO!O135+Finance!O135+HR!O135+Security!O135+IT!O135</f>
        <v>0</v>
      </c>
      <c r="P135" s="43">
        <f>EO!P135+Finance!P135+HR!P135+Security!P135+IT!P135</f>
        <v>0</v>
      </c>
      <c r="Q135" s="3">
        <f t="shared" si="5"/>
        <v>0</v>
      </c>
      <c r="R135" s="39">
        <f>Q135/Summary!$Q$16</f>
        <v>0</v>
      </c>
      <c r="S135" s="39"/>
      <c r="T135" s="35"/>
      <c r="U135" s="40">
        <f t="shared" si="7"/>
        <v>0</v>
      </c>
    </row>
    <row r="136" spans="1:21" s="3" customFormat="1" ht="24.95" hidden="1" customHeight="1">
      <c r="A136" s="3" t="s">
        <v>973</v>
      </c>
      <c r="B136" s="3" t="s">
        <v>49</v>
      </c>
      <c r="D136" s="26" t="s">
        <v>974</v>
      </c>
      <c r="E136" s="43">
        <f>EO!E136+Finance!E136+HR!E136+Security!E136+IT!E136</f>
        <v>0</v>
      </c>
      <c r="F136" s="43">
        <f>EO!F136+Finance!F136+HR!F136+Security!F136+IT!F136</f>
        <v>0</v>
      </c>
      <c r="G136" s="43">
        <f>EO!G136+Finance!G136+HR!G136+Security!G136+IT!G136</f>
        <v>0</v>
      </c>
      <c r="H136" s="43">
        <f>EO!H136+Finance!H136+HR!H136+Security!H136+IT!H136</f>
        <v>0</v>
      </c>
      <c r="I136" s="43">
        <f>EO!I136+Finance!I136+HR!I136+Security!I136+IT!I136</f>
        <v>0</v>
      </c>
      <c r="J136" s="43">
        <f>EO!J136+Finance!J136+HR!J136+Security!J136+IT!J136</f>
        <v>0</v>
      </c>
      <c r="K136" s="43">
        <f>EO!K136+Finance!K136+HR!K136+Security!K136+IT!K136</f>
        <v>0</v>
      </c>
      <c r="L136" s="43">
        <f>EO!L136+Finance!L136+HR!L136+Security!L136+IT!L136</f>
        <v>0</v>
      </c>
      <c r="M136" s="43">
        <f>EO!M136+Finance!M136+HR!M136+Security!M136+IT!M136</f>
        <v>0</v>
      </c>
      <c r="N136" s="43">
        <f>EO!N136+Finance!N136+HR!N136+Security!N136+IT!N136</f>
        <v>0</v>
      </c>
      <c r="O136" s="43">
        <f>EO!O136+Finance!O136+HR!O136+Security!O136+IT!O136</f>
        <v>0</v>
      </c>
      <c r="P136" s="43">
        <f>EO!P136+Finance!P136+HR!P136+Security!P136+IT!P136</f>
        <v>0</v>
      </c>
      <c r="Q136" s="3">
        <f t="shared" si="5"/>
        <v>0</v>
      </c>
      <c r="R136" s="39">
        <f>Q136/Summary!$Q$16</f>
        <v>0</v>
      </c>
      <c r="S136" s="39"/>
      <c r="T136" s="35"/>
      <c r="U136" s="40">
        <f t="shared" si="7"/>
        <v>0</v>
      </c>
    </row>
    <row r="137" spans="1:21" s="3" customFormat="1" ht="24.95" hidden="1" customHeight="1">
      <c r="A137" s="3" t="s">
        <v>975</v>
      </c>
      <c r="B137" s="3" t="s">
        <v>49</v>
      </c>
      <c r="D137" s="26" t="s">
        <v>976</v>
      </c>
      <c r="E137" s="43">
        <f>EO!E137+Finance!E137+HR!E137+Security!E137+IT!E137</f>
        <v>0</v>
      </c>
      <c r="F137" s="43">
        <f>EO!F137+Finance!F137+HR!F137+Security!F137+IT!F137</f>
        <v>0</v>
      </c>
      <c r="G137" s="43">
        <f>EO!G137+Finance!G137+HR!G137+Security!G137+IT!G137</f>
        <v>0</v>
      </c>
      <c r="H137" s="43">
        <f>EO!H137+Finance!H137+HR!H137+Security!H137+IT!H137</f>
        <v>0</v>
      </c>
      <c r="I137" s="43">
        <f>EO!I137+Finance!I137+HR!I137+Security!I137+IT!I137</f>
        <v>0</v>
      </c>
      <c r="J137" s="43">
        <f>EO!J137+Finance!J137+HR!J137+Security!J137+IT!J137</f>
        <v>0</v>
      </c>
      <c r="K137" s="43">
        <f>EO!K137+Finance!K137+HR!K137+Security!K137+IT!K137</f>
        <v>0</v>
      </c>
      <c r="L137" s="43">
        <f>EO!L137+Finance!L137+HR!L137+Security!L137+IT!L137</f>
        <v>0</v>
      </c>
      <c r="M137" s="43">
        <f>EO!M137+Finance!M137+HR!M137+Security!M137+IT!M137</f>
        <v>0</v>
      </c>
      <c r="N137" s="43">
        <f>EO!N137+Finance!N137+HR!N137+Security!N137+IT!N137</f>
        <v>0</v>
      </c>
      <c r="O137" s="43">
        <f>EO!O137+Finance!O137+HR!O137+Security!O137+IT!O137</f>
        <v>0</v>
      </c>
      <c r="P137" s="43">
        <f>EO!P137+Finance!P137+HR!P137+Security!P137+IT!P137</f>
        <v>0</v>
      </c>
      <c r="Q137" s="3">
        <f t="shared" si="5"/>
        <v>0</v>
      </c>
      <c r="R137" s="39">
        <f>Q137/Summary!$Q$16</f>
        <v>0</v>
      </c>
      <c r="S137" s="39"/>
      <c r="T137" s="35"/>
      <c r="U137" s="40">
        <f t="shared" si="7"/>
        <v>0</v>
      </c>
    </row>
    <row r="138" spans="1:21" s="3" customFormat="1" ht="24.95" hidden="1" customHeight="1">
      <c r="A138" s="3" t="s">
        <v>977</v>
      </c>
      <c r="B138" s="3" t="s">
        <v>49</v>
      </c>
      <c r="D138" s="26" t="s">
        <v>978</v>
      </c>
      <c r="E138" s="43">
        <f>EO!E138+Finance!E138+HR!E138+Security!E138+IT!E138</f>
        <v>0</v>
      </c>
      <c r="F138" s="43">
        <f>EO!F138+Finance!F138+HR!F138+Security!F138+IT!F138</f>
        <v>0</v>
      </c>
      <c r="G138" s="43">
        <f>EO!G138+Finance!G138+HR!G138+Security!G138+IT!G138</f>
        <v>0</v>
      </c>
      <c r="H138" s="43">
        <f>EO!H138+Finance!H138+HR!H138+Security!H138+IT!H138</f>
        <v>0</v>
      </c>
      <c r="I138" s="43">
        <f>EO!I138+Finance!I138+HR!I138+Security!I138+IT!I138</f>
        <v>0</v>
      </c>
      <c r="J138" s="43">
        <f>EO!J138+Finance!J138+HR!J138+Security!J138+IT!J138</f>
        <v>0</v>
      </c>
      <c r="K138" s="43">
        <f>EO!K138+Finance!K138+HR!K138+Security!K138+IT!K138</f>
        <v>0</v>
      </c>
      <c r="L138" s="43">
        <f>EO!L138+Finance!L138+HR!L138+Security!L138+IT!L138</f>
        <v>0</v>
      </c>
      <c r="M138" s="43">
        <f>EO!M138+Finance!M138+HR!M138+Security!M138+IT!M138</f>
        <v>0</v>
      </c>
      <c r="N138" s="43">
        <f>EO!N138+Finance!N138+HR!N138+Security!N138+IT!N138</f>
        <v>0</v>
      </c>
      <c r="O138" s="43">
        <f>EO!O138+Finance!O138+HR!O138+Security!O138+IT!O138</f>
        <v>0</v>
      </c>
      <c r="P138" s="43">
        <f>EO!P138+Finance!P138+HR!P138+Security!P138+IT!P138</f>
        <v>0</v>
      </c>
      <c r="Q138" s="3">
        <f t="shared" si="5"/>
        <v>0</v>
      </c>
      <c r="R138" s="39">
        <f>Q138/Summary!$Q$16</f>
        <v>0</v>
      </c>
      <c r="S138" s="39"/>
      <c r="T138" s="35"/>
      <c r="U138" s="40">
        <f t="shared" si="7"/>
        <v>0</v>
      </c>
    </row>
    <row r="139" spans="1:21" s="3" customFormat="1" ht="24.95" hidden="1" customHeight="1">
      <c r="A139" s="3" t="s">
        <v>979</v>
      </c>
      <c r="B139" s="3" t="s">
        <v>49</v>
      </c>
      <c r="D139" s="26" t="s">
        <v>980</v>
      </c>
      <c r="E139" s="43">
        <f>EO!E139+Finance!E139+HR!E139+Security!E139+IT!E139</f>
        <v>0</v>
      </c>
      <c r="F139" s="43">
        <f>EO!F139+Finance!F139+HR!F139+Security!F139+IT!F139</f>
        <v>0</v>
      </c>
      <c r="G139" s="43">
        <f>EO!G139+Finance!G139+HR!G139+Security!G139+IT!G139</f>
        <v>0</v>
      </c>
      <c r="H139" s="43">
        <f>EO!H139+Finance!H139+HR!H139+Security!H139+IT!H139</f>
        <v>0</v>
      </c>
      <c r="I139" s="43">
        <f>EO!I139+Finance!I139+HR!I139+Security!I139+IT!I139</f>
        <v>0</v>
      </c>
      <c r="J139" s="43">
        <f>EO!J139+Finance!J139+HR!J139+Security!J139+IT!J139</f>
        <v>0</v>
      </c>
      <c r="K139" s="43">
        <f>EO!K139+Finance!K139+HR!K139+Security!K139+IT!K139</f>
        <v>0</v>
      </c>
      <c r="L139" s="43">
        <f>EO!L139+Finance!L139+HR!L139+Security!L139+IT!L139</f>
        <v>0</v>
      </c>
      <c r="M139" s="43">
        <f>EO!M139+Finance!M139+HR!M139+Security!M139+IT!M139</f>
        <v>0</v>
      </c>
      <c r="N139" s="43">
        <f>EO!N139+Finance!N139+HR!N139+Security!N139+IT!N139</f>
        <v>0</v>
      </c>
      <c r="O139" s="43">
        <f>EO!O139+Finance!O139+HR!O139+Security!O139+IT!O139</f>
        <v>0</v>
      </c>
      <c r="P139" s="43">
        <f>EO!P139+Finance!P139+HR!P139+Security!P139+IT!P139</f>
        <v>0</v>
      </c>
      <c r="Q139" s="3">
        <f t="shared" si="5"/>
        <v>0</v>
      </c>
      <c r="R139" s="39">
        <f>Q139/Summary!$Q$16</f>
        <v>0</v>
      </c>
      <c r="S139" s="39"/>
      <c r="T139" s="35"/>
      <c r="U139" s="40">
        <f t="shared" si="7"/>
        <v>0</v>
      </c>
    </row>
    <row r="140" spans="1:21" s="3" customFormat="1" ht="24.95" hidden="1" customHeight="1">
      <c r="A140" s="3" t="s">
        <v>981</v>
      </c>
      <c r="B140" s="3" t="s">
        <v>49</v>
      </c>
      <c r="D140" s="26" t="s">
        <v>982</v>
      </c>
      <c r="E140" s="43">
        <f>EO!E140+Finance!E140+HR!E140+Security!E140+IT!E140</f>
        <v>0</v>
      </c>
      <c r="F140" s="43">
        <f>EO!F140+Finance!F140+HR!F140+Security!F140+IT!F140</f>
        <v>0</v>
      </c>
      <c r="G140" s="43">
        <f>EO!G140+Finance!G140+HR!G140+Security!G140+IT!G140</f>
        <v>0</v>
      </c>
      <c r="H140" s="43">
        <f>EO!H140+Finance!H140+HR!H140+Security!H140+IT!H140</f>
        <v>0</v>
      </c>
      <c r="I140" s="43">
        <f>EO!I140+Finance!I140+HR!I140+Security!I140+IT!I140</f>
        <v>0</v>
      </c>
      <c r="J140" s="43">
        <f>EO!J140+Finance!J140+HR!J140+Security!J140+IT!J140</f>
        <v>0</v>
      </c>
      <c r="K140" s="43">
        <f>EO!K140+Finance!K140+HR!K140+Security!K140+IT!K140</f>
        <v>0</v>
      </c>
      <c r="L140" s="43">
        <f>EO!L140+Finance!L140+HR!L140+Security!L140+IT!L140</f>
        <v>0</v>
      </c>
      <c r="M140" s="43">
        <f>EO!M140+Finance!M140+HR!M140+Security!M140+IT!M140</f>
        <v>0</v>
      </c>
      <c r="N140" s="43">
        <f>EO!N140+Finance!N140+HR!N140+Security!N140+IT!N140</f>
        <v>0</v>
      </c>
      <c r="O140" s="43">
        <f>EO!O140+Finance!O140+HR!O140+Security!O140+IT!O140</f>
        <v>0</v>
      </c>
      <c r="P140" s="43">
        <f>EO!P140+Finance!P140+HR!P140+Security!P140+IT!P140</f>
        <v>0</v>
      </c>
      <c r="Q140" s="3">
        <f t="shared" si="5"/>
        <v>0</v>
      </c>
      <c r="R140" s="39">
        <f>Q140/Summary!$Q$16</f>
        <v>0</v>
      </c>
      <c r="S140" s="39"/>
      <c r="T140" s="35"/>
      <c r="U140" s="40">
        <f t="shared" si="7"/>
        <v>0</v>
      </c>
    </row>
    <row r="141" spans="1:21" s="3" customFormat="1" ht="24.95" hidden="1" customHeight="1">
      <c r="A141" s="3" t="s">
        <v>983</v>
      </c>
      <c r="B141" s="3" t="s">
        <v>49</v>
      </c>
      <c r="D141" s="26" t="s">
        <v>984</v>
      </c>
      <c r="E141" s="43">
        <f>EO!E141+Finance!E141+HR!E141+Security!E141+IT!E141</f>
        <v>0</v>
      </c>
      <c r="F141" s="43">
        <f>EO!F141+Finance!F141+HR!F141+Security!F141+IT!F141</f>
        <v>0</v>
      </c>
      <c r="G141" s="43">
        <f>EO!G141+Finance!G141+HR!G141+Security!G141+IT!G141</f>
        <v>0</v>
      </c>
      <c r="H141" s="43">
        <f>EO!H141+Finance!H141+HR!H141+Security!H141+IT!H141</f>
        <v>0</v>
      </c>
      <c r="I141" s="43">
        <f>EO!I141+Finance!I141+HR!I141+Security!I141+IT!I141</f>
        <v>0</v>
      </c>
      <c r="J141" s="43">
        <f>EO!J141+Finance!J141+HR!J141+Security!J141+IT!J141</f>
        <v>0</v>
      </c>
      <c r="K141" s="43">
        <f>EO!K141+Finance!K141+HR!K141+Security!K141+IT!K141</f>
        <v>0</v>
      </c>
      <c r="L141" s="43">
        <f>EO!L141+Finance!L141+HR!L141+Security!L141+IT!L141</f>
        <v>0</v>
      </c>
      <c r="M141" s="43">
        <f>EO!M141+Finance!M141+HR!M141+Security!M141+IT!M141</f>
        <v>0</v>
      </c>
      <c r="N141" s="43">
        <f>EO!N141+Finance!N141+HR!N141+Security!N141+IT!N141</f>
        <v>0</v>
      </c>
      <c r="O141" s="43">
        <f>EO!O141+Finance!O141+HR!O141+Security!O141+IT!O141</f>
        <v>0</v>
      </c>
      <c r="P141" s="43">
        <f>EO!P141+Finance!P141+HR!P141+Security!P141+IT!P141</f>
        <v>0</v>
      </c>
      <c r="Q141" s="3">
        <f t="shared" si="5"/>
        <v>0</v>
      </c>
      <c r="R141" s="39">
        <f>Q141/Summary!$Q$16</f>
        <v>0</v>
      </c>
      <c r="S141" s="39"/>
      <c r="T141" s="35"/>
      <c r="U141" s="40">
        <f t="shared" si="7"/>
        <v>0</v>
      </c>
    </row>
    <row r="142" spans="1:21" s="3" customFormat="1" ht="24.95" hidden="1" customHeight="1">
      <c r="A142" s="3" t="s">
        <v>985</v>
      </c>
      <c r="B142" s="3" t="s">
        <v>49</v>
      </c>
      <c r="D142" s="26" t="s">
        <v>986</v>
      </c>
      <c r="E142" s="43">
        <f>EO!E142+Finance!E142+HR!E142+Security!E142+IT!E142</f>
        <v>0</v>
      </c>
      <c r="F142" s="43">
        <f>EO!F142+Finance!F142+HR!F142+Security!F142+IT!F142</f>
        <v>0</v>
      </c>
      <c r="G142" s="43">
        <f>EO!G142+Finance!G142+HR!G142+Security!G142+IT!G142</f>
        <v>0</v>
      </c>
      <c r="H142" s="43">
        <f>EO!H142+Finance!H142+HR!H142+Security!H142+IT!H142</f>
        <v>0</v>
      </c>
      <c r="I142" s="43">
        <f>EO!I142+Finance!I142+HR!I142+Security!I142+IT!I142</f>
        <v>0</v>
      </c>
      <c r="J142" s="43">
        <f>EO!J142+Finance!J142+HR!J142+Security!J142+IT!J142</f>
        <v>0</v>
      </c>
      <c r="K142" s="43">
        <f>EO!K142+Finance!K142+HR!K142+Security!K142+IT!K142</f>
        <v>0</v>
      </c>
      <c r="L142" s="43">
        <f>EO!L142+Finance!L142+HR!L142+Security!L142+IT!L142</f>
        <v>0</v>
      </c>
      <c r="M142" s="43">
        <f>EO!M142+Finance!M142+HR!M142+Security!M142+IT!M142</f>
        <v>0</v>
      </c>
      <c r="N142" s="43">
        <f>EO!N142+Finance!N142+HR!N142+Security!N142+IT!N142</f>
        <v>0</v>
      </c>
      <c r="O142" s="43">
        <f>EO!O142+Finance!O142+HR!O142+Security!O142+IT!O142</f>
        <v>0</v>
      </c>
      <c r="P142" s="43">
        <f>EO!P142+Finance!P142+HR!P142+Security!P142+IT!P142</f>
        <v>0</v>
      </c>
      <c r="Q142" s="3">
        <f t="shared" si="5"/>
        <v>0</v>
      </c>
      <c r="R142" s="39">
        <f>Q142/Summary!$Q$16</f>
        <v>0</v>
      </c>
      <c r="S142" s="39"/>
      <c r="T142" s="35"/>
      <c r="U142" s="40">
        <f t="shared" si="7"/>
        <v>0</v>
      </c>
    </row>
    <row r="143" spans="1:21" s="3" customFormat="1" ht="24.95" hidden="1" customHeight="1">
      <c r="A143" s="3" t="s">
        <v>987</v>
      </c>
      <c r="B143" s="3" t="s">
        <v>49</v>
      </c>
      <c r="D143" s="26" t="s">
        <v>988</v>
      </c>
      <c r="E143" s="43">
        <f>EO!E143+Finance!E143+HR!E143+Security!E143+IT!E143</f>
        <v>0</v>
      </c>
      <c r="F143" s="43">
        <f>EO!F143+Finance!F143+HR!F143+Security!F143+IT!F143</f>
        <v>0</v>
      </c>
      <c r="G143" s="43">
        <f>EO!G143+Finance!G143+HR!G143+Security!G143+IT!G143</f>
        <v>0</v>
      </c>
      <c r="H143" s="43">
        <f>EO!H143+Finance!H143+HR!H143+Security!H143+IT!H143</f>
        <v>0</v>
      </c>
      <c r="I143" s="43">
        <f>EO!I143+Finance!I143+HR!I143+Security!I143+IT!I143</f>
        <v>0</v>
      </c>
      <c r="J143" s="43">
        <f>EO!J143+Finance!J143+HR!J143+Security!J143+IT!J143</f>
        <v>0</v>
      </c>
      <c r="K143" s="43">
        <f>EO!K143+Finance!K143+HR!K143+Security!K143+IT!K143</f>
        <v>0</v>
      </c>
      <c r="L143" s="43">
        <f>EO!L143+Finance!L143+HR!L143+Security!L143+IT!L143</f>
        <v>0</v>
      </c>
      <c r="M143" s="43">
        <f>EO!M143+Finance!M143+HR!M143+Security!M143+IT!M143</f>
        <v>0</v>
      </c>
      <c r="N143" s="43">
        <f>EO!N143+Finance!N143+HR!N143+Security!N143+IT!N143</f>
        <v>0</v>
      </c>
      <c r="O143" s="43">
        <f>EO!O143+Finance!O143+HR!O143+Security!O143+IT!O143</f>
        <v>0</v>
      </c>
      <c r="P143" s="43">
        <f>EO!P143+Finance!P143+HR!P143+Security!P143+IT!P143</f>
        <v>0</v>
      </c>
      <c r="Q143" s="3">
        <f t="shared" si="5"/>
        <v>0</v>
      </c>
      <c r="R143" s="39">
        <f>Q143/Summary!$Q$16</f>
        <v>0</v>
      </c>
      <c r="S143" s="39"/>
      <c r="T143" s="35"/>
      <c r="U143" s="40">
        <f t="shared" si="7"/>
        <v>0</v>
      </c>
    </row>
    <row r="144" spans="1:21" s="3" customFormat="1" ht="24.95" hidden="1" customHeight="1">
      <c r="A144" s="3" t="s">
        <v>989</v>
      </c>
      <c r="B144" s="3" t="s">
        <v>49</v>
      </c>
      <c r="D144" s="26" t="s">
        <v>990</v>
      </c>
      <c r="E144" s="43">
        <f>EO!E144+Finance!E144+HR!E144+Security!E144+IT!E144</f>
        <v>0</v>
      </c>
      <c r="F144" s="43">
        <f>EO!F144+Finance!F144+HR!F144+Security!F144+IT!F144</f>
        <v>0</v>
      </c>
      <c r="G144" s="43">
        <f>EO!G144+Finance!G144+HR!G144+Security!G144+IT!G144</f>
        <v>0</v>
      </c>
      <c r="H144" s="43">
        <f>EO!H144+Finance!H144+HR!H144+Security!H144+IT!H144</f>
        <v>0</v>
      </c>
      <c r="I144" s="43">
        <f>EO!I144+Finance!I144+HR!I144+Security!I144+IT!I144</f>
        <v>0</v>
      </c>
      <c r="J144" s="43">
        <f>EO!J144+Finance!J144+HR!J144+Security!J144+IT!J144</f>
        <v>0</v>
      </c>
      <c r="K144" s="43">
        <f>EO!K144+Finance!K144+HR!K144+Security!K144+IT!K144</f>
        <v>0</v>
      </c>
      <c r="L144" s="43">
        <f>EO!L144+Finance!L144+HR!L144+Security!L144+IT!L144</f>
        <v>0</v>
      </c>
      <c r="M144" s="43">
        <f>EO!M144+Finance!M144+HR!M144+Security!M144+IT!M144</f>
        <v>0</v>
      </c>
      <c r="N144" s="43">
        <f>EO!N144+Finance!N144+HR!N144+Security!N144+IT!N144</f>
        <v>0</v>
      </c>
      <c r="O144" s="43">
        <f>EO!O144+Finance!O144+HR!O144+Security!O144+IT!O144</f>
        <v>0</v>
      </c>
      <c r="P144" s="43">
        <f>EO!P144+Finance!P144+HR!P144+Security!P144+IT!P144</f>
        <v>0</v>
      </c>
      <c r="Q144" s="3">
        <f t="shared" ref="Q144:Q157" si="8">SUM(E144:P144)</f>
        <v>0</v>
      </c>
      <c r="R144" s="39">
        <f>Q144/Summary!$Q$16</f>
        <v>0</v>
      </c>
      <c r="S144" s="39"/>
      <c r="T144" s="35"/>
      <c r="U144" s="40">
        <f t="shared" si="7"/>
        <v>0</v>
      </c>
    </row>
    <row r="145" spans="1:21" s="3" customFormat="1" ht="24.95" hidden="1" customHeight="1">
      <c r="A145" s="3" t="s">
        <v>991</v>
      </c>
      <c r="B145" s="3" t="s">
        <v>49</v>
      </c>
      <c r="D145" s="26" t="s">
        <v>992</v>
      </c>
      <c r="E145" s="43">
        <f>EO!E145+Finance!E145+HR!E145+Security!E145+IT!E145</f>
        <v>0</v>
      </c>
      <c r="F145" s="43">
        <f>EO!F145+Finance!F145+HR!F145+Security!F145+IT!F145</f>
        <v>0</v>
      </c>
      <c r="G145" s="43">
        <f>EO!G145+Finance!G145+HR!G145+Security!G145+IT!G145</f>
        <v>0</v>
      </c>
      <c r="H145" s="43">
        <f>EO!H145+Finance!H145+HR!H145+Security!H145+IT!H145</f>
        <v>0</v>
      </c>
      <c r="I145" s="43">
        <f>EO!I145+Finance!I145+HR!I145+Security!I145+IT!I145</f>
        <v>0</v>
      </c>
      <c r="J145" s="43">
        <f>EO!J145+Finance!J145+HR!J145+Security!J145+IT!J145</f>
        <v>0</v>
      </c>
      <c r="K145" s="43">
        <f>EO!K145+Finance!K145+HR!K145+Security!K145+IT!K145</f>
        <v>0</v>
      </c>
      <c r="L145" s="43">
        <f>EO!L145+Finance!L145+HR!L145+Security!L145+IT!L145</f>
        <v>0</v>
      </c>
      <c r="M145" s="43">
        <f>EO!M145+Finance!M145+HR!M145+Security!M145+IT!M145</f>
        <v>0</v>
      </c>
      <c r="N145" s="43">
        <f>EO!N145+Finance!N145+HR!N145+Security!N145+IT!N145</f>
        <v>0</v>
      </c>
      <c r="O145" s="43">
        <f>EO!O145+Finance!O145+HR!O145+Security!O145+IT!O145</f>
        <v>0</v>
      </c>
      <c r="P145" s="43">
        <f>EO!P145+Finance!P145+HR!P145+Security!P145+IT!P145</f>
        <v>0</v>
      </c>
      <c r="Q145" s="3">
        <f t="shared" si="8"/>
        <v>0</v>
      </c>
      <c r="R145" s="39">
        <f>Q145/Summary!$Q$16</f>
        <v>0</v>
      </c>
      <c r="S145" s="39"/>
      <c r="T145" s="35"/>
      <c r="U145" s="40">
        <f t="shared" si="7"/>
        <v>0</v>
      </c>
    </row>
    <row r="146" spans="1:21" s="3" customFormat="1" ht="24.95" hidden="1" customHeight="1">
      <c r="A146" s="3" t="s">
        <v>993</v>
      </c>
      <c r="B146" s="3" t="s">
        <v>49</v>
      </c>
      <c r="D146" s="26" t="s">
        <v>994</v>
      </c>
      <c r="E146" s="43">
        <f>EO!E146+Finance!E146+HR!E146+Security!E146+IT!E146</f>
        <v>0</v>
      </c>
      <c r="F146" s="43">
        <f>EO!F146+Finance!F146+HR!F146+Security!F146+IT!F146</f>
        <v>0</v>
      </c>
      <c r="G146" s="43">
        <f>EO!G146+Finance!G146+HR!G146+Security!G146+IT!G146</f>
        <v>0</v>
      </c>
      <c r="H146" s="43">
        <f>EO!H146+Finance!H146+HR!H146+Security!H146+IT!H146</f>
        <v>0</v>
      </c>
      <c r="I146" s="43">
        <f>EO!I146+Finance!I146+HR!I146+Security!I146+IT!I146</f>
        <v>0</v>
      </c>
      <c r="J146" s="43">
        <f>EO!J146+Finance!J146+HR!J146+Security!J146+IT!J146</f>
        <v>0</v>
      </c>
      <c r="K146" s="43">
        <f>EO!K146+Finance!K146+HR!K146+Security!K146+IT!K146</f>
        <v>0</v>
      </c>
      <c r="L146" s="43">
        <f>EO!L146+Finance!L146+HR!L146+Security!L146+IT!L146</f>
        <v>0</v>
      </c>
      <c r="M146" s="43">
        <f>EO!M146+Finance!M146+HR!M146+Security!M146+IT!M146</f>
        <v>0</v>
      </c>
      <c r="N146" s="43">
        <f>EO!N146+Finance!N146+HR!N146+Security!N146+IT!N146</f>
        <v>0</v>
      </c>
      <c r="O146" s="43">
        <f>EO!O146+Finance!O146+HR!O146+Security!O146+IT!O146</f>
        <v>0</v>
      </c>
      <c r="P146" s="43">
        <f>EO!P146+Finance!P146+HR!P146+Security!P146+IT!P146</f>
        <v>0</v>
      </c>
      <c r="Q146" s="3">
        <f t="shared" si="8"/>
        <v>0</v>
      </c>
      <c r="R146" s="39">
        <f>Q146/Summary!$Q$16</f>
        <v>0</v>
      </c>
      <c r="S146" s="39"/>
      <c r="T146" s="35"/>
      <c r="U146" s="40">
        <f t="shared" si="7"/>
        <v>0</v>
      </c>
    </row>
    <row r="147" spans="1:21" s="3" customFormat="1" ht="24.95" hidden="1" customHeight="1">
      <c r="A147" s="3" t="s">
        <v>995</v>
      </c>
      <c r="B147" s="3" t="s">
        <v>49</v>
      </c>
      <c r="D147" s="26" t="s">
        <v>996</v>
      </c>
      <c r="E147" s="43">
        <f>EO!E147+Finance!E147+HR!E147+Security!E147+IT!E147</f>
        <v>0</v>
      </c>
      <c r="F147" s="43">
        <f>EO!F147+Finance!F147+HR!F147+Security!F147+IT!F147</f>
        <v>0</v>
      </c>
      <c r="G147" s="43">
        <f>EO!G147+Finance!G147+HR!G147+Security!G147+IT!G147</f>
        <v>0</v>
      </c>
      <c r="H147" s="43">
        <f>EO!H147+Finance!H147+HR!H147+Security!H147+IT!H147</f>
        <v>0</v>
      </c>
      <c r="I147" s="43">
        <f>EO!I147+Finance!I147+HR!I147+Security!I147+IT!I147</f>
        <v>0</v>
      </c>
      <c r="J147" s="43">
        <f>EO!J147+Finance!J147+HR!J147+Security!J147+IT!J147</f>
        <v>0</v>
      </c>
      <c r="K147" s="43">
        <f>EO!K147+Finance!K147+HR!K147+Security!K147+IT!K147</f>
        <v>0</v>
      </c>
      <c r="L147" s="43">
        <f>EO!L147+Finance!L147+HR!L147+Security!L147+IT!L147</f>
        <v>0</v>
      </c>
      <c r="M147" s="43">
        <f>EO!M147+Finance!M147+HR!M147+Security!M147+IT!M147</f>
        <v>0</v>
      </c>
      <c r="N147" s="43">
        <f>EO!N147+Finance!N147+HR!N147+Security!N147+IT!N147</f>
        <v>0</v>
      </c>
      <c r="O147" s="43">
        <f>EO!O147+Finance!O147+HR!O147+Security!O147+IT!O147</f>
        <v>0</v>
      </c>
      <c r="P147" s="43">
        <f>EO!P147+Finance!P147+HR!P147+Security!P147+IT!P147</f>
        <v>0</v>
      </c>
      <c r="Q147" s="3">
        <f t="shared" si="8"/>
        <v>0</v>
      </c>
      <c r="R147" s="39">
        <f>Q147/Summary!$Q$16</f>
        <v>0</v>
      </c>
      <c r="S147" s="39"/>
      <c r="T147" s="35"/>
      <c r="U147" s="40">
        <f t="shared" si="7"/>
        <v>0</v>
      </c>
    </row>
    <row r="148" spans="1:21" s="3" customFormat="1" ht="24.95" hidden="1" customHeight="1">
      <c r="A148" s="3" t="s">
        <v>997</v>
      </c>
      <c r="B148" s="3" t="s">
        <v>49</v>
      </c>
      <c r="D148" s="26" t="s">
        <v>998</v>
      </c>
      <c r="E148" s="43">
        <f>EO!E148+Finance!E148+HR!E148+Security!E148+IT!E148</f>
        <v>0</v>
      </c>
      <c r="F148" s="43">
        <f>EO!F148+Finance!F148+HR!F148+Security!F148+IT!F148</f>
        <v>0</v>
      </c>
      <c r="G148" s="43">
        <f>EO!G148+Finance!G148+HR!G148+Security!G148+IT!G148</f>
        <v>0</v>
      </c>
      <c r="H148" s="43">
        <f>EO!H148+Finance!H148+HR!H148+Security!H148+IT!H148</f>
        <v>0</v>
      </c>
      <c r="I148" s="43">
        <f>EO!I148+Finance!I148+HR!I148+Security!I148+IT!I148</f>
        <v>0</v>
      </c>
      <c r="J148" s="43">
        <f>EO!J148+Finance!J148+HR!J148+Security!J148+IT!J148</f>
        <v>0</v>
      </c>
      <c r="K148" s="43">
        <f>EO!K148+Finance!K148+HR!K148+Security!K148+IT!K148</f>
        <v>0</v>
      </c>
      <c r="L148" s="43">
        <f>EO!L148+Finance!L148+HR!L148+Security!L148+IT!L148</f>
        <v>0</v>
      </c>
      <c r="M148" s="43">
        <f>EO!M148+Finance!M148+HR!M148+Security!M148+IT!M148</f>
        <v>0</v>
      </c>
      <c r="N148" s="43">
        <f>EO!N148+Finance!N148+HR!N148+Security!N148+IT!N148</f>
        <v>0</v>
      </c>
      <c r="O148" s="43">
        <f>EO!O148+Finance!O148+HR!O148+Security!O148+IT!O148</f>
        <v>0</v>
      </c>
      <c r="P148" s="43">
        <f>EO!P148+Finance!P148+HR!P148+Security!P148+IT!P148</f>
        <v>0</v>
      </c>
      <c r="Q148" s="3">
        <f t="shared" si="8"/>
        <v>0</v>
      </c>
      <c r="R148" s="39">
        <f>Q148/Summary!$Q$16</f>
        <v>0</v>
      </c>
      <c r="S148" s="39"/>
      <c r="T148" s="35"/>
      <c r="U148" s="40">
        <f t="shared" si="7"/>
        <v>0</v>
      </c>
    </row>
    <row r="149" spans="1:21" s="3" customFormat="1" ht="24.95" hidden="1" customHeight="1">
      <c r="A149" s="3" t="s">
        <v>999</v>
      </c>
      <c r="B149" s="3" t="s">
        <v>49</v>
      </c>
      <c r="D149" s="26" t="s">
        <v>1000</v>
      </c>
      <c r="E149" s="43">
        <f>EO!E149+Finance!E149+HR!E149+Security!E149+IT!E149</f>
        <v>0</v>
      </c>
      <c r="F149" s="43">
        <f>EO!F149+Finance!F149+HR!F149+Security!F149+IT!F149</f>
        <v>0</v>
      </c>
      <c r="G149" s="43">
        <f>EO!G149+Finance!G149+HR!G149+Security!G149+IT!G149</f>
        <v>0</v>
      </c>
      <c r="H149" s="43">
        <f>EO!H149+Finance!H149+HR!H149+Security!H149+IT!H149</f>
        <v>0</v>
      </c>
      <c r="I149" s="43">
        <f>EO!I149+Finance!I149+HR!I149+Security!I149+IT!I149</f>
        <v>0</v>
      </c>
      <c r="J149" s="43">
        <f>EO!J149+Finance!J149+HR!J149+Security!J149+IT!J149</f>
        <v>0</v>
      </c>
      <c r="K149" s="43">
        <f>EO!K149+Finance!K149+HR!K149+Security!K149+IT!K149</f>
        <v>0</v>
      </c>
      <c r="L149" s="43">
        <f>EO!L149+Finance!L149+HR!L149+Security!L149+IT!L149</f>
        <v>0</v>
      </c>
      <c r="M149" s="43">
        <f>EO!M149+Finance!M149+HR!M149+Security!M149+IT!M149</f>
        <v>0</v>
      </c>
      <c r="N149" s="43">
        <f>EO!N149+Finance!N149+HR!N149+Security!N149+IT!N149</f>
        <v>0</v>
      </c>
      <c r="O149" s="43">
        <f>EO!O149+Finance!O149+HR!O149+Security!O149+IT!O149</f>
        <v>0</v>
      </c>
      <c r="P149" s="43">
        <f>EO!P149+Finance!P149+HR!P149+Security!P149+IT!P149</f>
        <v>0</v>
      </c>
      <c r="Q149" s="3">
        <f t="shared" si="8"/>
        <v>0</v>
      </c>
      <c r="R149" s="39">
        <f>Q149/Summary!$Q$16</f>
        <v>0</v>
      </c>
      <c r="S149" s="39"/>
      <c r="T149" s="35"/>
      <c r="U149" s="40">
        <f t="shared" si="7"/>
        <v>0</v>
      </c>
    </row>
    <row r="150" spans="1:21" s="3" customFormat="1" ht="24.95" hidden="1" customHeight="1">
      <c r="A150" s="3" t="s">
        <v>1001</v>
      </c>
      <c r="B150" s="3" t="s">
        <v>49</v>
      </c>
      <c r="D150" s="26" t="s">
        <v>1002</v>
      </c>
      <c r="E150" s="43">
        <f>EO!E150+Finance!E150+HR!E150+Security!E150+IT!E150</f>
        <v>0</v>
      </c>
      <c r="F150" s="43">
        <f>EO!F150+Finance!F150+HR!F150+Security!F150+IT!F150</f>
        <v>0</v>
      </c>
      <c r="G150" s="43">
        <f>EO!G150+Finance!G150+HR!G150+Security!G150+IT!G150</f>
        <v>0</v>
      </c>
      <c r="H150" s="43">
        <f>EO!H150+Finance!H150+HR!H150+Security!H150+IT!H150</f>
        <v>0</v>
      </c>
      <c r="I150" s="43">
        <f>EO!I150+Finance!I150+HR!I150+Security!I150+IT!I150</f>
        <v>0</v>
      </c>
      <c r="J150" s="43">
        <f>EO!J150+Finance!J150+HR!J150+Security!J150+IT!J150</f>
        <v>0</v>
      </c>
      <c r="K150" s="43">
        <f>EO!K150+Finance!K150+HR!K150+Security!K150+IT!K150</f>
        <v>0</v>
      </c>
      <c r="L150" s="43">
        <f>EO!L150+Finance!L150+HR!L150+Security!L150+IT!L150</f>
        <v>0</v>
      </c>
      <c r="M150" s="43">
        <f>EO!M150+Finance!M150+HR!M150+Security!M150+IT!M150</f>
        <v>0</v>
      </c>
      <c r="N150" s="43">
        <f>EO!N150+Finance!N150+HR!N150+Security!N150+IT!N150</f>
        <v>0</v>
      </c>
      <c r="O150" s="43">
        <f>EO!O150+Finance!O150+HR!O150+Security!O150+IT!O150</f>
        <v>0</v>
      </c>
      <c r="P150" s="43">
        <f>EO!P150+Finance!P150+HR!P150+Security!P150+IT!P150</f>
        <v>0</v>
      </c>
      <c r="Q150" s="3">
        <f t="shared" si="8"/>
        <v>0</v>
      </c>
      <c r="R150" s="39">
        <f>Q150/Summary!$Q$16</f>
        <v>0</v>
      </c>
      <c r="S150" s="39"/>
      <c r="T150" s="35"/>
      <c r="U150" s="40">
        <f t="shared" si="7"/>
        <v>0</v>
      </c>
    </row>
    <row r="151" spans="1:21" s="3" customFormat="1" ht="24.95" hidden="1" customHeight="1">
      <c r="A151" s="3" t="s">
        <v>1003</v>
      </c>
      <c r="B151" s="3" t="s">
        <v>49</v>
      </c>
      <c r="D151" s="26" t="s">
        <v>1004</v>
      </c>
      <c r="E151" s="43">
        <f>EO!E151+Finance!E151+HR!E151+Security!E151+IT!E151</f>
        <v>0</v>
      </c>
      <c r="F151" s="43">
        <f>EO!F151+Finance!F151+HR!F151+Security!F151+IT!F151</f>
        <v>0</v>
      </c>
      <c r="G151" s="43">
        <f>EO!G151+Finance!G151+HR!G151+Security!G151+IT!G151</f>
        <v>0</v>
      </c>
      <c r="H151" s="43">
        <f>EO!H151+Finance!H151+HR!H151+Security!H151+IT!H151</f>
        <v>0</v>
      </c>
      <c r="I151" s="43">
        <f>EO!I151+Finance!I151+HR!I151+Security!I151+IT!I151</f>
        <v>0</v>
      </c>
      <c r="J151" s="43">
        <f>EO!J151+Finance!J151+HR!J151+Security!J151+IT!J151</f>
        <v>0</v>
      </c>
      <c r="K151" s="43">
        <f>EO!K151+Finance!K151+HR!K151+Security!K151+IT!K151</f>
        <v>0</v>
      </c>
      <c r="L151" s="43">
        <f>EO!L151+Finance!L151+HR!L151+Security!L151+IT!L151</f>
        <v>0</v>
      </c>
      <c r="M151" s="43">
        <f>EO!M151+Finance!M151+HR!M151+Security!M151+IT!M151</f>
        <v>0</v>
      </c>
      <c r="N151" s="43">
        <f>EO!N151+Finance!N151+HR!N151+Security!N151+IT!N151</f>
        <v>0</v>
      </c>
      <c r="O151" s="43">
        <f>EO!O151+Finance!O151+HR!O151+Security!O151+IT!O151</f>
        <v>0</v>
      </c>
      <c r="P151" s="43">
        <f>EO!P151+Finance!P151+HR!P151+Security!P151+IT!P151</f>
        <v>0</v>
      </c>
      <c r="Q151" s="3">
        <f t="shared" si="8"/>
        <v>0</v>
      </c>
      <c r="R151" s="39">
        <f>Q151/Summary!$Q$16</f>
        <v>0</v>
      </c>
      <c r="S151" s="39"/>
      <c r="T151" s="35"/>
      <c r="U151" s="40">
        <f t="shared" si="7"/>
        <v>0</v>
      </c>
    </row>
    <row r="152" spans="1:21" s="3" customFormat="1" ht="24.95" hidden="1" customHeight="1">
      <c r="A152" s="3" t="s">
        <v>1005</v>
      </c>
      <c r="B152" s="3" t="s">
        <v>49</v>
      </c>
      <c r="D152" s="26" t="s">
        <v>1006</v>
      </c>
      <c r="E152" s="43">
        <f>EO!E152+Finance!E152+HR!E152+Security!E152+IT!E152</f>
        <v>0</v>
      </c>
      <c r="F152" s="43">
        <f>EO!F152+Finance!F152+HR!F152+Security!F152+IT!F152</f>
        <v>0</v>
      </c>
      <c r="G152" s="43">
        <f>EO!G152+Finance!G152+HR!G152+Security!G152+IT!G152</f>
        <v>0</v>
      </c>
      <c r="H152" s="43">
        <f>EO!H152+Finance!H152+HR!H152+Security!H152+IT!H152</f>
        <v>0</v>
      </c>
      <c r="I152" s="43">
        <f>EO!I152+Finance!I152+HR!I152+Security!I152+IT!I152</f>
        <v>0</v>
      </c>
      <c r="J152" s="43">
        <f>EO!J152+Finance!J152+HR!J152+Security!J152+IT!J152</f>
        <v>0</v>
      </c>
      <c r="K152" s="43">
        <f>EO!K152+Finance!K152+HR!K152+Security!K152+IT!K152</f>
        <v>0</v>
      </c>
      <c r="L152" s="43">
        <f>EO!L152+Finance!L152+HR!L152+Security!L152+IT!L152</f>
        <v>0</v>
      </c>
      <c r="M152" s="43">
        <f>EO!M152+Finance!M152+HR!M152+Security!M152+IT!M152</f>
        <v>0</v>
      </c>
      <c r="N152" s="43">
        <f>EO!N152+Finance!N152+HR!N152+Security!N152+IT!N152</f>
        <v>0</v>
      </c>
      <c r="O152" s="43">
        <f>EO!O152+Finance!O152+HR!O152+Security!O152+IT!O152</f>
        <v>0</v>
      </c>
      <c r="P152" s="43">
        <f>EO!P152+Finance!P152+HR!P152+Security!P152+IT!P152</f>
        <v>0</v>
      </c>
      <c r="Q152" s="3">
        <f t="shared" si="8"/>
        <v>0</v>
      </c>
      <c r="R152" s="39">
        <f>Q152/Summary!$Q$16</f>
        <v>0</v>
      </c>
      <c r="S152" s="39"/>
      <c r="T152" s="35"/>
      <c r="U152" s="40">
        <f t="shared" si="7"/>
        <v>0</v>
      </c>
    </row>
    <row r="153" spans="1:21" s="3" customFormat="1" ht="24.95" hidden="1" customHeight="1">
      <c r="A153" s="3" t="s">
        <v>1007</v>
      </c>
      <c r="B153" s="3" t="s">
        <v>49</v>
      </c>
      <c r="D153" s="26" t="s">
        <v>1008</v>
      </c>
      <c r="E153" s="43">
        <f>EO!E153+Finance!E153+HR!E153+Security!E153+IT!E153</f>
        <v>0</v>
      </c>
      <c r="F153" s="43">
        <f>EO!F153+Finance!F153+HR!F153+Security!F153+IT!F153</f>
        <v>0</v>
      </c>
      <c r="G153" s="43">
        <f>EO!G153+Finance!G153+HR!G153+Security!G153+IT!G153</f>
        <v>0</v>
      </c>
      <c r="H153" s="43">
        <f>EO!H153+Finance!H153+HR!H153+Security!H153+IT!H153</f>
        <v>0</v>
      </c>
      <c r="I153" s="43">
        <f>EO!I153+Finance!I153+HR!I153+Security!I153+IT!I153</f>
        <v>0</v>
      </c>
      <c r="J153" s="43">
        <f>EO!J153+Finance!J153+HR!J153+Security!J153+IT!J153</f>
        <v>0</v>
      </c>
      <c r="K153" s="43">
        <f>EO!K153+Finance!K153+HR!K153+Security!K153+IT!K153</f>
        <v>0</v>
      </c>
      <c r="L153" s="43">
        <f>EO!L153+Finance!L153+HR!L153+Security!L153+IT!L153</f>
        <v>0</v>
      </c>
      <c r="M153" s="43">
        <f>EO!M153+Finance!M153+HR!M153+Security!M153+IT!M153</f>
        <v>0</v>
      </c>
      <c r="N153" s="43">
        <f>EO!N153+Finance!N153+HR!N153+Security!N153+IT!N153</f>
        <v>0</v>
      </c>
      <c r="O153" s="43">
        <f>EO!O153+Finance!O153+HR!O153+Security!O153+IT!O153</f>
        <v>0</v>
      </c>
      <c r="P153" s="43">
        <f>EO!P153+Finance!P153+HR!P153+Security!P153+IT!P153</f>
        <v>0</v>
      </c>
      <c r="Q153" s="3">
        <f t="shared" si="8"/>
        <v>0</v>
      </c>
      <c r="R153" s="39">
        <f>Q153/Summary!$Q$16</f>
        <v>0</v>
      </c>
      <c r="S153" s="39"/>
      <c r="T153" s="35"/>
      <c r="U153" s="40">
        <f t="shared" si="7"/>
        <v>0</v>
      </c>
    </row>
    <row r="154" spans="1:21" s="3" customFormat="1" ht="24.95" customHeight="1">
      <c r="A154" s="3" t="s">
        <v>1009</v>
      </c>
      <c r="B154" s="3" t="s">
        <v>49</v>
      </c>
      <c r="D154" s="26" t="s">
        <v>1010</v>
      </c>
      <c r="E154" s="43">
        <f>EO!E154+Finance!E154+HR!E154+Security!E154+IT!E154</f>
        <v>1000</v>
      </c>
      <c r="F154" s="43">
        <f>EO!F154+Finance!F154+HR!F154+Security!F154+IT!F154</f>
        <v>1000</v>
      </c>
      <c r="G154" s="43">
        <f>EO!G154+Finance!G154+HR!G154+Security!G154+IT!G154</f>
        <v>1000</v>
      </c>
      <c r="H154" s="43">
        <f>EO!H154+Finance!H154+HR!H154+Security!H154+IT!H154</f>
        <v>6000</v>
      </c>
      <c r="I154" s="43">
        <f>EO!I154+Finance!I154+HR!I154+Security!I154+IT!I154</f>
        <v>6000</v>
      </c>
      <c r="J154" s="43">
        <f>EO!J154+Finance!J154+HR!J154+Security!J154+IT!J154</f>
        <v>6000</v>
      </c>
      <c r="K154" s="43">
        <f>EO!K154+Finance!K154+HR!K154+Security!K154+IT!K154</f>
        <v>6000</v>
      </c>
      <c r="L154" s="43">
        <f>EO!L154+Finance!L154+HR!L154+Security!L154+IT!L154</f>
        <v>6000</v>
      </c>
      <c r="M154" s="43">
        <f>EO!M154+Finance!M154+HR!M154+Security!M154+IT!M154</f>
        <v>4000</v>
      </c>
      <c r="N154" s="43">
        <f>EO!N154+Finance!N154+HR!N154+Security!N154+IT!N154</f>
        <v>4000</v>
      </c>
      <c r="O154" s="43">
        <f>EO!O154+Finance!O154+HR!O154+Security!O154+IT!O154</f>
        <v>4000</v>
      </c>
      <c r="P154" s="43">
        <f>EO!P154+Finance!P154+HR!P154+Security!P154+IT!P154</f>
        <v>4000</v>
      </c>
      <c r="Q154" s="3">
        <f t="shared" si="8"/>
        <v>49000</v>
      </c>
      <c r="R154" s="39">
        <f>Q154/Summary!$Q$16</f>
        <v>1.473338992799245E-3</v>
      </c>
      <c r="S154" s="39"/>
      <c r="T154" s="35"/>
      <c r="U154" s="40" t="e">
        <f t="shared" si="7"/>
        <v>#DIV/0!</v>
      </c>
    </row>
    <row r="155" spans="1:21" s="3" customFormat="1" ht="24.95" customHeight="1">
      <c r="A155" s="3" t="s">
        <v>1011</v>
      </c>
      <c r="B155" s="3" t="s">
        <v>49</v>
      </c>
      <c r="D155" s="26" t="s">
        <v>1012</v>
      </c>
      <c r="E155" s="43">
        <f>EO!E155+Finance!E155+HR!E155+Security!E155+IT!E155</f>
        <v>28500</v>
      </c>
      <c r="F155" s="43">
        <f>EO!F155+Finance!F155+HR!F155+Security!F155+IT!F155</f>
        <v>28500</v>
      </c>
      <c r="G155" s="43">
        <f>EO!G155+Finance!G155+HR!G155+Security!G155+IT!G155</f>
        <v>28500</v>
      </c>
      <c r="H155" s="43">
        <f>EO!H155+Finance!H155+HR!H155+Security!H155+IT!H155</f>
        <v>28500</v>
      </c>
      <c r="I155" s="43">
        <f>EO!I155+Finance!I155+HR!I155+Security!I155+IT!I155</f>
        <v>28500</v>
      </c>
      <c r="J155" s="43">
        <f>EO!J155+Finance!J155+HR!J155+Security!J155+IT!J155</f>
        <v>28500</v>
      </c>
      <c r="K155" s="43">
        <f>EO!K155+Finance!K155+HR!K155+Security!K155+IT!K155</f>
        <v>28500</v>
      </c>
      <c r="L155" s="43">
        <f>EO!L155+Finance!L155+HR!L155+Security!L155+IT!L155</f>
        <v>28500</v>
      </c>
      <c r="M155" s="43">
        <f>EO!M155+Finance!M155+HR!M155+Security!M155+IT!M155</f>
        <v>28500</v>
      </c>
      <c r="N155" s="43">
        <f>EO!N155+Finance!N155+HR!N155+Security!N155+IT!N155</f>
        <v>28500</v>
      </c>
      <c r="O155" s="43">
        <f>EO!O155+Finance!O155+HR!O155+Security!O155+IT!O155</f>
        <v>28500</v>
      </c>
      <c r="P155" s="43">
        <f>EO!P155+Finance!P155+HR!P155+Security!P155+IT!P155</f>
        <v>28500</v>
      </c>
      <c r="Q155" s="3">
        <f t="shared" si="8"/>
        <v>342000</v>
      </c>
      <c r="R155" s="39">
        <f>Q155/Summary!$Q$16</f>
        <v>1.0283304806884526E-2</v>
      </c>
      <c r="S155" s="39"/>
      <c r="T155" s="35"/>
      <c r="U155" s="40" t="e">
        <f t="shared" si="7"/>
        <v>#DIV/0!</v>
      </c>
    </row>
    <row r="156" spans="1:21" s="3" customFormat="1" ht="24.95" customHeight="1">
      <c r="A156" s="3" t="s">
        <v>1013</v>
      </c>
      <c r="B156" s="3" t="s">
        <v>49</v>
      </c>
      <c r="D156" s="26" t="s">
        <v>1014</v>
      </c>
      <c r="E156" s="43">
        <f>EO!E156+Finance!E156+HR!E156+Security!E156+IT!E156</f>
        <v>8400</v>
      </c>
      <c r="F156" s="43">
        <f>EO!F156+Finance!F156+HR!F156+Security!F156+IT!F156</f>
        <v>8400</v>
      </c>
      <c r="G156" s="43">
        <f>EO!G156+Finance!G156+HR!G156+Security!G156+IT!G156</f>
        <v>8400</v>
      </c>
      <c r="H156" s="43">
        <f>EO!H156+Finance!H156+HR!H156+Security!H156+IT!H156</f>
        <v>8400</v>
      </c>
      <c r="I156" s="43">
        <f>EO!I156+Finance!I156+HR!I156+Security!I156+IT!I156</f>
        <v>8400</v>
      </c>
      <c r="J156" s="43">
        <f>EO!J156+Finance!J156+HR!J156+Security!J156+IT!J156</f>
        <v>8400</v>
      </c>
      <c r="K156" s="43">
        <f>EO!K156+Finance!K156+HR!K156+Security!K156+IT!K156</f>
        <v>8400</v>
      </c>
      <c r="L156" s="43">
        <f>EO!L156+Finance!L156+HR!L156+Security!L156+IT!L156</f>
        <v>8400</v>
      </c>
      <c r="M156" s="43">
        <f>EO!M156+Finance!M156+HR!M156+Security!M156+IT!M156</f>
        <v>8400</v>
      </c>
      <c r="N156" s="43">
        <f>EO!N156+Finance!N156+HR!N156+Security!N156+IT!N156</f>
        <v>8400</v>
      </c>
      <c r="O156" s="43">
        <f>EO!O156+Finance!O156+HR!O156+Security!O156+IT!O156</f>
        <v>8400</v>
      </c>
      <c r="P156" s="43">
        <f>EO!P156+Finance!P156+HR!P156+Security!P156+IT!P156</f>
        <v>8400</v>
      </c>
      <c r="Q156" s="3">
        <f t="shared" si="8"/>
        <v>100800</v>
      </c>
      <c r="R156" s="39">
        <f>Q156/Summary!$Q$16</f>
        <v>3.0308687851870186E-3</v>
      </c>
      <c r="S156" s="39"/>
      <c r="T156" s="35"/>
      <c r="U156" s="40" t="e">
        <f t="shared" si="7"/>
        <v>#DIV/0!</v>
      </c>
    </row>
    <row r="157" spans="1:21" s="3" customFormat="1" ht="24.95" customHeight="1">
      <c r="A157" s="3" t="s">
        <v>611</v>
      </c>
      <c r="B157" s="3" t="s">
        <v>49</v>
      </c>
      <c r="D157" s="26" t="s">
        <v>612</v>
      </c>
      <c r="E157" s="43">
        <f>EO!E157+Finance!E157+HR!E157+Security!E157+IT!E157</f>
        <v>1350</v>
      </c>
      <c r="F157" s="43">
        <f>EO!F157+Finance!F157+HR!F157+Security!F157+IT!F157</f>
        <v>1350</v>
      </c>
      <c r="G157" s="43">
        <f>EO!G157+Finance!G157+HR!G157+Security!G157+IT!G157</f>
        <v>1350</v>
      </c>
      <c r="H157" s="43">
        <f>EO!H157+Finance!H157+HR!H157+Security!H157+IT!H157</f>
        <v>23350</v>
      </c>
      <c r="I157" s="43">
        <f>EO!I157+Finance!I157+HR!I157+Security!I157+IT!I157</f>
        <v>1350</v>
      </c>
      <c r="J157" s="43">
        <f>EO!J157+Finance!J157+HR!J157+Security!J157+IT!J157</f>
        <v>1350</v>
      </c>
      <c r="K157" s="43">
        <f>EO!K157+Finance!K157+HR!K157+Security!K157+IT!K157</f>
        <v>1350</v>
      </c>
      <c r="L157" s="43">
        <f>EO!L157+Finance!L157+HR!L157+Security!L157+IT!L157</f>
        <v>1350</v>
      </c>
      <c r="M157" s="43">
        <f>EO!M157+Finance!M157+HR!M157+Security!M157+IT!M157</f>
        <v>1350</v>
      </c>
      <c r="N157" s="43">
        <f>EO!N157+Finance!N157+HR!N157+Security!N157+IT!N157</f>
        <v>1350</v>
      </c>
      <c r="O157" s="43">
        <f>EO!O157+Finance!O157+HR!O157+Security!O157+IT!O157</f>
        <v>1350</v>
      </c>
      <c r="P157" s="43">
        <f>EO!P157+Finance!P157+HR!P157+Security!P157+IT!P157</f>
        <v>1350</v>
      </c>
      <c r="Q157" s="3">
        <f t="shared" si="8"/>
        <v>38200</v>
      </c>
      <c r="R157" s="39">
        <f>Q157/Summary!$Q$16</f>
        <v>1.1486030515292073E-3</v>
      </c>
      <c r="S157" s="39"/>
      <c r="T157" s="35"/>
      <c r="U157" s="40" t="e">
        <f t="shared" ref="U157:U159" si="9">-IF(Q157-T157=0,0,(Q157-T157)/T157)</f>
        <v>#DIV/0!</v>
      </c>
    </row>
    <row r="158" spans="1:21" s="19" customFormat="1" ht="24.95" customHeight="1">
      <c r="D158" s="21" t="s">
        <v>613</v>
      </c>
      <c r="E158" s="310">
        <f>SUM(E15:E157)</f>
        <v>83653.010000000009</v>
      </c>
      <c r="F158" s="310">
        <f t="shared" ref="F158:Q158" si="10">SUM(F15:F157)</f>
        <v>83478</v>
      </c>
      <c r="G158" s="310">
        <f t="shared" si="10"/>
        <v>91016.739999999991</v>
      </c>
      <c r="H158" s="310">
        <f t="shared" si="10"/>
        <v>119401.29999999999</v>
      </c>
      <c r="I158" s="310">
        <f t="shared" si="10"/>
        <v>100607.73999999999</v>
      </c>
      <c r="J158" s="310">
        <f t="shared" si="10"/>
        <v>134456.51</v>
      </c>
      <c r="K158" s="310">
        <f t="shared" si="10"/>
        <v>104998.20999999999</v>
      </c>
      <c r="L158" s="310">
        <f t="shared" si="10"/>
        <v>115176.53</v>
      </c>
      <c r="M158" s="310">
        <f t="shared" si="10"/>
        <v>106891.56</v>
      </c>
      <c r="N158" s="310">
        <f t="shared" si="10"/>
        <v>114416.25</v>
      </c>
      <c r="O158" s="310">
        <f t="shared" si="10"/>
        <v>100593.03</v>
      </c>
      <c r="P158" s="310">
        <f t="shared" si="10"/>
        <v>92171.57</v>
      </c>
      <c r="Q158" s="310">
        <f t="shared" si="10"/>
        <v>1246860.45</v>
      </c>
      <c r="R158" s="39">
        <f>Q158/Summary!$Q$16</f>
        <v>3.7490777950290072E-2</v>
      </c>
      <c r="S158" s="39"/>
      <c r="T158" s="35"/>
      <c r="U158" s="40" t="e">
        <f t="shared" si="9"/>
        <v>#DIV/0!</v>
      </c>
    </row>
    <row r="159" spans="1:21" s="19" customFormat="1" ht="24.95" customHeight="1">
      <c r="D159" s="21" t="s">
        <v>614</v>
      </c>
      <c r="E159" s="45">
        <f>+E12+E158</f>
        <v>488036.86</v>
      </c>
      <c r="F159" s="45">
        <f t="shared" ref="F159:Q159" si="11">+F12+F158</f>
        <v>518783.80000000005</v>
      </c>
      <c r="G159" s="45">
        <f t="shared" si="11"/>
        <v>494381.92</v>
      </c>
      <c r="H159" s="45">
        <f t="shared" si="11"/>
        <v>520105.02999999997</v>
      </c>
      <c r="I159" s="45">
        <f t="shared" si="11"/>
        <v>504714.39</v>
      </c>
      <c r="J159" s="45">
        <f t="shared" si="11"/>
        <v>545160.24</v>
      </c>
      <c r="K159" s="45">
        <f t="shared" si="11"/>
        <v>504363.39</v>
      </c>
      <c r="L159" s="45">
        <f t="shared" si="11"/>
        <v>524041.70999999996</v>
      </c>
      <c r="M159" s="45">
        <f t="shared" si="11"/>
        <v>511595.29</v>
      </c>
      <c r="N159" s="45">
        <f t="shared" si="11"/>
        <v>530700.03</v>
      </c>
      <c r="O159" s="45">
        <f t="shared" si="11"/>
        <v>504458.20999999996</v>
      </c>
      <c r="P159" s="45">
        <f t="shared" si="11"/>
        <v>496536.75</v>
      </c>
      <c r="Q159" s="45">
        <f t="shared" si="11"/>
        <v>6142877.6200000001</v>
      </c>
      <c r="R159" s="39">
        <f>Q159/Summary!$Q$16</f>
        <v>0.18470492092938415</v>
      </c>
      <c r="S159" s="39"/>
      <c r="T159" s="35"/>
      <c r="U159" s="40" t="e">
        <f t="shared" si="9"/>
        <v>#DIV/0!</v>
      </c>
    </row>
    <row r="160" spans="1:21" s="3" customFormat="1" ht="24.95" hidden="1" customHeight="1">
      <c r="A160" s="84" t="s">
        <v>615</v>
      </c>
      <c r="B160" s="3" t="s">
        <v>49</v>
      </c>
      <c r="D160" s="42" t="s">
        <v>351</v>
      </c>
      <c r="E160" s="74">
        <f t="shared" ref="E160:Q160" si="12">+E159</f>
        <v>488036.86</v>
      </c>
      <c r="F160" s="74">
        <f t="shared" si="12"/>
        <v>518783.80000000005</v>
      </c>
      <c r="G160" s="74">
        <f t="shared" si="12"/>
        <v>494381.92</v>
      </c>
      <c r="H160" s="74">
        <f t="shared" si="12"/>
        <v>520105.02999999997</v>
      </c>
      <c r="I160" s="74">
        <f t="shared" si="12"/>
        <v>504714.39</v>
      </c>
      <c r="J160" s="74">
        <f t="shared" si="12"/>
        <v>545160.24</v>
      </c>
      <c r="K160" s="74">
        <f t="shared" si="12"/>
        <v>504363.39</v>
      </c>
      <c r="L160" s="74">
        <f t="shared" si="12"/>
        <v>524041.70999999996</v>
      </c>
      <c r="M160" s="74">
        <f t="shared" si="12"/>
        <v>511595.29</v>
      </c>
      <c r="N160" s="74">
        <f t="shared" si="12"/>
        <v>530700.03</v>
      </c>
      <c r="O160" s="74">
        <f t="shared" si="12"/>
        <v>504458.20999999996</v>
      </c>
      <c r="P160" s="74">
        <f t="shared" si="12"/>
        <v>496536.75</v>
      </c>
      <c r="Q160" s="3">
        <f t="shared" si="12"/>
        <v>6142877.6200000001</v>
      </c>
      <c r="T160" s="35"/>
      <c r="U160" s="40" t="e">
        <f>IF(Q160-T160=0,0,(Q160-T160)/T160)</f>
        <v>#DIV/0!</v>
      </c>
    </row>
    <row r="161" spans="1:21" s="3" customFormat="1" ht="24.95" customHeight="1">
      <c r="D161" s="42"/>
      <c r="E161" s="74"/>
      <c r="F161" s="74"/>
      <c r="G161" s="74"/>
      <c r="H161" s="74"/>
      <c r="I161" s="74"/>
      <c r="Q161" s="3">
        <f>Q159-IT!Q159</f>
        <v>5484421.2200000007</v>
      </c>
      <c r="T161" s="35"/>
      <c r="U161" s="40"/>
    </row>
    <row r="162" spans="1:21" s="3" customFormat="1" ht="24.95" customHeight="1">
      <c r="B162" s="51"/>
      <c r="D162" s="19" t="s">
        <v>618</v>
      </c>
      <c r="E162" s="48"/>
      <c r="F162" s="48"/>
      <c r="G162" s="48"/>
      <c r="H162" s="48"/>
      <c r="I162" s="48"/>
      <c r="T162" s="35"/>
      <c r="U162" s="40"/>
    </row>
    <row r="163" spans="1:21" s="3" customFormat="1" ht="24.95" customHeight="1">
      <c r="B163" s="51"/>
      <c r="D163" s="19" t="s">
        <v>444</v>
      </c>
      <c r="E163" s="48">
        <f>E166-IT!E166</f>
        <v>201648</v>
      </c>
      <c r="F163" s="48">
        <f>F166-IT!F166</f>
        <v>201648</v>
      </c>
      <c r="G163" s="48">
        <f>G166-IT!G166</f>
        <v>201648</v>
      </c>
      <c r="H163" s="48">
        <f>H166-IT!H166</f>
        <v>201648</v>
      </c>
      <c r="I163" s="48">
        <f>I166-IT!I166</f>
        <v>201648</v>
      </c>
      <c r="J163" s="48">
        <f>J166-IT!J166</f>
        <v>201648</v>
      </c>
      <c r="K163" s="48">
        <f>K166-IT!K166</f>
        <v>201648</v>
      </c>
      <c r="L163" s="48">
        <f>L166-IT!L166</f>
        <v>201648</v>
      </c>
      <c r="M163" s="48">
        <f>M166-IT!M166</f>
        <v>201648</v>
      </c>
      <c r="N163" s="48">
        <f>N166-IT!N166</f>
        <v>201648</v>
      </c>
      <c r="O163" s="48">
        <f>O166-IT!O166</f>
        <v>201648</v>
      </c>
      <c r="P163" s="48">
        <f>P166-IT!P166</f>
        <v>201648</v>
      </c>
      <c r="T163" s="35"/>
      <c r="U163" s="40"/>
    </row>
    <row r="164" spans="1:21" s="3" customFormat="1" ht="24.95" customHeight="1">
      <c r="A164" s="270" t="s">
        <v>295</v>
      </c>
      <c r="B164" s="51" t="s">
        <v>49</v>
      </c>
      <c r="D164" s="26" t="s">
        <v>297</v>
      </c>
      <c r="E164" s="43">
        <f>EO!E164+Finance!E164+HR!E164+Security!E164+IT!E164</f>
        <v>129217</v>
      </c>
      <c r="F164" s="43">
        <f>EO!F164+Finance!F164+HR!F164+Security!F164+IT!F164</f>
        <v>129217</v>
      </c>
      <c r="G164" s="43">
        <f>EO!G164+Finance!G164+HR!G164+Security!G164+IT!G164</f>
        <v>129217</v>
      </c>
      <c r="H164" s="43">
        <f>EO!H164+Finance!H164+HR!H164+Security!H164+IT!H164</f>
        <v>129217</v>
      </c>
      <c r="I164" s="43">
        <f>EO!I164+Finance!I164+HR!I164+Security!I164+IT!I164</f>
        <v>129217</v>
      </c>
      <c r="J164" s="43">
        <f>EO!J164+Finance!J164+HR!J164+Security!J164+IT!J164</f>
        <v>129217</v>
      </c>
      <c r="K164" s="43">
        <f>EO!K164+Finance!K164+HR!K164+Security!K164+IT!K164</f>
        <v>129217</v>
      </c>
      <c r="L164" s="43">
        <f>EO!L164+Finance!L164+HR!L164+Security!L164+IT!L164</f>
        <v>129217</v>
      </c>
      <c r="M164" s="43">
        <f>EO!M164+Finance!M164+HR!M164+Security!M164+IT!M164</f>
        <v>129217</v>
      </c>
      <c r="N164" s="43">
        <f>EO!N164+Finance!N164+HR!N164+Security!N164+IT!N164</f>
        <v>129217</v>
      </c>
      <c r="O164" s="43">
        <f>EO!O164+Finance!O164+HR!O164+Security!O164+IT!O164</f>
        <v>129217</v>
      </c>
      <c r="P164" s="43">
        <f>EO!P164+Finance!P164+HR!P164+Security!P164+IT!P164</f>
        <v>129217</v>
      </c>
      <c r="Q164" s="3">
        <f>SUM(E164:P164)</f>
        <v>1550604</v>
      </c>
      <c r="R164" s="39">
        <f>Q164/Summary!$Q$16</f>
        <v>4.6623782358989403E-2</v>
      </c>
      <c r="S164" s="39"/>
      <c r="T164" s="35"/>
      <c r="U164" s="40" t="e">
        <f>-IF(Q164-T164=0,0,(Q164-T164)/T164)</f>
        <v>#DIV/0!</v>
      </c>
    </row>
    <row r="165" spans="1:21" s="3" customFormat="1" ht="24.95" customHeight="1">
      <c r="A165" s="50" t="s">
        <v>298</v>
      </c>
      <c r="B165" s="51" t="s">
        <v>49</v>
      </c>
      <c r="D165" s="26" t="s">
        <v>447</v>
      </c>
      <c r="E165" s="43">
        <f>EO!E165+Finance!E165+HR!E165+Security!E165+IT!E165</f>
        <v>72431</v>
      </c>
      <c r="F165" s="43">
        <f>EO!F165+Finance!F165+HR!F165+Security!F165+IT!F165</f>
        <v>72431</v>
      </c>
      <c r="G165" s="43">
        <f>EO!G165+Finance!G165+HR!G165+Security!G165+IT!G165</f>
        <v>72431</v>
      </c>
      <c r="H165" s="43">
        <f>EO!H165+Finance!H165+HR!H165+Security!H165+IT!H165</f>
        <v>72431</v>
      </c>
      <c r="I165" s="43">
        <f>EO!I165+Finance!I165+HR!I165+Security!I165+IT!I165</f>
        <v>72431</v>
      </c>
      <c r="J165" s="43">
        <f>EO!J165+Finance!J165+HR!J165+Security!J165+IT!J165</f>
        <v>72431</v>
      </c>
      <c r="K165" s="43">
        <f>EO!K165+Finance!K165+HR!K165+Security!K165+IT!K165</f>
        <v>72431</v>
      </c>
      <c r="L165" s="43">
        <f>EO!L165+Finance!L165+HR!L165+Security!L165+IT!L165</f>
        <v>72431</v>
      </c>
      <c r="M165" s="43">
        <f>EO!M165+Finance!M165+HR!M165+Security!M165+IT!M165</f>
        <v>72431</v>
      </c>
      <c r="N165" s="43">
        <f>EO!N165+Finance!N165+HR!N165+Security!N165+IT!N165</f>
        <v>72431</v>
      </c>
      <c r="O165" s="43">
        <f>EO!O165+Finance!O165+HR!O165+Security!O165+IT!O165</f>
        <v>72431</v>
      </c>
      <c r="P165" s="43">
        <f>EO!P165+Finance!P165+HR!P165+Security!P165+IT!P165</f>
        <v>72431</v>
      </c>
      <c r="Q165" s="3">
        <f>SUM(E165:P165)</f>
        <v>869172</v>
      </c>
      <c r="R165" s="39">
        <f>Q165/Summary!$Q$16</f>
        <v>2.613438773570011E-2</v>
      </c>
      <c r="S165" s="39"/>
      <c r="T165" s="35"/>
      <c r="U165" s="40" t="e">
        <f>-IF(Q165-T165=0,0,(Q165-T165)/T165)</f>
        <v>#DIV/0!</v>
      </c>
    </row>
    <row r="166" spans="1:21" s="3" customFormat="1" ht="24.95" customHeight="1">
      <c r="B166" s="51"/>
      <c r="D166" s="21" t="s">
        <v>450</v>
      </c>
      <c r="E166" s="52">
        <f>SUM(E164:E165)</f>
        <v>201648</v>
      </c>
      <c r="F166" s="52">
        <f t="shared" ref="F166:Q166" si="13">SUM(F164:F165)</f>
        <v>201648</v>
      </c>
      <c r="G166" s="52">
        <f t="shared" si="13"/>
        <v>201648</v>
      </c>
      <c r="H166" s="52">
        <f t="shared" si="13"/>
        <v>201648</v>
      </c>
      <c r="I166" s="52">
        <f t="shared" si="13"/>
        <v>201648</v>
      </c>
      <c r="J166" s="52">
        <f t="shared" si="13"/>
        <v>201648</v>
      </c>
      <c r="K166" s="52">
        <f t="shared" si="13"/>
        <v>201648</v>
      </c>
      <c r="L166" s="52">
        <f t="shared" si="13"/>
        <v>201648</v>
      </c>
      <c r="M166" s="52">
        <f t="shared" si="13"/>
        <v>201648</v>
      </c>
      <c r="N166" s="52">
        <f t="shared" si="13"/>
        <v>201648</v>
      </c>
      <c r="O166" s="52">
        <f t="shared" si="13"/>
        <v>201648</v>
      </c>
      <c r="P166" s="52">
        <f t="shared" si="13"/>
        <v>201648</v>
      </c>
      <c r="Q166" s="52">
        <f t="shared" si="13"/>
        <v>2419776</v>
      </c>
      <c r="R166" s="39">
        <f>Q166/Summary!$Q$16</f>
        <v>7.2758170094689517E-2</v>
      </c>
      <c r="S166" s="39"/>
      <c r="T166" s="35"/>
      <c r="U166" s="40" t="e">
        <f>-IF(Q166-T166=0,0,(Q166-T166)/T166)</f>
        <v>#DIV/0!</v>
      </c>
    </row>
    <row r="167" spans="1:21" s="3" customFormat="1" ht="24.95" customHeight="1">
      <c r="B167" s="51"/>
      <c r="E167" s="53"/>
      <c r="F167" s="53"/>
      <c r="G167" s="53"/>
      <c r="H167" s="25"/>
      <c r="I167" s="25"/>
      <c r="T167" s="35"/>
      <c r="U167" s="40"/>
    </row>
    <row r="168" spans="1:21" s="3" customFormat="1" ht="24.95" customHeight="1">
      <c r="A168" s="271" t="s">
        <v>619</v>
      </c>
      <c r="B168" s="51" t="s">
        <v>49</v>
      </c>
      <c r="D168" s="26" t="s">
        <v>307</v>
      </c>
      <c r="E168" s="43">
        <f>EO!E168+Finance!E168+HR!E168+Security!E168+IT!E168</f>
        <v>8911.44</v>
      </c>
      <c r="F168" s="43">
        <f>EO!F168+Finance!F168+HR!F168+Security!F168+IT!F168</f>
        <v>19118.89</v>
      </c>
      <c r="G168" s="43">
        <f>EO!G168+Finance!G168+HR!G168+Security!G168+IT!G168</f>
        <v>4500</v>
      </c>
      <c r="H168" s="43">
        <f>EO!H168+Finance!H168+HR!H168+Security!H168+IT!H168</f>
        <v>5231.32</v>
      </c>
      <c r="I168" s="43">
        <f>EO!I168+Finance!I168+HR!I168+Security!I168+IT!I168</f>
        <v>9134.24</v>
      </c>
      <c r="J168" s="43">
        <f>EO!J168+Finance!J168+HR!J168+Security!J168+IT!J168</f>
        <v>5231.32</v>
      </c>
      <c r="K168" s="43">
        <f>EO!K168+Finance!K168+HR!K168+Security!K168+IT!K168</f>
        <v>4500</v>
      </c>
      <c r="L168" s="43">
        <f>EO!L168+Finance!L168+HR!L168+Security!L168+IT!L168</f>
        <v>4500</v>
      </c>
      <c r="M168" s="43">
        <f>EO!M168+Finance!M168+HR!M168+Security!M168+IT!M168</f>
        <v>5231.32</v>
      </c>
      <c r="N168" s="43">
        <f>EO!N168+Finance!N168+HR!N168+Security!N168+IT!N168</f>
        <v>19596.870000000003</v>
      </c>
      <c r="O168" s="43">
        <f>EO!O168+Finance!O168+HR!O168+Security!O168+IT!O168</f>
        <v>4500</v>
      </c>
      <c r="P168" s="43">
        <f>EO!P168+Finance!P168+HR!P168+Security!P168+IT!P168</f>
        <v>4500</v>
      </c>
      <c r="Q168" s="3">
        <f t="shared" ref="Q168:Q174" si="14">SUM(E168:P168)</f>
        <v>94955.4</v>
      </c>
      <c r="R168" s="39">
        <f>Q168/Summary!$Q$16</f>
        <v>2.8551325183030496E-3</v>
      </c>
      <c r="S168" s="39"/>
      <c r="T168" s="35"/>
      <c r="U168" s="40" t="e">
        <f>-IF(Q168-T168=0,0,(Q168-T168)/T168)</f>
        <v>#DIV/0!</v>
      </c>
    </row>
    <row r="169" spans="1:21" s="3" customFormat="1" ht="24.95" customHeight="1">
      <c r="A169" s="54" t="s">
        <v>308</v>
      </c>
      <c r="B169" s="51" t="s">
        <v>49</v>
      </c>
      <c r="D169" s="26" t="s">
        <v>309</v>
      </c>
      <c r="E169" s="43">
        <f>EO!E169+Finance!E169+HR!E169+Security!E169+IT!E169</f>
        <v>26827</v>
      </c>
      <c r="F169" s="43">
        <f>EO!F169+Finance!F169+HR!F169+Security!F169+IT!F169</f>
        <v>26827</v>
      </c>
      <c r="G169" s="43">
        <f>EO!G169+Finance!G169+HR!G169+Security!G169+IT!G169</f>
        <v>26827</v>
      </c>
      <c r="H169" s="43">
        <f>EO!H169+Finance!H169+HR!H169+Security!H169+IT!H169</f>
        <v>26827</v>
      </c>
      <c r="I169" s="43">
        <f>EO!I169+Finance!I169+HR!I169+Security!I169+IT!I169</f>
        <v>26827</v>
      </c>
      <c r="J169" s="43">
        <f>EO!J169+Finance!J169+HR!J169+Security!J169+IT!J169</f>
        <v>26827</v>
      </c>
      <c r="K169" s="43">
        <f>EO!K169+Finance!K169+HR!K169+Security!K169+IT!K169</f>
        <v>26827</v>
      </c>
      <c r="L169" s="43">
        <f>EO!L169+Finance!L169+HR!L169+Security!L169+IT!L169</f>
        <v>26827</v>
      </c>
      <c r="M169" s="43">
        <f>EO!M169+Finance!M169+HR!M169+Security!M169+IT!M169</f>
        <v>26827</v>
      </c>
      <c r="N169" s="43">
        <f>EO!N169+Finance!N169+HR!N169+Security!N169+IT!N169</f>
        <v>26827</v>
      </c>
      <c r="O169" s="43">
        <f>EO!O169+Finance!O169+HR!O169+Security!O169+IT!O169</f>
        <v>26827</v>
      </c>
      <c r="P169" s="43">
        <f>EO!P169+Finance!P169+HR!P169+Security!P169+IT!P169</f>
        <v>26827</v>
      </c>
      <c r="Q169" s="3">
        <f t="shared" si="14"/>
        <v>321924</v>
      </c>
      <c r="R169" s="39">
        <f>Q169/Summary!$Q$16</f>
        <v>9.6796567738347793E-3</v>
      </c>
      <c r="S169" s="39"/>
      <c r="T169" s="35"/>
      <c r="U169" s="40" t="e">
        <f>-IF(Q169-T169=0,0,(Q169-T169)/T169)</f>
        <v>#DIV/0!</v>
      </c>
    </row>
    <row r="170" spans="1:21" s="3" customFormat="1" ht="24.95" customHeight="1">
      <c r="A170" s="271" t="s">
        <v>620</v>
      </c>
      <c r="B170" s="51" t="s">
        <v>49</v>
      </c>
      <c r="D170" s="26" t="s">
        <v>311</v>
      </c>
      <c r="E170" s="43">
        <f>EO!E170+Finance!E170+HR!E170+Security!E170+IT!E170</f>
        <v>1700</v>
      </c>
      <c r="F170" s="43">
        <f>EO!F170+Finance!F170+HR!F170+Security!F170+IT!F170</f>
        <v>1700</v>
      </c>
      <c r="G170" s="43">
        <f>EO!G170+Finance!G170+HR!G170+Security!G170+IT!G170</f>
        <v>1700</v>
      </c>
      <c r="H170" s="43">
        <f>EO!H170+Finance!H170+HR!H170+Security!H170+IT!H170</f>
        <v>1700</v>
      </c>
      <c r="I170" s="43">
        <f>EO!I170+Finance!I170+HR!I170+Security!I170+IT!I170</f>
        <v>1700</v>
      </c>
      <c r="J170" s="43">
        <f>EO!J170+Finance!J170+HR!J170+Security!J170+IT!J170</f>
        <v>1700</v>
      </c>
      <c r="K170" s="43">
        <f>EO!K170+Finance!K170+HR!K170+Security!K170+IT!K170</f>
        <v>1700</v>
      </c>
      <c r="L170" s="43">
        <f>EO!L170+Finance!L170+HR!L170+Security!L170+IT!L170</f>
        <v>1700</v>
      </c>
      <c r="M170" s="43">
        <f>EO!M170+Finance!M170+HR!M170+Security!M170+IT!M170</f>
        <v>1700</v>
      </c>
      <c r="N170" s="43">
        <f>EO!N170+Finance!N170+HR!N170+Security!N170+IT!N170</f>
        <v>1700</v>
      </c>
      <c r="O170" s="43">
        <f>EO!O170+Finance!O170+HR!O170+Security!O170+IT!O170</f>
        <v>1700</v>
      </c>
      <c r="P170" s="43">
        <f>EO!P170+Finance!P170+HR!P170+Security!P170+IT!P170</f>
        <v>1700</v>
      </c>
      <c r="Q170" s="3">
        <f t="shared" si="14"/>
        <v>20400</v>
      </c>
      <c r="R170" s="39">
        <f>Q170/Summary!$Q$16</f>
        <v>6.1339011128784895E-4</v>
      </c>
      <c r="S170" s="39"/>
      <c r="T170" s="35"/>
      <c r="U170" s="40" t="e">
        <f>-IF(Q170-T170=0,0,(Q170-T170)/T170)</f>
        <v>#DIV/0!</v>
      </c>
    </row>
    <row r="171" spans="1:21" s="3" customFormat="1" ht="24.95" customHeight="1">
      <c r="A171" s="271" t="s">
        <v>621</v>
      </c>
      <c r="B171" s="51" t="s">
        <v>49</v>
      </c>
      <c r="D171" s="26" t="s">
        <v>313</v>
      </c>
      <c r="E171" s="43">
        <f>EO!E171+Finance!E171+HR!E171+Security!E171+IT!E171</f>
        <v>0</v>
      </c>
      <c r="F171" s="43">
        <f>EO!F171+Finance!F171+HR!F171+Security!F171+IT!F171</f>
        <v>0</v>
      </c>
      <c r="G171" s="43">
        <f>EO!G171+Finance!G171+HR!G171+Security!G171+IT!G171</f>
        <v>0</v>
      </c>
      <c r="H171" s="43">
        <f>EO!H171+Finance!H171+HR!H171+Security!H171+IT!H171</f>
        <v>0</v>
      </c>
      <c r="I171" s="43">
        <f>EO!I171+Finance!I171+HR!I171+Security!I171+IT!I171</f>
        <v>0</v>
      </c>
      <c r="J171" s="43">
        <f>EO!J171+Finance!J171+HR!J171+Security!J171+IT!J171</f>
        <v>0</v>
      </c>
      <c r="K171" s="43">
        <f>EO!K171+Finance!K171+HR!K171+Security!K171+IT!K171</f>
        <v>0</v>
      </c>
      <c r="L171" s="43">
        <f>EO!L171+Finance!L171+HR!L171+Security!L171+IT!L171</f>
        <v>0</v>
      </c>
      <c r="M171" s="43">
        <f>EO!M171+Finance!M171+HR!M171+Security!M171+IT!M171</f>
        <v>0</v>
      </c>
      <c r="N171" s="43">
        <f>EO!N171+Finance!N171+HR!N171+Security!N171+IT!N171</f>
        <v>0</v>
      </c>
      <c r="O171" s="43">
        <f>EO!O171+Finance!O171+HR!O171+Security!O171+IT!O171</f>
        <v>0</v>
      </c>
      <c r="P171" s="43">
        <f>EO!P171+Finance!P171+HR!P171+Security!P171+IT!P171</f>
        <v>0</v>
      </c>
      <c r="Q171" s="3">
        <f t="shared" si="14"/>
        <v>0</v>
      </c>
      <c r="R171" s="39">
        <f>Q171/Summary!$Q$16</f>
        <v>0</v>
      </c>
      <c r="S171" s="39"/>
      <c r="T171" s="35"/>
      <c r="U171" s="40"/>
    </row>
    <row r="172" spans="1:21" s="3" customFormat="1" ht="24.95" customHeight="1">
      <c r="A172" s="271" t="s">
        <v>622</v>
      </c>
      <c r="B172" s="51" t="s">
        <v>49</v>
      </c>
      <c r="D172" s="26" t="s">
        <v>315</v>
      </c>
      <c r="E172" s="43">
        <f>EO!E172+Finance!E172+HR!E172+Security!E172+IT!E172</f>
        <v>0</v>
      </c>
      <c r="F172" s="43">
        <f>EO!F172+Finance!F172+HR!F172+Security!F172+IT!F172</f>
        <v>0</v>
      </c>
      <c r="G172" s="43">
        <f>EO!G172+Finance!G172+HR!G172+Security!G172+IT!G172</f>
        <v>0</v>
      </c>
      <c r="H172" s="43">
        <f>EO!H172+Finance!H172+HR!H172+Security!H172+IT!H172</f>
        <v>0</v>
      </c>
      <c r="I172" s="43">
        <f>EO!I172+Finance!I172+HR!I172+Security!I172+IT!I172</f>
        <v>0</v>
      </c>
      <c r="J172" s="43">
        <f>EO!J172+Finance!J172+HR!J172+Security!J172+IT!J172</f>
        <v>0</v>
      </c>
      <c r="K172" s="43">
        <f>EO!K172+Finance!K172+HR!K172+Security!K172+IT!K172</f>
        <v>0</v>
      </c>
      <c r="L172" s="43">
        <f>EO!L172+Finance!L172+HR!L172+Security!L172+IT!L172</f>
        <v>0</v>
      </c>
      <c r="M172" s="43">
        <f>EO!M172+Finance!M172+HR!M172+Security!M172+IT!M172</f>
        <v>0</v>
      </c>
      <c r="N172" s="43">
        <f>EO!N172+Finance!N172+HR!N172+Security!N172+IT!N172</f>
        <v>0</v>
      </c>
      <c r="O172" s="43">
        <f>EO!O172+Finance!O172+HR!O172+Security!O172+IT!O172</f>
        <v>0</v>
      </c>
      <c r="P172" s="43">
        <f>EO!P172+Finance!P172+HR!P172+Security!P172+IT!P172</f>
        <v>0</v>
      </c>
      <c r="Q172" s="3">
        <f t="shared" si="14"/>
        <v>0</v>
      </c>
      <c r="R172" s="39">
        <f>Q172/Summary!$Q$16</f>
        <v>0</v>
      </c>
      <c r="S172" s="39"/>
      <c r="T172" s="35"/>
      <c r="U172" s="40"/>
    </row>
    <row r="173" spans="1:21" s="3" customFormat="1" ht="24.95" customHeight="1">
      <c r="A173" s="271" t="s">
        <v>1109</v>
      </c>
      <c r="B173" s="51" t="s">
        <v>49</v>
      </c>
      <c r="D173" s="26" t="s">
        <v>1113</v>
      </c>
      <c r="E173" s="43">
        <f>EO!E173+Finance!E173+HR!E173+Security!E173+IT!E173</f>
        <v>18000</v>
      </c>
      <c r="F173" s="43">
        <f>EO!F173+Finance!F173+HR!F173+Security!F173+IT!F173</f>
        <v>18000</v>
      </c>
      <c r="G173" s="43">
        <f>EO!G173+Finance!G173+HR!G173+Security!G173+IT!G173</f>
        <v>18000</v>
      </c>
      <c r="H173" s="43">
        <f>EO!H173+Finance!H173+HR!H173+Security!H173+IT!H173</f>
        <v>18000</v>
      </c>
      <c r="I173" s="43">
        <f>EO!I173+Finance!I173+HR!I173+Security!I173+IT!I173</f>
        <v>18000</v>
      </c>
      <c r="J173" s="43">
        <f>EO!J173+Finance!J173+HR!J173+Security!J173+IT!J173</f>
        <v>18000</v>
      </c>
      <c r="K173" s="43">
        <f>EO!K173+Finance!K173+HR!K173+Security!K173+IT!K173</f>
        <v>18000</v>
      </c>
      <c r="L173" s="43">
        <f>EO!L173+Finance!L173+HR!L173+Security!L173+IT!L173</f>
        <v>18000</v>
      </c>
      <c r="M173" s="43">
        <f>EO!M173+Finance!M173+HR!M173+Security!M173+IT!M173</f>
        <v>18000</v>
      </c>
      <c r="N173" s="43">
        <f>EO!N173+Finance!N173+HR!N173+Security!N173+IT!N173</f>
        <v>18000</v>
      </c>
      <c r="O173" s="43">
        <f>EO!O173+Finance!O173+HR!O173+Security!O173+IT!O173</f>
        <v>18000</v>
      </c>
      <c r="P173" s="43">
        <f>EO!P173+Finance!P173+HR!P173+Security!P173+IT!P173</f>
        <v>18000</v>
      </c>
      <c r="Q173" s="3">
        <f t="shared" ref="Q173" si="15">SUM(E173:P173)</f>
        <v>216000</v>
      </c>
      <c r="R173" s="39">
        <f>Q173/Summary!$Q$16</f>
        <v>6.4947188254007538E-3</v>
      </c>
      <c r="S173" s="39"/>
      <c r="T173" s="35"/>
      <c r="U173" s="40" t="e">
        <f>-IF(Q173-T173=0,0,(Q173-T173)/T173)</f>
        <v>#DIV/0!</v>
      </c>
    </row>
    <row r="174" spans="1:21" s="3" customFormat="1" ht="24.95" customHeight="1">
      <c r="A174" s="271" t="s">
        <v>1109</v>
      </c>
      <c r="B174" s="51" t="s">
        <v>49</v>
      </c>
      <c r="D174" s="26" t="s">
        <v>1114</v>
      </c>
      <c r="E174" s="43">
        <f>EO!E174+Finance!E174+HR!E174+Security!E174+IT!E174</f>
        <v>47000</v>
      </c>
      <c r="F174" s="43">
        <f>EO!F174+Finance!F174+HR!F174+Security!F174+IT!F174</f>
        <v>47000</v>
      </c>
      <c r="G174" s="43">
        <f>EO!G174+Finance!G174+HR!G174+Security!G174+IT!G174</f>
        <v>47000</v>
      </c>
      <c r="H174" s="43">
        <f>EO!H174+Finance!H174+HR!H174+Security!H174+IT!H174</f>
        <v>47000</v>
      </c>
      <c r="I174" s="43">
        <f>EO!I174+Finance!I174+HR!I174+Security!I174+IT!I174</f>
        <v>47000</v>
      </c>
      <c r="J174" s="43">
        <f>EO!J174+Finance!J174+HR!J174+Security!J174+IT!J174</f>
        <v>47000</v>
      </c>
      <c r="K174" s="43">
        <f>EO!K174+Finance!K174+HR!K174+Security!K174+IT!K174</f>
        <v>47000</v>
      </c>
      <c r="L174" s="43">
        <f>EO!L174+Finance!L174+HR!L174+Security!L174+IT!L174</f>
        <v>47000</v>
      </c>
      <c r="M174" s="43">
        <f>EO!M174+Finance!M174+HR!M174+Security!M174+IT!M174</f>
        <v>47000</v>
      </c>
      <c r="N174" s="43">
        <f>EO!N174+Finance!N174+HR!N174+Security!N174+IT!N174</f>
        <v>47000</v>
      </c>
      <c r="O174" s="43">
        <f>EO!O174+Finance!O174+HR!O174+Security!O174+IT!O174</f>
        <v>47000</v>
      </c>
      <c r="P174" s="43">
        <f>EO!P174+Finance!P174+HR!P174+Security!P174+IT!P174</f>
        <v>47000</v>
      </c>
      <c r="Q174" s="3">
        <f t="shared" si="14"/>
        <v>564000</v>
      </c>
      <c r="R174" s="39">
        <f>Q174/Summary!$Q$16</f>
        <v>1.6958432488546414E-2</v>
      </c>
      <c r="S174" s="39"/>
      <c r="T174" s="35"/>
      <c r="U174" s="40" t="e">
        <f>-IF(Q174-T174=0,0,(Q174-T174)/T174)</f>
        <v>#DIV/0!</v>
      </c>
    </row>
    <row r="175" spans="1:21" s="19" customFormat="1" ht="24.95" customHeight="1">
      <c r="A175" s="54"/>
      <c r="B175" s="51"/>
      <c r="D175" s="19" t="s">
        <v>316</v>
      </c>
      <c r="E175" s="52">
        <f t="shared" ref="E175:Q175" si="16">SUM(E168:E174)</f>
        <v>102438.44</v>
      </c>
      <c r="F175" s="52">
        <f t="shared" si="16"/>
        <v>112645.89</v>
      </c>
      <c r="G175" s="52">
        <f t="shared" si="16"/>
        <v>98027</v>
      </c>
      <c r="H175" s="52">
        <f t="shared" si="16"/>
        <v>98758.32</v>
      </c>
      <c r="I175" s="52">
        <f t="shared" si="16"/>
        <v>102661.23999999999</v>
      </c>
      <c r="J175" s="52">
        <f t="shared" si="16"/>
        <v>98758.32</v>
      </c>
      <c r="K175" s="52">
        <f t="shared" si="16"/>
        <v>98027</v>
      </c>
      <c r="L175" s="52">
        <f t="shared" si="16"/>
        <v>98027</v>
      </c>
      <c r="M175" s="52">
        <f t="shared" si="16"/>
        <v>98758.32</v>
      </c>
      <c r="N175" s="52">
        <f t="shared" si="16"/>
        <v>113123.87</v>
      </c>
      <c r="O175" s="52">
        <f t="shared" si="16"/>
        <v>98027</v>
      </c>
      <c r="P175" s="52">
        <f t="shared" si="16"/>
        <v>98027</v>
      </c>
      <c r="Q175" s="52">
        <f t="shared" si="16"/>
        <v>1217279.3999999999</v>
      </c>
      <c r="R175" s="39">
        <f>Q175/Summary!$Q$16</f>
        <v>3.6601330717372843E-2</v>
      </c>
      <c r="S175" s="39"/>
      <c r="T175" s="35"/>
      <c r="U175" s="40" t="e">
        <f>-IF(Q175-T175=0,0,(Q175-T175)/T175)</f>
        <v>#DIV/0!</v>
      </c>
    </row>
    <row r="176" spans="1:21" s="3" customFormat="1" ht="24.95" customHeight="1">
      <c r="A176" s="50"/>
      <c r="D176" s="19"/>
      <c r="E176" s="53"/>
      <c r="F176" s="53"/>
      <c r="G176" s="53"/>
      <c r="H176" s="25"/>
      <c r="I176" s="25"/>
      <c r="T176" s="35"/>
      <c r="U176" s="40"/>
    </row>
    <row r="177" spans="1:21" s="3" customFormat="1" ht="24.95" customHeight="1">
      <c r="A177" s="271" t="s">
        <v>625</v>
      </c>
      <c r="B177" s="51" t="s">
        <v>49</v>
      </c>
      <c r="D177" s="26" t="s">
        <v>318</v>
      </c>
      <c r="E177" s="63">
        <f>EO!E177+Finance!E177+HR!E177+Security!E177+IT!E177</f>
        <v>30812.800000000003</v>
      </c>
      <c r="F177" s="63">
        <f>EO!F177+Finance!F177+HR!F177+Security!F177+IT!F177</f>
        <v>30812.800000000003</v>
      </c>
      <c r="G177" s="63">
        <f>EO!G177+Finance!G177+HR!G177+Security!G177+IT!G177</f>
        <v>30812.800000000003</v>
      </c>
      <c r="H177" s="63">
        <f>EO!H177+Finance!H177+HR!H177+Security!H177+IT!H177</f>
        <v>30812.800000000003</v>
      </c>
      <c r="I177" s="63">
        <f>EO!I177+Finance!I177+HR!I177+Security!I177+IT!I177</f>
        <v>30812.800000000003</v>
      </c>
      <c r="J177" s="63">
        <f>EO!J177+Finance!J177+HR!J177+Security!J177+IT!J177</f>
        <v>30812.800000000003</v>
      </c>
      <c r="K177" s="63">
        <f>EO!K177+Finance!K177+HR!K177+Security!K177+IT!K177</f>
        <v>30812.800000000003</v>
      </c>
      <c r="L177" s="63">
        <f>EO!L177+Finance!L177+HR!L177+Security!L177+IT!L177</f>
        <v>30812.800000000003</v>
      </c>
      <c r="M177" s="63">
        <f>EO!M177+Finance!M177+HR!M177+Security!M177+IT!M177</f>
        <v>30812.800000000003</v>
      </c>
      <c r="N177" s="63">
        <f>EO!N177+Finance!N177+HR!N177+Security!N177+IT!N177</f>
        <v>30812.800000000003</v>
      </c>
      <c r="O177" s="63">
        <f>EO!O177+Finance!O177+HR!O177+Security!O177+IT!O177</f>
        <v>30812.800000000003</v>
      </c>
      <c r="P177" s="63">
        <f>EO!P177+Finance!P177+HR!P177+Security!P177+IT!P177</f>
        <v>30812.800000000003</v>
      </c>
      <c r="Q177" s="3">
        <f>SUM(E177:P177)</f>
        <v>369753.59999999992</v>
      </c>
      <c r="R177" s="39">
        <f>Q177/Summary!$Q$16</f>
        <v>1.1117804012406017E-2</v>
      </c>
      <c r="S177" s="39"/>
      <c r="T177" s="35"/>
      <c r="U177" s="40" t="e">
        <f t="shared" ref="U177:U185" si="17">-IF(Q177-T177=0,0,(Q177-T177)/T177)</f>
        <v>#DIV/0!</v>
      </c>
    </row>
    <row r="178" spans="1:21" s="3" customFormat="1" ht="24.95" customHeight="1">
      <c r="A178" s="271" t="s">
        <v>626</v>
      </c>
      <c r="B178" s="51" t="s">
        <v>49</v>
      </c>
      <c r="D178" s="26" t="s">
        <v>320</v>
      </c>
      <c r="E178" s="63">
        <f>EO!E178+Finance!E178+HR!E178+Security!E178+IT!E178</f>
        <v>13480.3</v>
      </c>
      <c r="F178" s="63">
        <f>EO!F178+Finance!F178+HR!F178+Security!F178+IT!F178</f>
        <v>13480.3</v>
      </c>
      <c r="G178" s="63">
        <f>EO!G178+Finance!G178+HR!G178+Security!G178+IT!G178</f>
        <v>13480.3</v>
      </c>
      <c r="H178" s="63">
        <f>EO!H178+Finance!H178+HR!H178+Security!H178+IT!H178</f>
        <v>13480.3</v>
      </c>
      <c r="I178" s="63">
        <f>EO!I178+Finance!I178+HR!I178+Security!I178+IT!I178</f>
        <v>13480.3</v>
      </c>
      <c r="J178" s="63">
        <f>EO!J178+Finance!J178+HR!J178+Security!J178+IT!J178</f>
        <v>13480.3</v>
      </c>
      <c r="K178" s="63">
        <f>EO!K178+Finance!K178+HR!K178+Security!K178+IT!K178</f>
        <v>13480.3</v>
      </c>
      <c r="L178" s="63">
        <f>EO!L178+Finance!L178+HR!L178+Security!L178+IT!L178</f>
        <v>13480.3</v>
      </c>
      <c r="M178" s="63">
        <f>EO!M178+Finance!M178+HR!M178+Security!M178+IT!M178</f>
        <v>13480.3</v>
      </c>
      <c r="N178" s="63">
        <f>EO!N178+Finance!N178+HR!N178+Security!N178+IT!N178</f>
        <v>13480.3</v>
      </c>
      <c r="O178" s="63">
        <f>EO!O178+Finance!O178+HR!O178+Security!O178+IT!O178</f>
        <v>13480.3</v>
      </c>
      <c r="P178" s="63">
        <f>EO!P178+Finance!P178+HR!P178+Security!P178+IT!P178</f>
        <v>13480.3</v>
      </c>
      <c r="Q178" s="3">
        <f t="shared" ref="Q178:Q184" si="18">SUM(E178:P178)</f>
        <v>161763.59999999998</v>
      </c>
      <c r="R178" s="39">
        <f>Q178/Summary!$Q$16</f>
        <v>4.863931010113876E-3</v>
      </c>
      <c r="S178" s="39"/>
      <c r="T178" s="35"/>
      <c r="U178" s="40" t="e">
        <f t="shared" si="17"/>
        <v>#DIV/0!</v>
      </c>
    </row>
    <row r="179" spans="1:21" s="3" customFormat="1" ht="24.95" customHeight="1">
      <c r="A179" s="271" t="s">
        <v>627</v>
      </c>
      <c r="B179" s="51" t="s">
        <v>49</v>
      </c>
      <c r="D179" s="26" t="s">
        <v>322</v>
      </c>
      <c r="E179" s="63">
        <f>EO!E179+Finance!E179+HR!E179+Security!E179+IT!E179</f>
        <v>962.91999999999985</v>
      </c>
      <c r="F179" s="63">
        <f>EO!F179+Finance!F179+HR!F179+Security!F179+IT!F179</f>
        <v>962.91999999999985</v>
      </c>
      <c r="G179" s="63">
        <f>EO!G179+Finance!G179+HR!G179+Security!G179+IT!G179</f>
        <v>962.91999999999985</v>
      </c>
      <c r="H179" s="63">
        <f>EO!H179+Finance!H179+HR!H179+Security!H179+IT!H179</f>
        <v>962.91999999999985</v>
      </c>
      <c r="I179" s="63">
        <f>EO!I179+Finance!I179+HR!I179+Security!I179+IT!I179</f>
        <v>962.91999999999985</v>
      </c>
      <c r="J179" s="63">
        <f>EO!J179+Finance!J179+HR!J179+Security!J179+IT!J179</f>
        <v>962.91999999999985</v>
      </c>
      <c r="K179" s="63">
        <f>EO!K179+Finance!K179+HR!K179+Security!K179+IT!K179</f>
        <v>962.91999999999985</v>
      </c>
      <c r="L179" s="63">
        <f>EO!L179+Finance!L179+HR!L179+Security!L179+IT!L179</f>
        <v>962.91999999999985</v>
      </c>
      <c r="M179" s="63">
        <f>EO!M179+Finance!M179+HR!M179+Security!M179+IT!M179</f>
        <v>962.91999999999985</v>
      </c>
      <c r="N179" s="63">
        <f>EO!N179+Finance!N179+HR!N179+Security!N179+IT!N179</f>
        <v>962.91999999999985</v>
      </c>
      <c r="O179" s="63">
        <f>EO!O179+Finance!O179+HR!O179+Security!O179+IT!O179</f>
        <v>962.91999999999985</v>
      </c>
      <c r="P179" s="63">
        <f>EO!P179+Finance!P179+HR!P179+Security!P179+IT!P179</f>
        <v>962.91999999999985</v>
      </c>
      <c r="Q179" s="3">
        <f t="shared" si="18"/>
        <v>11555.039999999999</v>
      </c>
      <c r="R179" s="39">
        <f>Q179/Summary!$Q$16</f>
        <v>3.4743859174193853E-4</v>
      </c>
      <c r="S179" s="39"/>
      <c r="T179" s="35"/>
      <c r="U179" s="40" t="e">
        <f t="shared" si="17"/>
        <v>#DIV/0!</v>
      </c>
    </row>
    <row r="180" spans="1:21" s="3" customFormat="1" ht="24.95" customHeight="1">
      <c r="A180" s="271" t="s">
        <v>628</v>
      </c>
      <c r="B180" s="51" t="s">
        <v>49</v>
      </c>
      <c r="D180" s="26" t="s">
        <v>324</v>
      </c>
      <c r="E180" s="63">
        <f>EO!E180+Finance!E180+HR!E180+Security!E180+IT!E180</f>
        <v>770.32</v>
      </c>
      <c r="F180" s="63">
        <f>EO!F180+Finance!F180+HR!F180+Security!F180+IT!F180</f>
        <v>770.32</v>
      </c>
      <c r="G180" s="63">
        <f>EO!G180+Finance!G180+HR!G180+Security!G180+IT!G180</f>
        <v>770.32</v>
      </c>
      <c r="H180" s="63">
        <f>EO!H180+Finance!H180+HR!H180+Security!H180+IT!H180</f>
        <v>770.32</v>
      </c>
      <c r="I180" s="63">
        <f>EO!I180+Finance!I180+HR!I180+Security!I180+IT!I180</f>
        <v>770.32</v>
      </c>
      <c r="J180" s="63">
        <f>EO!J180+Finance!J180+HR!J180+Security!J180+IT!J180</f>
        <v>770.32</v>
      </c>
      <c r="K180" s="63">
        <f>EO!K180+Finance!K180+HR!K180+Security!K180+IT!K180</f>
        <v>770.32</v>
      </c>
      <c r="L180" s="63">
        <f>EO!L180+Finance!L180+HR!L180+Security!L180+IT!L180</f>
        <v>770.32</v>
      </c>
      <c r="M180" s="63">
        <f>EO!M180+Finance!M180+HR!M180+Security!M180+IT!M180</f>
        <v>770.32</v>
      </c>
      <c r="N180" s="63">
        <f>EO!N180+Finance!N180+HR!N180+Security!N180+IT!N180</f>
        <v>770.32</v>
      </c>
      <c r="O180" s="63">
        <f>EO!O180+Finance!O180+HR!O180+Security!O180+IT!O180</f>
        <v>770.32</v>
      </c>
      <c r="P180" s="63">
        <f>EO!P180+Finance!P180+HR!P180+Security!P180+IT!P180</f>
        <v>770.32</v>
      </c>
      <c r="Q180" s="3">
        <f t="shared" si="18"/>
        <v>9243.8399999999983</v>
      </c>
      <c r="R180" s="39">
        <f>Q180/Summary!$Q$16</f>
        <v>2.7794510031015041E-4</v>
      </c>
      <c r="S180" s="39"/>
      <c r="T180" s="35"/>
      <c r="U180" s="40" t="e">
        <f t="shared" si="17"/>
        <v>#DIV/0!</v>
      </c>
    </row>
    <row r="181" spans="1:21" s="3" customFormat="1" ht="24.95" customHeight="1">
      <c r="A181" s="271" t="s">
        <v>629</v>
      </c>
      <c r="B181" s="51" t="s">
        <v>49</v>
      </c>
      <c r="D181" s="26" t="s">
        <v>326</v>
      </c>
      <c r="E181" s="63">
        <f>EO!E181+Finance!E181+HR!E181+Security!E181+IT!E181</f>
        <v>1540.63</v>
      </c>
      <c r="F181" s="63">
        <f>EO!F181+Finance!F181+HR!F181+Security!F181+IT!F181</f>
        <v>1540.63</v>
      </c>
      <c r="G181" s="63">
        <f>EO!G181+Finance!G181+HR!G181+Security!G181+IT!G181</f>
        <v>1540.63</v>
      </c>
      <c r="H181" s="63">
        <f>EO!H181+Finance!H181+HR!H181+Security!H181+IT!H181</f>
        <v>1540.63</v>
      </c>
      <c r="I181" s="63">
        <f>EO!I181+Finance!I181+HR!I181+Security!I181+IT!I181</f>
        <v>1540.63</v>
      </c>
      <c r="J181" s="63">
        <f>EO!J181+Finance!J181+HR!J181+Security!J181+IT!J181</f>
        <v>1540.63</v>
      </c>
      <c r="K181" s="63">
        <f>EO!K181+Finance!K181+HR!K181+Security!K181+IT!K181</f>
        <v>1540.63</v>
      </c>
      <c r="L181" s="63">
        <f>EO!L181+Finance!L181+HR!L181+Security!L181+IT!L181</f>
        <v>1540.63</v>
      </c>
      <c r="M181" s="63">
        <f>EO!M181+Finance!M181+HR!M181+Security!M181+IT!M181</f>
        <v>1540.63</v>
      </c>
      <c r="N181" s="63">
        <f>EO!N181+Finance!N181+HR!N181+Security!N181+IT!N181</f>
        <v>1540.63</v>
      </c>
      <c r="O181" s="63">
        <f>EO!O181+Finance!O181+HR!O181+Security!O181+IT!O181</f>
        <v>1540.63</v>
      </c>
      <c r="P181" s="63">
        <f>EO!P181+Finance!P181+HR!P181+Security!P181+IT!P181</f>
        <v>1540.63</v>
      </c>
      <c r="Q181" s="3">
        <f t="shared" si="18"/>
        <v>18487.560000000005</v>
      </c>
      <c r="R181" s="39">
        <f>Q181/Summary!$Q$16</f>
        <v>5.5588659244317591E-4</v>
      </c>
      <c r="S181" s="39"/>
      <c r="T181" s="35"/>
      <c r="U181" s="40" t="e">
        <f t="shared" si="17"/>
        <v>#DIV/0!</v>
      </c>
    </row>
    <row r="182" spans="1:21" s="3" customFormat="1" ht="24.95" customHeight="1">
      <c r="A182" s="271" t="s">
        <v>630</v>
      </c>
      <c r="B182" s="51" t="s">
        <v>49</v>
      </c>
      <c r="D182" s="26" t="s">
        <v>328</v>
      </c>
      <c r="E182" s="63">
        <f>EO!E182+Finance!E182+HR!E182+Security!E182+IT!E182</f>
        <v>19607.2</v>
      </c>
      <c r="F182" s="63">
        <f>EO!F182+Finance!F182+HR!F182+Security!F182+IT!F182</f>
        <v>19607.2</v>
      </c>
      <c r="G182" s="63">
        <f>EO!G182+Finance!G182+HR!G182+Security!G182+IT!G182</f>
        <v>19607.2</v>
      </c>
      <c r="H182" s="63">
        <f>EO!H182+Finance!H182+HR!H182+Security!H182+IT!H182</f>
        <v>19607.2</v>
      </c>
      <c r="I182" s="63">
        <f>EO!I182+Finance!I182+HR!I182+Security!I182+IT!I182</f>
        <v>19607.2</v>
      </c>
      <c r="J182" s="63">
        <f>EO!J182+Finance!J182+HR!J182+Security!J182+IT!J182</f>
        <v>19607.2</v>
      </c>
      <c r="K182" s="63">
        <f>EO!K182+Finance!K182+HR!K182+Security!K182+IT!K182</f>
        <v>19607.2</v>
      </c>
      <c r="L182" s="63">
        <f>EO!L182+Finance!L182+HR!L182+Security!L182+IT!L182</f>
        <v>19607.2</v>
      </c>
      <c r="M182" s="63">
        <f>EO!M182+Finance!M182+HR!M182+Security!M182+IT!M182</f>
        <v>19607.2</v>
      </c>
      <c r="N182" s="63">
        <f>EO!N182+Finance!N182+HR!N182+Security!N182+IT!N182</f>
        <v>19607.2</v>
      </c>
      <c r="O182" s="63">
        <f>EO!O182+Finance!O182+HR!O182+Security!O182+IT!O182</f>
        <v>19607.2</v>
      </c>
      <c r="P182" s="63">
        <f>EO!P182+Finance!P182+HR!P182+Security!P182+IT!P182</f>
        <v>19607.2</v>
      </c>
      <c r="Q182" s="3">
        <f t="shared" si="18"/>
        <v>235286.40000000005</v>
      </c>
      <c r="R182" s="39">
        <f>Q182/Summary!$Q$16</f>
        <v>7.0746250529665385E-3</v>
      </c>
      <c r="S182" s="39"/>
      <c r="T182" s="35"/>
      <c r="U182" s="40" t="e">
        <f t="shared" si="17"/>
        <v>#DIV/0!</v>
      </c>
    </row>
    <row r="183" spans="1:21" s="3" customFormat="1" ht="24.95" customHeight="1">
      <c r="A183" s="271" t="s">
        <v>631</v>
      </c>
      <c r="B183" s="51" t="s">
        <v>49</v>
      </c>
      <c r="D183" s="26" t="s">
        <v>330</v>
      </c>
      <c r="E183" s="63">
        <f>EO!E183+Finance!E183+HR!E183+Security!E183+IT!E183</f>
        <v>4032.96</v>
      </c>
      <c r="F183" s="63">
        <f>EO!F183+Finance!F183+HR!F183+Security!F183+IT!F183</f>
        <v>4032.96</v>
      </c>
      <c r="G183" s="63">
        <f>EO!G183+Finance!G183+HR!G183+Security!G183+IT!G183</f>
        <v>4032.96</v>
      </c>
      <c r="H183" s="63">
        <f>EO!H183+Finance!H183+HR!H183+Security!H183+IT!H183</f>
        <v>4032.96</v>
      </c>
      <c r="I183" s="63">
        <f>EO!I183+Finance!I183+HR!I183+Security!I183+IT!I183</f>
        <v>4032.96</v>
      </c>
      <c r="J183" s="63">
        <f>EO!J183+Finance!J183+HR!J183+Security!J183+IT!J183</f>
        <v>4032.96</v>
      </c>
      <c r="K183" s="63">
        <f>EO!K183+Finance!K183+HR!K183+Security!K183+IT!K183</f>
        <v>4032.96</v>
      </c>
      <c r="L183" s="63">
        <f>EO!L183+Finance!L183+HR!L183+Security!L183+IT!L183</f>
        <v>4032.96</v>
      </c>
      <c r="M183" s="63">
        <f>EO!M183+Finance!M183+HR!M183+Security!M183+IT!M183</f>
        <v>4032.96</v>
      </c>
      <c r="N183" s="63">
        <f>EO!N183+Finance!N183+HR!N183+Security!N183+IT!N183</f>
        <v>4032.96</v>
      </c>
      <c r="O183" s="63">
        <f>EO!O183+Finance!O183+HR!O183+Security!O183+IT!O183</f>
        <v>4032.96</v>
      </c>
      <c r="P183" s="63">
        <f>EO!P183+Finance!P183+HR!P183+Security!P183+IT!P183</f>
        <v>4032.96</v>
      </c>
      <c r="Q183" s="3">
        <f t="shared" si="18"/>
        <v>48395.519999999997</v>
      </c>
      <c r="R183" s="39">
        <f>Q183/Summary!$Q$16</f>
        <v>1.4551634018937902E-3</v>
      </c>
      <c r="S183" s="39"/>
      <c r="T183" s="35"/>
      <c r="U183" s="40" t="e">
        <f t="shared" si="17"/>
        <v>#DIV/0!</v>
      </c>
    </row>
    <row r="184" spans="1:21" s="3" customFormat="1" ht="24.95" customHeight="1">
      <c r="A184" s="271" t="s">
        <v>632</v>
      </c>
      <c r="B184" s="51" t="s">
        <v>49</v>
      </c>
      <c r="D184" s="26" t="s">
        <v>332</v>
      </c>
      <c r="E184" s="63">
        <f>EO!E184+Finance!E184+HR!E184+Security!E184+IT!E184</f>
        <v>0</v>
      </c>
      <c r="F184" s="63">
        <f>EO!F184+Finance!F184+HR!F184+Security!F184+IT!F184</f>
        <v>0</v>
      </c>
      <c r="G184" s="63">
        <f>EO!G184+Finance!G184+HR!G184+Security!G184+IT!G184</f>
        <v>0</v>
      </c>
      <c r="H184" s="63">
        <f>EO!H184+Finance!H184+HR!H184+Security!H184+IT!H184</f>
        <v>0</v>
      </c>
      <c r="I184" s="63">
        <f>EO!I184+Finance!I184+HR!I184+Security!I184+IT!I184</f>
        <v>0</v>
      </c>
      <c r="J184" s="63">
        <f>EO!J184+Finance!J184+HR!J184+Security!J184+IT!J184</f>
        <v>0</v>
      </c>
      <c r="K184" s="63">
        <f>EO!K184+Finance!K184+HR!K184+Security!K184+IT!K184</f>
        <v>0</v>
      </c>
      <c r="L184" s="63">
        <f>EO!L184+Finance!L184+HR!L184+Security!L184+IT!L184</f>
        <v>0</v>
      </c>
      <c r="M184" s="63">
        <f>EO!M184+Finance!M184+HR!M184+Security!M184+IT!M184</f>
        <v>0</v>
      </c>
      <c r="N184" s="63">
        <f>EO!N184+Finance!N184+HR!N184+Security!N184+IT!N184</f>
        <v>0</v>
      </c>
      <c r="O184" s="63">
        <f>EO!O184+Finance!O184+HR!O184+Security!O184+IT!O184</f>
        <v>0</v>
      </c>
      <c r="P184" s="63">
        <f>EO!P184+Finance!P184+HR!P184+Security!P184+IT!P184</f>
        <v>0</v>
      </c>
      <c r="Q184" s="3">
        <f t="shared" si="18"/>
        <v>0</v>
      </c>
      <c r="R184" s="39">
        <f>Q184/Summary!$Q$16</f>
        <v>0</v>
      </c>
      <c r="S184" s="39"/>
      <c r="T184" s="35"/>
      <c r="U184" s="40">
        <f t="shared" si="17"/>
        <v>0</v>
      </c>
    </row>
    <row r="185" spans="1:21" s="19" customFormat="1" ht="24.95" customHeight="1">
      <c r="A185" s="54"/>
      <c r="B185" s="51"/>
      <c r="D185" s="19" t="s">
        <v>333</v>
      </c>
      <c r="E185" s="45">
        <f>SUM(E177:E184)</f>
        <v>71207.13</v>
      </c>
      <c r="F185" s="45">
        <f t="shared" ref="F185:Q185" si="19">SUM(F177:F184)</f>
        <v>71207.13</v>
      </c>
      <c r="G185" s="45">
        <f t="shared" si="19"/>
        <v>71207.13</v>
      </c>
      <c r="H185" s="45">
        <f t="shared" si="19"/>
        <v>71207.13</v>
      </c>
      <c r="I185" s="45">
        <f t="shared" si="19"/>
        <v>71207.13</v>
      </c>
      <c r="J185" s="45">
        <f t="shared" si="19"/>
        <v>71207.13</v>
      </c>
      <c r="K185" s="45">
        <f t="shared" si="19"/>
        <v>71207.13</v>
      </c>
      <c r="L185" s="45">
        <f t="shared" si="19"/>
        <v>71207.13</v>
      </c>
      <c r="M185" s="45">
        <f t="shared" si="19"/>
        <v>71207.13</v>
      </c>
      <c r="N185" s="45">
        <f t="shared" si="19"/>
        <v>71207.13</v>
      </c>
      <c r="O185" s="45">
        <f t="shared" si="19"/>
        <v>71207.13</v>
      </c>
      <c r="P185" s="45">
        <f t="shared" si="19"/>
        <v>71207.13</v>
      </c>
      <c r="Q185" s="45">
        <f t="shared" si="19"/>
        <v>854485.56</v>
      </c>
      <c r="R185" s="39">
        <f>Q185/Summary!$Q$16</f>
        <v>2.5692793761875488E-2</v>
      </c>
      <c r="S185" s="39"/>
      <c r="T185" s="35"/>
      <c r="U185" s="40" t="e">
        <f t="shared" si="17"/>
        <v>#DIV/0!</v>
      </c>
    </row>
    <row r="186" spans="1:21" s="19" customFormat="1" ht="24.95" customHeight="1">
      <c r="A186" s="54"/>
      <c r="B186" s="51"/>
      <c r="D186" s="21"/>
      <c r="E186" s="55"/>
      <c r="F186" s="55"/>
      <c r="G186" s="55"/>
      <c r="H186" s="57"/>
      <c r="I186" s="57"/>
      <c r="T186" s="35"/>
      <c r="U186" s="40"/>
    </row>
    <row r="187" spans="1:21" s="3" customFormat="1" ht="24.95" hidden="1" customHeight="1">
      <c r="A187" s="271" t="s">
        <v>633</v>
      </c>
      <c r="B187" s="51" t="s">
        <v>49</v>
      </c>
      <c r="D187" s="26" t="s">
        <v>335</v>
      </c>
      <c r="E187" s="63">
        <f>EO!E187+Finance!E187+HR!E187+Security!E187+IT!E187</f>
        <v>0</v>
      </c>
      <c r="F187" s="63">
        <f>EO!F187+Finance!F187+HR!F187+Security!F187+IT!F187</f>
        <v>0</v>
      </c>
      <c r="G187" s="63">
        <f>EO!G187+Finance!G187+HR!G187+Security!G187+IT!G187</f>
        <v>0</v>
      </c>
      <c r="H187" s="63">
        <f>EO!H187+Finance!H187+HR!H187+Security!H187+IT!H187</f>
        <v>0</v>
      </c>
      <c r="I187" s="63">
        <f>EO!I187+Finance!I187+HR!I187+Security!I187+IT!I187</f>
        <v>0</v>
      </c>
      <c r="J187" s="63">
        <f>EO!J187+Finance!J187+HR!J187+Security!J187+IT!J187</f>
        <v>0</v>
      </c>
      <c r="K187" s="63">
        <f>EO!K187+Finance!K187+HR!K187+Security!K187+IT!K187</f>
        <v>0</v>
      </c>
      <c r="L187" s="63">
        <f>EO!L187+Finance!L187+HR!L187+Security!L187+IT!L187</f>
        <v>0</v>
      </c>
      <c r="M187" s="63">
        <f>EO!M187+Finance!M187+HR!M187+Security!M187+IT!M187</f>
        <v>0</v>
      </c>
      <c r="N187" s="63">
        <f>EO!N187+Finance!N187+HR!N187+Security!N187+IT!N187</f>
        <v>0</v>
      </c>
      <c r="O187" s="63">
        <f>EO!O187+Finance!O187+HR!O187+Security!O187+IT!O187</f>
        <v>0</v>
      </c>
      <c r="P187" s="63">
        <f>EO!P187+Finance!P187+HR!P187+Security!P187+IT!P187</f>
        <v>0</v>
      </c>
      <c r="Q187" s="3">
        <f>SUM(E187:P187)</f>
        <v>0</v>
      </c>
      <c r="R187" s="39">
        <f>Q187/Summary!$Q$16</f>
        <v>0</v>
      </c>
      <c r="S187" s="39"/>
      <c r="T187" s="35"/>
      <c r="U187" s="40">
        <f t="shared" ref="U187:U196" si="20">-IF(Q187-T187=0,0,(Q187-T187)/T187)</f>
        <v>0</v>
      </c>
    </row>
    <row r="188" spans="1:21" s="3" customFormat="1" ht="24.95" hidden="1" customHeight="1">
      <c r="A188" s="271" t="s">
        <v>634</v>
      </c>
      <c r="B188" s="51" t="s">
        <v>49</v>
      </c>
      <c r="D188" s="3" t="s">
        <v>337</v>
      </c>
      <c r="E188" s="63">
        <f>EO!E188+Finance!E188+HR!E188+Security!E188+IT!E188</f>
        <v>0</v>
      </c>
      <c r="F188" s="63">
        <f>EO!F188+Finance!F188+HR!F188+Security!F188+IT!F188</f>
        <v>0</v>
      </c>
      <c r="G188" s="63">
        <f>EO!G188+Finance!G188+HR!G188+Security!G188+IT!G188</f>
        <v>0</v>
      </c>
      <c r="H188" s="63">
        <f>EO!H188+Finance!H188+HR!H188+Security!H188+IT!H188</f>
        <v>0</v>
      </c>
      <c r="I188" s="63">
        <f>EO!I188+Finance!I188+HR!I188+Security!I188+IT!I188</f>
        <v>0</v>
      </c>
      <c r="J188" s="63">
        <f>EO!J188+Finance!J188+HR!J188+Security!J188+IT!J188</f>
        <v>0</v>
      </c>
      <c r="K188" s="63">
        <f>EO!K188+Finance!K188+HR!K188+Security!K188+IT!K188</f>
        <v>0</v>
      </c>
      <c r="L188" s="63">
        <f>EO!L188+Finance!L188+HR!L188+Security!L188+IT!L188</f>
        <v>0</v>
      </c>
      <c r="M188" s="63">
        <f>EO!M188+Finance!M188+HR!M188+Security!M188+IT!M188</f>
        <v>0</v>
      </c>
      <c r="N188" s="63">
        <f>EO!N188+Finance!N188+HR!N188+Security!N188+IT!N188</f>
        <v>0</v>
      </c>
      <c r="O188" s="63">
        <f>EO!O188+Finance!O188+HR!O188+Security!O188+IT!O188</f>
        <v>0</v>
      </c>
      <c r="P188" s="63">
        <f>EO!P188+Finance!P188+HR!P188+Security!P188+IT!P188</f>
        <v>0</v>
      </c>
      <c r="Q188" s="3">
        <f t="shared" ref="Q188:Q194" si="21">SUM(E188:P188)</f>
        <v>0</v>
      </c>
      <c r="R188" s="39">
        <f>Q188/Summary!$Q$16</f>
        <v>0</v>
      </c>
      <c r="S188" s="39"/>
      <c r="T188" s="35"/>
      <c r="U188" s="40">
        <f t="shared" si="20"/>
        <v>0</v>
      </c>
    </row>
    <row r="189" spans="1:21" s="3" customFormat="1" ht="24.95" hidden="1" customHeight="1">
      <c r="A189" s="271" t="s">
        <v>635</v>
      </c>
      <c r="B189" s="51" t="s">
        <v>49</v>
      </c>
      <c r="D189" s="26" t="s">
        <v>339</v>
      </c>
      <c r="E189" s="63">
        <f>EO!E189+Finance!E189+HR!E189+Security!E189+IT!E189</f>
        <v>0</v>
      </c>
      <c r="F189" s="63">
        <f>EO!F189+Finance!F189+HR!F189+Security!F189+IT!F189</f>
        <v>0</v>
      </c>
      <c r="G189" s="63">
        <f>EO!G189+Finance!G189+HR!G189+Security!G189+IT!G189</f>
        <v>0</v>
      </c>
      <c r="H189" s="63">
        <f>EO!H189+Finance!H189+HR!H189+Security!H189+IT!H189</f>
        <v>0</v>
      </c>
      <c r="I189" s="63">
        <f>EO!I189+Finance!I189+HR!I189+Security!I189+IT!I189</f>
        <v>0</v>
      </c>
      <c r="J189" s="63">
        <f>EO!J189+Finance!J189+HR!J189+Security!J189+IT!J189</f>
        <v>0</v>
      </c>
      <c r="K189" s="63">
        <f>EO!K189+Finance!K189+HR!K189+Security!K189+IT!K189</f>
        <v>0</v>
      </c>
      <c r="L189" s="63">
        <f>EO!L189+Finance!L189+HR!L189+Security!L189+IT!L189</f>
        <v>0</v>
      </c>
      <c r="M189" s="63">
        <f>EO!M189+Finance!M189+HR!M189+Security!M189+IT!M189</f>
        <v>0</v>
      </c>
      <c r="N189" s="63">
        <f>EO!N189+Finance!N189+HR!N189+Security!N189+IT!N189</f>
        <v>0</v>
      </c>
      <c r="O189" s="63">
        <f>EO!O189+Finance!O189+HR!O189+Security!O189+IT!O189</f>
        <v>0</v>
      </c>
      <c r="P189" s="63">
        <f>EO!P189+Finance!P189+HR!P189+Security!P189+IT!P189</f>
        <v>0</v>
      </c>
      <c r="Q189" s="3">
        <f t="shared" si="21"/>
        <v>0</v>
      </c>
      <c r="R189" s="39">
        <f>Q189/Summary!$Q$16</f>
        <v>0</v>
      </c>
      <c r="S189" s="39"/>
      <c r="T189" s="35"/>
      <c r="U189" s="40">
        <f t="shared" si="20"/>
        <v>0</v>
      </c>
    </row>
    <row r="190" spans="1:21" s="3" customFormat="1" ht="24.95" hidden="1" customHeight="1">
      <c r="A190" s="271" t="s">
        <v>636</v>
      </c>
      <c r="B190" s="51" t="s">
        <v>49</v>
      </c>
      <c r="D190" s="26" t="s">
        <v>341</v>
      </c>
      <c r="E190" s="63">
        <f>EO!E190+Finance!E190+HR!E190+Security!E190+IT!E190</f>
        <v>0</v>
      </c>
      <c r="F190" s="63">
        <f>EO!F190+Finance!F190+HR!F190+Security!F190+IT!F190</f>
        <v>0</v>
      </c>
      <c r="G190" s="63">
        <f>EO!G190+Finance!G190+HR!G190+Security!G190+IT!G190</f>
        <v>0</v>
      </c>
      <c r="H190" s="63">
        <f>EO!H190+Finance!H190+HR!H190+Security!H190+IT!H190</f>
        <v>0</v>
      </c>
      <c r="I190" s="63">
        <f>EO!I190+Finance!I190+HR!I190+Security!I190+IT!I190</f>
        <v>0</v>
      </c>
      <c r="J190" s="63">
        <f>EO!J190+Finance!J190+HR!J190+Security!J190+IT!J190</f>
        <v>0</v>
      </c>
      <c r="K190" s="63">
        <f>EO!K190+Finance!K190+HR!K190+Security!K190+IT!K190</f>
        <v>0</v>
      </c>
      <c r="L190" s="63">
        <f>EO!L190+Finance!L190+HR!L190+Security!L190+IT!L190</f>
        <v>0</v>
      </c>
      <c r="M190" s="63">
        <f>EO!M190+Finance!M190+HR!M190+Security!M190+IT!M190</f>
        <v>0</v>
      </c>
      <c r="N190" s="63">
        <f>EO!N190+Finance!N190+HR!N190+Security!N190+IT!N190</f>
        <v>0</v>
      </c>
      <c r="O190" s="63">
        <f>EO!O190+Finance!O190+HR!O190+Security!O190+IT!O190</f>
        <v>0</v>
      </c>
      <c r="P190" s="63">
        <f>EO!P190+Finance!P190+HR!P190+Security!P190+IT!P190</f>
        <v>0</v>
      </c>
      <c r="Q190" s="3">
        <f t="shared" si="21"/>
        <v>0</v>
      </c>
      <c r="R190" s="39">
        <f>Q190/Summary!$Q$16</f>
        <v>0</v>
      </c>
      <c r="S190" s="39"/>
      <c r="T190" s="35"/>
      <c r="U190" s="40">
        <f t="shared" si="20"/>
        <v>0</v>
      </c>
    </row>
    <row r="191" spans="1:21" s="3" customFormat="1" ht="24.95" customHeight="1">
      <c r="A191" s="271" t="s">
        <v>637</v>
      </c>
      <c r="B191" s="51" t="s">
        <v>49</v>
      </c>
      <c r="D191" s="26" t="s">
        <v>343</v>
      </c>
      <c r="E191" s="63">
        <f>EO!E191+Finance!E191+HR!E191+Security!E191+IT!E191</f>
        <v>0</v>
      </c>
      <c r="F191" s="63">
        <f>EO!F191+Finance!F191+HR!F191+Security!F191+IT!F191</f>
        <v>0</v>
      </c>
      <c r="G191" s="63">
        <f>EO!G191+Finance!G191+HR!G191+Security!G191+IT!G191</f>
        <v>0</v>
      </c>
      <c r="H191" s="63">
        <f>EO!H191+Finance!H191+HR!H191+Security!H191+IT!H191</f>
        <v>0</v>
      </c>
      <c r="I191" s="63">
        <f>EO!I191+Finance!I191+HR!I191+Security!I191+IT!I191</f>
        <v>0</v>
      </c>
      <c r="J191" s="63">
        <f>EO!J191+Finance!J191+HR!J191+Security!J191+IT!J191</f>
        <v>0</v>
      </c>
      <c r="K191" s="63">
        <f>EO!K191+Finance!K191+HR!K191+Security!K191+IT!K191</f>
        <v>0</v>
      </c>
      <c r="L191" s="63">
        <f>EO!L191+Finance!L191+HR!L191+Security!L191+IT!L191</f>
        <v>0</v>
      </c>
      <c r="M191" s="63">
        <f>EO!M191+Finance!M191+HR!M191+Security!M191+IT!M191</f>
        <v>0</v>
      </c>
      <c r="N191" s="63">
        <f>EO!N191+Finance!N191+HR!N191+Security!N191+IT!N191</f>
        <v>0</v>
      </c>
      <c r="O191" s="63">
        <f>EO!O191+Finance!O191+HR!O191+Security!O191+IT!O191</f>
        <v>0</v>
      </c>
      <c r="P191" s="63">
        <f>EO!P191+Finance!P191+HR!P191+Security!P191+IT!P191</f>
        <v>0</v>
      </c>
      <c r="Q191" s="3">
        <f t="shared" si="21"/>
        <v>0</v>
      </c>
      <c r="R191" s="39">
        <f>Q191/Summary!$Q$16</f>
        <v>0</v>
      </c>
      <c r="S191" s="39"/>
      <c r="T191" s="35"/>
      <c r="U191" s="40">
        <f t="shared" si="20"/>
        <v>0</v>
      </c>
    </row>
    <row r="192" spans="1:21" s="3" customFormat="1" ht="24.95" customHeight="1">
      <c r="A192" s="271" t="s">
        <v>638</v>
      </c>
      <c r="B192" s="51" t="s">
        <v>49</v>
      </c>
      <c r="D192" s="26" t="s">
        <v>639</v>
      </c>
      <c r="E192" s="63">
        <f>HR!E192</f>
        <v>2250</v>
      </c>
      <c r="F192" s="63">
        <f>HR!F192</f>
        <v>21750</v>
      </c>
      <c r="G192" s="63">
        <f>HR!G192</f>
        <v>6250</v>
      </c>
      <c r="H192" s="63">
        <f>HR!H192</f>
        <v>2250</v>
      </c>
      <c r="I192" s="63">
        <f>HR!I192</f>
        <v>1750</v>
      </c>
      <c r="J192" s="63">
        <f>HR!J192</f>
        <v>12250</v>
      </c>
      <c r="K192" s="63">
        <f>HR!K192</f>
        <v>2250</v>
      </c>
      <c r="L192" s="63">
        <f>HR!L192</f>
        <v>11750</v>
      </c>
      <c r="M192" s="63">
        <f>HR!M192</f>
        <v>6250</v>
      </c>
      <c r="N192" s="63">
        <f>HR!N192</f>
        <v>2250</v>
      </c>
      <c r="O192" s="63">
        <f>HR!O192</f>
        <v>6750</v>
      </c>
      <c r="P192" s="63">
        <f>HR!P192</f>
        <v>7250</v>
      </c>
      <c r="Q192" s="3">
        <f t="shared" si="21"/>
        <v>83000</v>
      </c>
      <c r="R192" s="39">
        <f>Q192/Summary!$Q$16</f>
        <v>2.4956558449456601E-3</v>
      </c>
      <c r="S192" s="39"/>
      <c r="T192" s="35"/>
      <c r="U192" s="40" t="e">
        <f t="shared" si="20"/>
        <v>#DIV/0!</v>
      </c>
    </row>
    <row r="193" spans="1:21" s="3" customFormat="1" ht="24.95" customHeight="1">
      <c r="A193" s="271" t="s">
        <v>344</v>
      </c>
      <c r="B193" s="51" t="s">
        <v>49</v>
      </c>
      <c r="D193" s="26" t="s">
        <v>345</v>
      </c>
      <c r="E193" s="63">
        <f>EO!E192+Finance!E192+HR!E193+Security!E192+IT!E192</f>
        <v>0</v>
      </c>
      <c r="F193" s="63">
        <f>EO!F192+Finance!F192+HR!F193+Security!F192+IT!F192</f>
        <v>0</v>
      </c>
      <c r="G193" s="63">
        <f>EO!G192+Finance!G192+HR!G193+Security!G192+IT!G192</f>
        <v>0</v>
      </c>
      <c r="H193" s="63">
        <f>EO!H192+Finance!H192+HR!H193+Security!H192+IT!H192</f>
        <v>0</v>
      </c>
      <c r="I193" s="63">
        <f>EO!I192+Finance!I192+HR!I193+Security!I192+IT!I192</f>
        <v>0</v>
      </c>
      <c r="J193" s="63">
        <f>EO!J192+Finance!J192+HR!J193+Security!J192+IT!J192</f>
        <v>0</v>
      </c>
      <c r="K193" s="63">
        <f>EO!K192+Finance!K192+HR!K193+Security!K192+IT!K192</f>
        <v>0</v>
      </c>
      <c r="L193" s="63">
        <f>EO!L192+Finance!L192+HR!L193+Security!L192+IT!L192</f>
        <v>0</v>
      </c>
      <c r="M193" s="63">
        <f>EO!M192+Finance!M192+HR!M193+Security!M192+IT!M192</f>
        <v>0</v>
      </c>
      <c r="N193" s="63">
        <f>EO!N192+Finance!N192+HR!N193+Security!N192+IT!N192</f>
        <v>0</v>
      </c>
      <c r="O193" s="63">
        <f>EO!O192+Finance!O192+HR!O193+Security!O192+IT!O192</f>
        <v>0</v>
      </c>
      <c r="P193" s="63">
        <f>EO!P192+Finance!P192+HR!P193+Security!P192+IT!P192</f>
        <v>0</v>
      </c>
      <c r="Q193" s="3">
        <f t="shared" si="21"/>
        <v>0</v>
      </c>
      <c r="R193" s="39">
        <f>Q193/Summary!$Q$16</f>
        <v>0</v>
      </c>
      <c r="S193" s="39"/>
      <c r="T193" s="35"/>
      <c r="U193" s="40">
        <f t="shared" si="20"/>
        <v>0</v>
      </c>
    </row>
    <row r="194" spans="1:21" s="3" customFormat="1" ht="24.95" customHeight="1">
      <c r="A194" s="3" t="s">
        <v>640</v>
      </c>
      <c r="B194" s="51" t="s">
        <v>49</v>
      </c>
      <c r="D194" s="26" t="s">
        <v>347</v>
      </c>
      <c r="E194" s="63">
        <f>EO!E193+Finance!E193+HR!E194+Security!E193+IT!E193</f>
        <v>26840.28</v>
      </c>
      <c r="F194" s="63">
        <f>EO!F193+Finance!F193+HR!F194+Security!F193+IT!F193</f>
        <v>28054.78</v>
      </c>
      <c r="G194" s="63">
        <f>EO!G193+Finance!G193+HR!G194+Security!G193+IT!G193</f>
        <v>26233.050000000003</v>
      </c>
      <c r="H194" s="63">
        <f>EO!H193+Finance!H193+HR!H194+Security!H193+IT!H193</f>
        <v>26840.28</v>
      </c>
      <c r="I194" s="63">
        <f>EO!I193+Finance!I193+HR!I194+Security!I193+IT!I193</f>
        <v>26840.28</v>
      </c>
      <c r="J194" s="63">
        <f>EO!J193+Finance!J193+HR!J194+Security!J193+IT!J193</f>
        <v>26840.28</v>
      </c>
      <c r="K194" s="63">
        <f>EO!K193+Finance!K193+HR!K194+Security!K193+IT!K193</f>
        <v>26233.050000000003</v>
      </c>
      <c r="L194" s="63">
        <f>EO!L193+Finance!L193+HR!L194+Security!L193+IT!L193</f>
        <v>26233.050000000003</v>
      </c>
      <c r="M194" s="63">
        <f>EO!M193+Finance!M193+HR!M194+Security!M193+IT!M193</f>
        <v>26840.28</v>
      </c>
      <c r="N194" s="63">
        <f>EO!N193+Finance!N193+HR!N194+Security!N193+IT!N193</f>
        <v>28054.78</v>
      </c>
      <c r="O194" s="63">
        <f>EO!O193+Finance!O193+HR!O194+Security!O193+IT!O193</f>
        <v>26233.050000000003</v>
      </c>
      <c r="P194" s="63">
        <f>EO!P193+Finance!P193+HR!P194+Security!P193+IT!P193</f>
        <v>26233.050000000003</v>
      </c>
      <c r="Q194" s="3">
        <f t="shared" si="21"/>
        <v>321476.20999999996</v>
      </c>
      <c r="R194" s="39">
        <f>Q194/Summary!$Q$16</f>
        <v>9.6661925602105833E-3</v>
      </c>
      <c r="S194" s="39"/>
      <c r="T194" s="35"/>
      <c r="U194" s="40" t="e">
        <f t="shared" si="20"/>
        <v>#DIV/0!</v>
      </c>
    </row>
    <row r="195" spans="1:21" s="3" customFormat="1" ht="24.95" customHeight="1">
      <c r="A195" s="54"/>
      <c r="B195" s="51"/>
      <c r="D195" s="19" t="s">
        <v>348</v>
      </c>
      <c r="E195" s="52">
        <f>SUM(E187:E194)</f>
        <v>29090.28</v>
      </c>
      <c r="F195" s="52">
        <f t="shared" ref="F195:Q195" si="22">SUM(F187:F194)</f>
        <v>49804.78</v>
      </c>
      <c r="G195" s="52">
        <f t="shared" si="22"/>
        <v>32483.050000000003</v>
      </c>
      <c r="H195" s="52">
        <f t="shared" si="22"/>
        <v>29090.28</v>
      </c>
      <c r="I195" s="52">
        <f t="shared" si="22"/>
        <v>28590.28</v>
      </c>
      <c r="J195" s="52">
        <f t="shared" si="22"/>
        <v>39090.28</v>
      </c>
      <c r="K195" s="52">
        <f t="shared" si="22"/>
        <v>28483.050000000003</v>
      </c>
      <c r="L195" s="52">
        <f t="shared" si="22"/>
        <v>37983.050000000003</v>
      </c>
      <c r="M195" s="52">
        <f t="shared" si="22"/>
        <v>33090.28</v>
      </c>
      <c r="N195" s="52">
        <f t="shared" si="22"/>
        <v>30304.78</v>
      </c>
      <c r="O195" s="52">
        <f t="shared" si="22"/>
        <v>32983.050000000003</v>
      </c>
      <c r="P195" s="52">
        <f t="shared" si="22"/>
        <v>33483.050000000003</v>
      </c>
      <c r="Q195" s="52">
        <f t="shared" si="22"/>
        <v>404476.20999999996</v>
      </c>
      <c r="R195" s="39">
        <f>Q195/Summary!$Q$16</f>
        <v>1.2161848405156243E-2</v>
      </c>
      <c r="S195" s="39"/>
      <c r="T195" s="35"/>
      <c r="U195" s="40" t="e">
        <f t="shared" si="20"/>
        <v>#DIV/0!</v>
      </c>
    </row>
    <row r="196" spans="1:21" s="3" customFormat="1" ht="24.95" customHeight="1">
      <c r="A196" s="54"/>
      <c r="B196" s="51"/>
      <c r="D196" s="19" t="s">
        <v>349</v>
      </c>
      <c r="E196" s="52">
        <f>E166+E175+E185+E195</f>
        <v>404383.85</v>
      </c>
      <c r="F196" s="52">
        <f t="shared" ref="F196:Q196" si="23">F166+F175+F185+F195</f>
        <v>435305.80000000005</v>
      </c>
      <c r="G196" s="52">
        <f t="shared" si="23"/>
        <v>403365.18</v>
      </c>
      <c r="H196" s="52">
        <f t="shared" si="23"/>
        <v>400703.73</v>
      </c>
      <c r="I196" s="52">
        <f t="shared" si="23"/>
        <v>404106.65</v>
      </c>
      <c r="J196" s="52">
        <f t="shared" si="23"/>
        <v>410703.73</v>
      </c>
      <c r="K196" s="52">
        <f t="shared" si="23"/>
        <v>399365.18</v>
      </c>
      <c r="L196" s="52">
        <f t="shared" si="23"/>
        <v>408865.18</v>
      </c>
      <c r="M196" s="52">
        <f t="shared" si="23"/>
        <v>404703.73</v>
      </c>
      <c r="N196" s="52">
        <f t="shared" si="23"/>
        <v>416283.78</v>
      </c>
      <c r="O196" s="52">
        <f t="shared" si="23"/>
        <v>403865.18</v>
      </c>
      <c r="P196" s="52">
        <f t="shared" si="23"/>
        <v>404365.18</v>
      </c>
      <c r="Q196" s="52">
        <f t="shared" si="23"/>
        <v>4896017.17</v>
      </c>
      <c r="R196" s="39">
        <f>Q196/Summary!$Q$16</f>
        <v>0.14721414297909408</v>
      </c>
      <c r="S196" s="39"/>
      <c r="T196" s="35"/>
      <c r="U196" s="40" t="e">
        <f t="shared" si="20"/>
        <v>#DIV/0!</v>
      </c>
    </row>
    <row r="197" spans="1:21" s="3" customFormat="1" ht="24.95" customHeight="1">
      <c r="A197" s="54"/>
      <c r="B197" s="51"/>
      <c r="D197" s="21"/>
      <c r="E197" s="53"/>
      <c r="F197" s="53"/>
      <c r="G197" s="53"/>
      <c r="H197" s="57"/>
      <c r="I197" s="57"/>
      <c r="Q197" s="3">
        <f>Q196-Q174-Q173</f>
        <v>4116017.17</v>
      </c>
      <c r="T197" s="35"/>
      <c r="U197" s="40"/>
    </row>
    <row r="198" spans="1:21" s="19" customFormat="1" ht="24.95" customHeight="1">
      <c r="A198" s="272" t="s">
        <v>105</v>
      </c>
      <c r="B198" s="75" t="s">
        <v>49</v>
      </c>
      <c r="D198" s="19" t="s">
        <v>352</v>
      </c>
      <c r="E198" s="62">
        <f>EO!E197+Finance!E197+HR!E198+Security!E197+IT!E197</f>
        <v>27</v>
      </c>
      <c r="F198" s="62">
        <f>EO!F197+Finance!F197+HR!F198+Security!F197+IT!F197</f>
        <v>27</v>
      </c>
      <c r="G198" s="62">
        <f>EO!G197+Finance!G197+HR!G198+Security!G197+IT!G197</f>
        <v>27</v>
      </c>
      <c r="H198" s="62">
        <f>EO!H197+Finance!H197+HR!H198+Security!H197+IT!H197</f>
        <v>27</v>
      </c>
      <c r="I198" s="62">
        <f>EO!I197+Finance!I197+HR!I198+Security!I197+IT!I197</f>
        <v>27</v>
      </c>
      <c r="J198" s="62">
        <f>EO!J197+Finance!J197+HR!J198+Security!J197+IT!J197</f>
        <v>27</v>
      </c>
      <c r="K198" s="62">
        <f>EO!K197+Finance!K197+HR!K198+Security!K197+IT!K197</f>
        <v>27</v>
      </c>
      <c r="L198" s="62">
        <f>EO!L197+Finance!L197+HR!L198+Security!L197+IT!L197</f>
        <v>27</v>
      </c>
      <c r="M198" s="62">
        <f>EO!M197+Finance!M197+HR!M198+Security!M197+IT!M197</f>
        <v>27</v>
      </c>
      <c r="N198" s="62">
        <f>EO!N197+Finance!N197+HR!N198+Security!N197+IT!N197</f>
        <v>27</v>
      </c>
      <c r="O198" s="62">
        <f>EO!O197+Finance!O197+HR!O198+Security!O197+IT!O197</f>
        <v>27</v>
      </c>
      <c r="P198" s="62">
        <f>EO!P197+Finance!P197+HR!P198+Security!P197+IT!P197</f>
        <v>27</v>
      </c>
      <c r="Q198" s="85">
        <f>SUM(E198:P198)/12</f>
        <v>27</v>
      </c>
      <c r="T198" s="35"/>
      <c r="U198" s="40" t="e">
        <f>-IF(Q198-T198=0,0,(Q198-T198)/T198)</f>
        <v>#DIV/0!</v>
      </c>
    </row>
    <row r="199" spans="1:21" ht="26.25" customHeight="1">
      <c r="E199" s="7">
        <f>E195+E185+E175-IT!E175-IT!E185-IT!E194</f>
        <v>189907.01</v>
      </c>
      <c r="F199" s="7">
        <f>F195+F185+F175-IT!F175-IT!F185-IT!F194</f>
        <v>220786.93</v>
      </c>
      <c r="G199" s="7">
        <f>G195+G185+G175-IT!G175-IT!G185-IT!G194</f>
        <v>188909.35</v>
      </c>
      <c r="H199" s="7">
        <f>H195+H185+H175-IT!H175-IT!H185-IT!H194</f>
        <v>186226.89</v>
      </c>
      <c r="I199" s="7">
        <f>I195+I185+I175-IT!I175-IT!I185-IT!I194</f>
        <v>189629.81</v>
      </c>
      <c r="J199" s="7">
        <f>J195+J185+J175-IT!J175-IT!J185-IT!J194</f>
        <v>196226.89</v>
      </c>
      <c r="K199" s="7">
        <f>K195+K185+K175-IT!K175-IT!K185-IT!K194</f>
        <v>184909.35</v>
      </c>
      <c r="L199" s="7">
        <f>L195+L185+L175-IT!L175-IT!L185-IT!L194</f>
        <v>194409.35</v>
      </c>
      <c r="M199" s="7">
        <f>M195+M185+M175-IT!M175-IT!M185-IT!M194</f>
        <v>190226.89</v>
      </c>
      <c r="N199" s="7">
        <f>N195+N185+N175-IT!N175-IT!N185-IT!N194</f>
        <v>201764.91</v>
      </c>
      <c r="O199" s="7">
        <f>O195+O185+O175-IT!O175-IT!O185-IT!O194</f>
        <v>189409.35</v>
      </c>
      <c r="P199" s="7">
        <f>P195+P185+P175-IT!P175-IT!P185-IT!P194</f>
        <v>189909.35</v>
      </c>
      <c r="Q199" s="3">
        <f>Q196-IT!Q195</f>
        <v>4742092.08</v>
      </c>
    </row>
  </sheetData>
  <phoneticPr fontId="57" type="noConversion"/>
  <dataValidations count="21">
    <dataValidation type="textLength" errorStyle="information" allowBlank="1" showInputMessage="1" showErrorMessage="1" error="XLBVal:6=9711240_x000d__x000a_" sqref="Q165">
      <formula1>0</formula1>
      <formula2>300</formula2>
    </dataValidation>
    <dataValidation type="textLength" errorStyle="information" allowBlank="1" showInputMessage="1" showErrorMessage="1" error="XLBVal:6=3239.86_x000d__x000a_" sqref="E159:Q159">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0_x000d__x000a_" sqref="E158:Q158">
      <formula1>0</formula1>
      <formula2>300</formula2>
    </dataValidation>
    <dataValidation type="textLength" errorStyle="information" allowBlank="1" showInputMessage="1" showErrorMessage="1" error="XLBVal:6=1064596.75_x000d__x000a_" sqref="E160:P160">
      <formula1>0</formula1>
      <formula2>300</formula2>
    </dataValidation>
    <dataValidation type="textLength" errorStyle="information" allowBlank="1" showInputMessage="1" showErrorMessage="1" error="XLBVal:2=0_x000d__x000a_" sqref="Q164 F170:Q170 Q172:Q174 Q187:Q194 E15:Q157 E164:P165 F13 E168:E174 F168:P169 F171:P174">
      <formula1>0</formula1>
      <formula2>300</formula2>
    </dataValidation>
    <dataValidation type="textLength" errorStyle="information" allowBlank="1" showInputMessage="1" showErrorMessage="1" error="XLBVal:6=34305_x000d__x000a_" sqref="E198:P198 E187:P194 E177:P184">
      <formula1>0</formula1>
      <formula2>300</formula2>
    </dataValidation>
    <dataValidation type="textLength" errorStyle="information" allowBlank="1" showInputMessage="1" showErrorMessage="1" sqref="H167:I167 H176:I176 H186:I186 F197:I197 E195:E197 F195:Q196 E162:E163 F162:I162 F163:P163">
      <formula1>0</formula1>
      <formula2>300</formula2>
    </dataValidation>
    <dataValidation type="textLength" errorStyle="information" allowBlank="1" showInputMessage="1" showErrorMessage="1" error="XLBVal:6=169013_x000d__x000a_" sqref="Q168">
      <formula1>0</formula1>
      <formula2>300</formula2>
    </dataValidation>
    <dataValidation type="textLength" errorStyle="information" allowBlank="1" showInputMessage="1" showErrorMessage="1" error="XLBVal:6=1820976_x000d__x000a_" sqref="Q169">
      <formula1>0</formula1>
      <formula2>300</formula2>
    </dataValidation>
    <dataValidation type="textLength" errorStyle="information" allowBlank="1" showInputMessage="1" showErrorMessage="1" error="XLBVal:6=4_x000d__x000a_" sqref="Q171">
      <formula1>0</formula1>
      <formula2>300</formula2>
    </dataValidation>
    <dataValidation type="textLength" errorStyle="information" allowBlank="1" showInputMessage="1" showErrorMessage="1" error="XLBVal:6=3678_x000d__x000a_" sqref="E185:Q185 E186:G186">
      <formula1>0</formula1>
      <formula2>300</formula2>
    </dataValidation>
    <dataValidation type="textLength" errorStyle="information" allowBlank="1" showInputMessage="1" showErrorMessage="1" error="XLBVal:6=1260_x000d__x000a_" sqref="Q198">
      <formula1>0</formula1>
      <formula2>300</formula2>
    </dataValidation>
    <dataValidation type="textLength" errorStyle="information" allowBlank="1" showInputMessage="1" showErrorMessage="1" error="XLBVal:6=6688509.16_x000d__x000a_" sqref="E13:E14 F14:P14">
      <formula1>0</formula1>
      <formula2>300</formula2>
    </dataValidation>
    <dataValidation type="textLength" errorStyle="information" allowBlank="1" showInputMessage="1" showErrorMessage="1" error="XLBVal:6=6595485.04_x000d__x000a_" sqref="G13">
      <formula1>0</formula1>
      <formula2>300</formula2>
    </dataValidation>
    <dataValidation type="textLength" errorStyle="information" allowBlank="1" showInputMessage="1" showErrorMessage="1" error="XLBVal:5=-2586288.67_x000d__x000a_" sqref="H13">
      <formula1>0</formula1>
      <formula2>300</formula2>
    </dataValidation>
    <dataValidation type="textLength" errorStyle="information" allowBlank="1" showInputMessage="1" showErrorMessage="1" error="XLBVal:5=15426.66_x000d__x000a_" sqref="I13">
      <formula1>0</formula1>
      <formula2>300</formula2>
    </dataValidation>
    <dataValidation type="textLength" errorStyle="information" allowBlank="1" showInputMessage="1" showErrorMessage="1" error="XLBVal:6=1293444_x000d__x000a_" sqref="Q177:Q184">
      <formula1>0</formula1>
      <formula2>300</formula2>
    </dataValidation>
  </dataValidations>
  <printOptions horizontalCentered="1"/>
  <pageMargins left="0.118110236220472" right="0.118110236220472" top="0.59055118110236204" bottom="0.39370078740157499" header="0" footer="0"/>
  <pageSetup paperSize="9" scale="35" fitToHeight="0" orientation="landscape" r:id="rId1"/>
  <headerFooter>
    <oddFooter>&amp;L&amp;"微软雅黑,Regular"&amp;F&amp;C&amp;"微软雅黑,Regular"Page &amp;P of &amp;N&amp;R&amp;"微软雅黑,Regular"&amp;D</oddFooter>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7">
    <tabColor rgb="FF00B050"/>
  </sheetPr>
  <dimension ref="A1:T198"/>
  <sheetViews>
    <sheetView zoomScale="50" zoomScaleNormal="50" zoomScaleSheetLayoutView="40" workbookViewId="0">
      <pane xSplit="4" ySplit="12" topLeftCell="E13" activePane="bottomRight" state="frozen"/>
      <selection activeCell="D8" sqref="D8"/>
      <selection pane="topRight" activeCell="D8" sqref="D8"/>
      <selection pane="bottomLeft" activeCell="D8" sqref="D8"/>
      <selection pane="bottomRight" activeCell="Y77" sqref="Y77"/>
    </sheetView>
  </sheetViews>
  <sheetFormatPr defaultColWidth="8.875" defaultRowHeight="26.25" customHeight="1" outlineLevelRow="1" outlineLevelCol="1"/>
  <cols>
    <col min="1" max="3" width="15.5" style="5" hidden="1" customWidth="1" outlineLevel="1"/>
    <col min="4" max="4" width="61" style="6" customWidth="1" collapsed="1"/>
    <col min="5" max="6" width="24.5" style="7" customWidth="1"/>
    <col min="7" max="7" width="25" style="7" customWidth="1"/>
    <col min="8" max="8" width="25.5" style="7" customWidth="1"/>
    <col min="9" max="9" width="19.875" style="7" customWidth="1"/>
    <col min="10" max="12" width="19.875" style="5" customWidth="1"/>
    <col min="13" max="16" width="20.875" style="5" customWidth="1"/>
    <col min="17" max="17" width="25.5" style="5" customWidth="1"/>
    <col min="18" max="18" width="12" style="5" customWidth="1"/>
    <col min="19" max="19" width="22.5" style="8" hidden="1" customWidth="1"/>
    <col min="20" max="20" width="22.5" style="5" hidden="1" customWidth="1"/>
    <col min="21" max="21" width="18.125" style="5" customWidth="1"/>
    <col min="22" max="22" width="23.125" style="5" customWidth="1"/>
    <col min="23"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11"/>
      <c r="G4" s="12"/>
      <c r="H4" s="13"/>
      <c r="I4" s="13"/>
      <c r="S4" s="33"/>
    </row>
    <row r="5" spans="1:20" s="2" customFormat="1" ht="24.95" customHeight="1">
      <c r="D5" s="10" t="str">
        <f>Summary!$D$5</f>
        <v>酒店预算报表</v>
      </c>
      <c r="E5" s="11"/>
      <c r="F5" s="11"/>
      <c r="G5" s="12"/>
      <c r="H5" s="13"/>
      <c r="I5" s="13"/>
      <c r="S5" s="33"/>
    </row>
    <row r="6" spans="1:20" s="2" customFormat="1" ht="24.95" customHeight="1">
      <c r="D6" s="14" t="s">
        <v>1015</v>
      </c>
      <c r="E6" s="13"/>
      <c r="F6" s="13"/>
      <c r="G6" s="13"/>
      <c r="H6" s="13"/>
      <c r="I6" s="13"/>
      <c r="S6" s="33"/>
    </row>
    <row r="7" spans="1:20" s="2" customFormat="1" ht="24.95" customHeight="1">
      <c r="D7" s="15" t="s">
        <v>1185</v>
      </c>
      <c r="E7" s="13"/>
      <c r="F7" s="13"/>
      <c r="G7" s="13"/>
      <c r="H7" s="13"/>
      <c r="I7" s="13"/>
      <c r="S7" s="33"/>
    </row>
    <row r="8" spans="1:20" ht="24.95" customHeight="1">
      <c r="D8" s="16"/>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D11" s="21"/>
      <c r="E11" s="22"/>
      <c r="F11" s="22"/>
      <c r="G11" s="22"/>
      <c r="H11" s="23"/>
      <c r="I11" s="23"/>
      <c r="S11" s="35"/>
    </row>
    <row r="12" spans="1:20" s="3" customFormat="1" ht="24.95" customHeight="1">
      <c r="A12" s="3" t="s">
        <v>482</v>
      </c>
      <c r="B12" s="3" t="s">
        <v>1016</v>
      </c>
      <c r="D12" s="21" t="s">
        <v>137</v>
      </c>
      <c r="E12" s="43">
        <f>+E195</f>
        <v>102248.03</v>
      </c>
      <c r="F12" s="43">
        <f t="shared" ref="F12:P12" si="0">+F195</f>
        <v>102330.64</v>
      </c>
      <c r="G12" s="43">
        <f t="shared" si="0"/>
        <v>102206.73000000001</v>
      </c>
      <c r="H12" s="43">
        <f t="shared" si="0"/>
        <v>102248.03</v>
      </c>
      <c r="I12" s="43">
        <f t="shared" si="0"/>
        <v>102248.03</v>
      </c>
      <c r="J12" s="43">
        <f t="shared" si="0"/>
        <v>102248.03</v>
      </c>
      <c r="K12" s="43">
        <f t="shared" si="0"/>
        <v>102206.73000000001</v>
      </c>
      <c r="L12" s="43">
        <f t="shared" si="0"/>
        <v>102206.73000000001</v>
      </c>
      <c r="M12" s="43">
        <f t="shared" si="0"/>
        <v>102248.03</v>
      </c>
      <c r="N12" s="43">
        <f t="shared" si="0"/>
        <v>102330.64</v>
      </c>
      <c r="O12" s="43">
        <f t="shared" si="0"/>
        <v>102206.73000000001</v>
      </c>
      <c r="P12" s="43">
        <f t="shared" si="0"/>
        <v>102206.73000000001</v>
      </c>
      <c r="Q12" s="43">
        <f>SUM(E12:P12)</f>
        <v>1226935.08</v>
      </c>
      <c r="R12" s="39">
        <f>Q12/Summary!$Q$16</f>
        <v>3.6891659081576759E-2</v>
      </c>
      <c r="S12" s="35"/>
      <c r="T12" s="40" t="e">
        <f>-IF(Q12-S12=0,0,(Q12-S12)/S12)</f>
        <v>#DIV/0!</v>
      </c>
    </row>
    <row r="13" spans="1:20" s="3" customFormat="1" ht="24.95" customHeight="1">
      <c r="D13" s="26"/>
      <c r="E13" s="24"/>
      <c r="F13" s="24"/>
      <c r="G13" s="24"/>
      <c r="H13" s="25"/>
      <c r="I13" s="25"/>
      <c r="S13" s="35"/>
      <c r="T13" s="40"/>
    </row>
    <row r="14" spans="1:20" s="3" customFormat="1" ht="24.95" customHeight="1">
      <c r="D14" s="21" t="s">
        <v>138</v>
      </c>
      <c r="E14" s="24"/>
      <c r="F14" s="24"/>
      <c r="G14" s="24"/>
      <c r="H14" s="25"/>
      <c r="I14" s="25"/>
      <c r="S14" s="35"/>
      <c r="T14" s="40"/>
    </row>
    <row r="15" spans="1:20" s="3" customFormat="1" ht="24.95" hidden="1" customHeight="1">
      <c r="A15" s="3" t="s">
        <v>484</v>
      </c>
      <c r="B15" s="3" t="s">
        <v>1016</v>
      </c>
      <c r="D15" s="26" t="s">
        <v>485</v>
      </c>
      <c r="E15" s="27">
        <v>0</v>
      </c>
      <c r="F15" s="27">
        <v>0</v>
      </c>
      <c r="G15" s="27">
        <v>0</v>
      </c>
      <c r="H15" s="27">
        <v>0</v>
      </c>
      <c r="I15" s="27">
        <v>0</v>
      </c>
      <c r="J15" s="27">
        <v>0</v>
      </c>
      <c r="K15" s="27">
        <v>0</v>
      </c>
      <c r="L15" s="27">
        <v>0</v>
      </c>
      <c r="M15" s="27">
        <v>0</v>
      </c>
      <c r="N15" s="27">
        <v>0</v>
      </c>
      <c r="O15" s="27">
        <v>0</v>
      </c>
      <c r="P15" s="27">
        <v>0</v>
      </c>
      <c r="Q15" s="3">
        <f>SUM(E15:P15)</f>
        <v>0</v>
      </c>
      <c r="R15" s="39">
        <f>Q15/Summary!$Q$16</f>
        <v>0</v>
      </c>
      <c r="S15" s="35"/>
      <c r="T15" s="40">
        <f t="shared" ref="T15:T24" si="1">IF(Q15-S15=0,0,(Q15-S15)/S15)</f>
        <v>0</v>
      </c>
    </row>
    <row r="16" spans="1:20" s="3" customFormat="1" ht="24.95" hidden="1" customHeight="1">
      <c r="A16" s="3" t="s">
        <v>486</v>
      </c>
      <c r="B16" s="3" t="s">
        <v>1016</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R16" s="39">
        <f>Q16/Summary!$Q$16</f>
        <v>0</v>
      </c>
      <c r="S16" s="35"/>
      <c r="T16" s="40">
        <f t="shared" si="1"/>
        <v>0</v>
      </c>
    </row>
    <row r="17" spans="1:20" s="3" customFormat="1" ht="24.95" hidden="1" customHeight="1">
      <c r="A17" s="3" t="s">
        <v>488</v>
      </c>
      <c r="B17" s="3" t="s">
        <v>1016</v>
      </c>
      <c r="D17" s="26" t="s">
        <v>489</v>
      </c>
      <c r="E17" s="27">
        <v>0</v>
      </c>
      <c r="F17" s="27">
        <v>0</v>
      </c>
      <c r="G17" s="27">
        <v>0</v>
      </c>
      <c r="H17" s="27">
        <v>0</v>
      </c>
      <c r="I17" s="27">
        <v>0</v>
      </c>
      <c r="J17" s="27">
        <v>0</v>
      </c>
      <c r="K17" s="27">
        <v>0</v>
      </c>
      <c r="L17" s="27">
        <v>0</v>
      </c>
      <c r="M17" s="27">
        <v>0</v>
      </c>
      <c r="N17" s="27">
        <v>0</v>
      </c>
      <c r="O17" s="27">
        <v>0</v>
      </c>
      <c r="P17" s="27">
        <v>0</v>
      </c>
      <c r="Q17" s="3">
        <f t="shared" si="2"/>
        <v>0</v>
      </c>
      <c r="R17" s="39">
        <f>Q17/Summary!$Q$16</f>
        <v>0</v>
      </c>
      <c r="S17" s="35"/>
      <c r="T17" s="40">
        <f t="shared" si="1"/>
        <v>0</v>
      </c>
    </row>
    <row r="18" spans="1:20" s="3" customFormat="1" ht="24.95" hidden="1" customHeight="1">
      <c r="A18" s="3" t="s">
        <v>490</v>
      </c>
      <c r="B18" s="3" t="s">
        <v>1016</v>
      </c>
      <c r="D18" s="26" t="s">
        <v>491</v>
      </c>
      <c r="E18" s="27">
        <v>0</v>
      </c>
      <c r="F18" s="27">
        <v>0</v>
      </c>
      <c r="G18" s="27">
        <v>0</v>
      </c>
      <c r="H18" s="27">
        <v>0</v>
      </c>
      <c r="I18" s="27">
        <v>0</v>
      </c>
      <c r="J18" s="27">
        <v>0</v>
      </c>
      <c r="K18" s="27">
        <v>0</v>
      </c>
      <c r="L18" s="27">
        <v>0</v>
      </c>
      <c r="M18" s="27">
        <v>0</v>
      </c>
      <c r="N18" s="27">
        <v>0</v>
      </c>
      <c r="O18" s="27">
        <v>0</v>
      </c>
      <c r="P18" s="27">
        <v>0</v>
      </c>
      <c r="Q18" s="3">
        <f t="shared" si="2"/>
        <v>0</v>
      </c>
      <c r="R18" s="39">
        <f>Q18/Summary!$Q$16</f>
        <v>0</v>
      </c>
      <c r="S18" s="35"/>
      <c r="T18" s="40">
        <f t="shared" si="1"/>
        <v>0</v>
      </c>
    </row>
    <row r="19" spans="1:20" s="3" customFormat="1" ht="24.95" hidden="1" customHeight="1">
      <c r="A19" s="3" t="s">
        <v>492</v>
      </c>
      <c r="B19" s="3" t="s">
        <v>1016</v>
      </c>
      <c r="D19" s="29" t="s">
        <v>493</v>
      </c>
      <c r="E19" s="27">
        <v>0</v>
      </c>
      <c r="F19" s="27">
        <v>0</v>
      </c>
      <c r="G19" s="27">
        <v>0</v>
      </c>
      <c r="H19" s="27">
        <v>0</v>
      </c>
      <c r="I19" s="27">
        <v>0</v>
      </c>
      <c r="J19" s="27">
        <v>0</v>
      </c>
      <c r="K19" s="27">
        <v>0</v>
      </c>
      <c r="L19" s="27">
        <v>0</v>
      </c>
      <c r="M19" s="27">
        <v>0</v>
      </c>
      <c r="N19" s="27">
        <v>0</v>
      </c>
      <c r="O19" s="27">
        <v>0</v>
      </c>
      <c r="P19" s="27">
        <v>0</v>
      </c>
      <c r="Q19" s="3">
        <f t="shared" si="2"/>
        <v>0</v>
      </c>
      <c r="R19" s="39">
        <f>Q19/Summary!$Q$16</f>
        <v>0</v>
      </c>
      <c r="S19" s="35"/>
      <c r="T19" s="40">
        <f t="shared" si="1"/>
        <v>0</v>
      </c>
    </row>
    <row r="20" spans="1:20" s="3" customFormat="1" ht="24.95" hidden="1" customHeight="1">
      <c r="A20" s="3" t="s">
        <v>494</v>
      </c>
      <c r="B20" s="3" t="s">
        <v>1016</v>
      </c>
      <c r="D20" s="29" t="s">
        <v>495</v>
      </c>
      <c r="E20" s="27">
        <v>0</v>
      </c>
      <c r="F20" s="27">
        <v>0</v>
      </c>
      <c r="G20" s="27">
        <v>0</v>
      </c>
      <c r="H20" s="27">
        <v>0</v>
      </c>
      <c r="I20" s="27">
        <v>0</v>
      </c>
      <c r="J20" s="27">
        <v>0</v>
      </c>
      <c r="K20" s="27">
        <v>0</v>
      </c>
      <c r="L20" s="27">
        <v>0</v>
      </c>
      <c r="M20" s="27">
        <v>0</v>
      </c>
      <c r="N20" s="27">
        <v>0</v>
      </c>
      <c r="O20" s="27">
        <v>0</v>
      </c>
      <c r="P20" s="27">
        <v>0</v>
      </c>
      <c r="Q20" s="3">
        <f t="shared" si="2"/>
        <v>0</v>
      </c>
      <c r="R20" s="39">
        <f>Q20/Summary!$Q$16</f>
        <v>0</v>
      </c>
      <c r="S20" s="35"/>
      <c r="T20" s="40">
        <f t="shared" si="1"/>
        <v>0</v>
      </c>
    </row>
    <row r="21" spans="1:20" s="3" customFormat="1" ht="24.95" hidden="1" customHeight="1">
      <c r="A21" s="3" t="s">
        <v>496</v>
      </c>
      <c r="B21" s="3" t="s">
        <v>1016</v>
      </c>
      <c r="D21" s="26" t="s">
        <v>497</v>
      </c>
      <c r="E21" s="27">
        <v>0</v>
      </c>
      <c r="F21" s="27">
        <v>0</v>
      </c>
      <c r="G21" s="27">
        <v>0</v>
      </c>
      <c r="H21" s="27">
        <v>0</v>
      </c>
      <c r="I21" s="27">
        <v>0</v>
      </c>
      <c r="J21" s="27">
        <v>0</v>
      </c>
      <c r="K21" s="27">
        <v>0</v>
      </c>
      <c r="L21" s="27">
        <v>0</v>
      </c>
      <c r="M21" s="27">
        <v>0</v>
      </c>
      <c r="N21" s="27">
        <v>0</v>
      </c>
      <c r="O21" s="27">
        <v>0</v>
      </c>
      <c r="P21" s="27">
        <v>0</v>
      </c>
      <c r="Q21" s="3">
        <f t="shared" si="2"/>
        <v>0</v>
      </c>
      <c r="R21" s="39">
        <f>Q21/Summary!$Q$16</f>
        <v>0</v>
      </c>
      <c r="S21" s="35"/>
      <c r="T21" s="40">
        <f t="shared" si="1"/>
        <v>0</v>
      </c>
    </row>
    <row r="22" spans="1:20" s="3" customFormat="1" ht="24.95" hidden="1" customHeight="1">
      <c r="A22" s="3" t="s">
        <v>498</v>
      </c>
      <c r="B22" s="3" t="s">
        <v>1016</v>
      </c>
      <c r="D22" s="29" t="s">
        <v>499</v>
      </c>
      <c r="E22" s="27">
        <v>0</v>
      </c>
      <c r="F22" s="27">
        <v>0</v>
      </c>
      <c r="G22" s="27">
        <v>0</v>
      </c>
      <c r="H22" s="27">
        <v>0</v>
      </c>
      <c r="I22" s="27">
        <v>0</v>
      </c>
      <c r="J22" s="27">
        <v>0</v>
      </c>
      <c r="K22" s="27">
        <v>0</v>
      </c>
      <c r="L22" s="27">
        <v>0</v>
      </c>
      <c r="M22" s="27">
        <v>0</v>
      </c>
      <c r="N22" s="27">
        <v>0</v>
      </c>
      <c r="O22" s="27">
        <v>0</v>
      </c>
      <c r="P22" s="27">
        <v>0</v>
      </c>
      <c r="Q22" s="3">
        <f t="shared" si="2"/>
        <v>0</v>
      </c>
      <c r="R22" s="39">
        <f>Q22/Summary!$Q$16</f>
        <v>0</v>
      </c>
      <c r="S22" s="35"/>
      <c r="T22" s="40">
        <f t="shared" si="1"/>
        <v>0</v>
      </c>
    </row>
    <row r="23" spans="1:20" s="3" customFormat="1" ht="24.95" hidden="1" customHeight="1">
      <c r="A23" s="3" t="s">
        <v>500</v>
      </c>
      <c r="B23" s="3" t="s">
        <v>1016</v>
      </c>
      <c r="D23" s="26" t="s">
        <v>501</v>
      </c>
      <c r="E23" s="27">
        <v>0</v>
      </c>
      <c r="F23" s="27">
        <v>0</v>
      </c>
      <c r="G23" s="27">
        <v>0</v>
      </c>
      <c r="H23" s="27">
        <v>0</v>
      </c>
      <c r="I23" s="27">
        <v>0</v>
      </c>
      <c r="J23" s="27">
        <v>0</v>
      </c>
      <c r="K23" s="27">
        <v>0</v>
      </c>
      <c r="L23" s="27">
        <v>0</v>
      </c>
      <c r="M23" s="27">
        <v>0</v>
      </c>
      <c r="N23" s="27">
        <v>0</v>
      </c>
      <c r="O23" s="27">
        <v>0</v>
      </c>
      <c r="P23" s="27">
        <v>0</v>
      </c>
      <c r="Q23" s="3">
        <f t="shared" si="2"/>
        <v>0</v>
      </c>
      <c r="R23" s="39">
        <f>Q23/Summary!$Q$16</f>
        <v>0</v>
      </c>
      <c r="S23" s="35"/>
      <c r="T23" s="40">
        <f t="shared" si="1"/>
        <v>0</v>
      </c>
    </row>
    <row r="24" spans="1:20" s="3" customFormat="1" ht="24.95" hidden="1" customHeight="1">
      <c r="A24" s="3" t="s">
        <v>502</v>
      </c>
      <c r="B24" s="3" t="s">
        <v>1016</v>
      </c>
      <c r="D24" s="26" t="s">
        <v>503</v>
      </c>
      <c r="E24" s="27">
        <v>0</v>
      </c>
      <c r="F24" s="27">
        <v>0</v>
      </c>
      <c r="G24" s="27">
        <v>0</v>
      </c>
      <c r="H24" s="27">
        <v>0</v>
      </c>
      <c r="I24" s="27">
        <v>0</v>
      </c>
      <c r="J24" s="27">
        <v>0</v>
      </c>
      <c r="K24" s="27">
        <v>0</v>
      </c>
      <c r="L24" s="27">
        <v>0</v>
      </c>
      <c r="M24" s="27">
        <v>0</v>
      </c>
      <c r="N24" s="27">
        <v>0</v>
      </c>
      <c r="O24" s="27">
        <v>0</v>
      </c>
      <c r="P24" s="27">
        <v>0</v>
      </c>
      <c r="Q24" s="3">
        <f t="shared" si="2"/>
        <v>0</v>
      </c>
      <c r="R24" s="39">
        <f>Q24/Summary!$Q$16</f>
        <v>0</v>
      </c>
      <c r="S24" s="35"/>
      <c r="T24" s="40">
        <f t="shared" si="1"/>
        <v>0</v>
      </c>
    </row>
    <row r="25" spans="1:20" s="3" customFormat="1" ht="24.95" customHeight="1">
      <c r="A25" s="3" t="s">
        <v>504</v>
      </c>
      <c r="B25" s="3" t="s">
        <v>1016</v>
      </c>
      <c r="D25" s="26" t="s">
        <v>505</v>
      </c>
      <c r="E25" s="27"/>
      <c r="F25" s="27"/>
      <c r="G25" s="27"/>
      <c r="H25" s="27"/>
      <c r="I25" s="27"/>
      <c r="J25" s="27"/>
      <c r="K25" s="27"/>
      <c r="L25" s="27"/>
      <c r="M25" s="27"/>
      <c r="N25" s="27"/>
      <c r="O25" s="27"/>
      <c r="P25" s="27"/>
      <c r="Q25" s="3">
        <f t="shared" si="2"/>
        <v>0</v>
      </c>
      <c r="R25" s="39">
        <f>Q25/Summary!$Q$16</f>
        <v>0</v>
      </c>
      <c r="S25" s="35"/>
      <c r="T25" s="40">
        <f t="shared" ref="T25:T56" si="3">-IF(Q25-S25=0,0,(Q25-S25)/S25)</f>
        <v>0</v>
      </c>
    </row>
    <row r="26" spans="1:20" s="3" customFormat="1" ht="24.95" customHeight="1">
      <c r="A26" s="3" t="s">
        <v>506</v>
      </c>
      <c r="B26" s="3" t="s">
        <v>1016</v>
      </c>
      <c r="D26" s="26" t="s">
        <v>507</v>
      </c>
      <c r="E26" s="63">
        <v>1400</v>
      </c>
      <c r="F26" s="63">
        <v>1400</v>
      </c>
      <c r="G26" s="63">
        <v>1400</v>
      </c>
      <c r="H26" s="63">
        <v>1400</v>
      </c>
      <c r="I26" s="63">
        <v>1400</v>
      </c>
      <c r="J26" s="63">
        <v>1400</v>
      </c>
      <c r="K26" s="63">
        <v>1400</v>
      </c>
      <c r="L26" s="63">
        <v>1400</v>
      </c>
      <c r="M26" s="63">
        <v>1400</v>
      </c>
      <c r="N26" s="63">
        <v>1400</v>
      </c>
      <c r="O26" s="63">
        <v>1400</v>
      </c>
      <c r="P26" s="63">
        <v>1400</v>
      </c>
      <c r="Q26" s="3">
        <f t="shared" si="2"/>
        <v>16800</v>
      </c>
      <c r="R26" s="39">
        <f>Q26/Summary!$Q$16</f>
        <v>5.051447975311697E-4</v>
      </c>
      <c r="S26" s="35"/>
      <c r="T26" s="40" t="e">
        <f t="shared" si="3"/>
        <v>#DIV/0!</v>
      </c>
    </row>
    <row r="27" spans="1:20" s="3" customFormat="1" ht="24.95" hidden="1" customHeight="1">
      <c r="A27" s="3" t="s">
        <v>508</v>
      </c>
      <c r="B27" s="3" t="s">
        <v>1016</v>
      </c>
      <c r="D27" s="26" t="s">
        <v>509</v>
      </c>
      <c r="E27" s="63"/>
      <c r="F27" s="27"/>
      <c r="G27" s="27"/>
      <c r="H27" s="27"/>
      <c r="I27" s="27"/>
      <c r="J27" s="27"/>
      <c r="K27" s="27"/>
      <c r="L27" s="27"/>
      <c r="M27" s="27"/>
      <c r="N27" s="27"/>
      <c r="O27" s="27"/>
      <c r="P27" s="27"/>
      <c r="Q27" s="3">
        <f t="shared" si="2"/>
        <v>0</v>
      </c>
      <c r="R27" s="39">
        <f>Q27/Summary!$Q$16</f>
        <v>0</v>
      </c>
      <c r="S27" s="35"/>
      <c r="T27" s="40">
        <f t="shared" si="3"/>
        <v>0</v>
      </c>
    </row>
    <row r="28" spans="1:20" s="3" customFormat="1" ht="24.95" hidden="1" customHeight="1">
      <c r="A28" s="3" t="s">
        <v>510</v>
      </c>
      <c r="B28" s="3" t="s">
        <v>1016</v>
      </c>
      <c r="D28" s="26" t="s">
        <v>511</v>
      </c>
      <c r="E28" s="63"/>
      <c r="F28" s="27"/>
      <c r="G28" s="27"/>
      <c r="H28" s="27"/>
      <c r="I28" s="27"/>
      <c r="J28" s="27"/>
      <c r="K28" s="27"/>
      <c r="L28" s="27"/>
      <c r="M28" s="27"/>
      <c r="N28" s="27"/>
      <c r="O28" s="27"/>
      <c r="P28" s="27"/>
      <c r="Q28" s="3">
        <f t="shared" si="2"/>
        <v>0</v>
      </c>
      <c r="R28" s="39">
        <f>Q28/Summary!$Q$16</f>
        <v>0</v>
      </c>
      <c r="S28" s="35"/>
      <c r="T28" s="40">
        <f t="shared" si="3"/>
        <v>0</v>
      </c>
    </row>
    <row r="29" spans="1:20" s="3" customFormat="1" ht="24.95" hidden="1" customHeight="1">
      <c r="A29" s="3" t="s">
        <v>512</v>
      </c>
      <c r="B29" s="3" t="s">
        <v>1016</v>
      </c>
      <c r="D29" s="26" t="s">
        <v>169</v>
      </c>
      <c r="E29" s="63"/>
      <c r="F29" s="27"/>
      <c r="G29" s="27"/>
      <c r="H29" s="27"/>
      <c r="I29" s="27"/>
      <c r="J29" s="27"/>
      <c r="K29" s="27"/>
      <c r="L29" s="27"/>
      <c r="M29" s="27"/>
      <c r="N29" s="27"/>
      <c r="O29" s="27"/>
      <c r="P29" s="27"/>
      <c r="Q29" s="3">
        <f t="shared" si="2"/>
        <v>0</v>
      </c>
      <c r="R29" s="39">
        <f>Q29/Summary!$Q$16</f>
        <v>0</v>
      </c>
      <c r="S29" s="35"/>
      <c r="T29" s="40">
        <f t="shared" si="3"/>
        <v>0</v>
      </c>
    </row>
    <row r="30" spans="1:20" s="3" customFormat="1" ht="24.95" hidden="1" customHeight="1">
      <c r="A30" s="3" t="s">
        <v>513</v>
      </c>
      <c r="B30" s="3" t="s">
        <v>1016</v>
      </c>
      <c r="D30" s="26" t="s">
        <v>171</v>
      </c>
      <c r="E30" s="63"/>
      <c r="F30" s="27"/>
      <c r="G30" s="27"/>
      <c r="H30" s="27"/>
      <c r="I30" s="27"/>
      <c r="J30" s="27"/>
      <c r="K30" s="27"/>
      <c r="L30" s="27"/>
      <c r="M30" s="27"/>
      <c r="N30" s="27"/>
      <c r="O30" s="27"/>
      <c r="P30" s="27"/>
      <c r="Q30" s="3">
        <f t="shared" si="2"/>
        <v>0</v>
      </c>
      <c r="R30" s="39">
        <f>Q30/Summary!$Q$16</f>
        <v>0</v>
      </c>
      <c r="S30" s="35"/>
      <c r="T30" s="40">
        <f t="shared" si="3"/>
        <v>0</v>
      </c>
    </row>
    <row r="31" spans="1:20" s="3" customFormat="1" ht="24.95" hidden="1" customHeight="1">
      <c r="A31" s="3" t="s">
        <v>514</v>
      </c>
      <c r="B31" s="3" t="s">
        <v>1016</v>
      </c>
      <c r="D31" s="26" t="s">
        <v>515</v>
      </c>
      <c r="E31" s="63"/>
      <c r="F31" s="27"/>
      <c r="G31" s="27"/>
      <c r="H31" s="27"/>
      <c r="I31" s="27"/>
      <c r="J31" s="27"/>
      <c r="K31" s="27"/>
      <c r="L31" s="27"/>
      <c r="M31" s="27"/>
      <c r="N31" s="27"/>
      <c r="O31" s="27"/>
      <c r="P31" s="27"/>
      <c r="Q31" s="3">
        <f t="shared" si="2"/>
        <v>0</v>
      </c>
      <c r="R31" s="39">
        <f>Q31/Summary!$Q$16</f>
        <v>0</v>
      </c>
      <c r="S31" s="35"/>
      <c r="T31" s="40">
        <f t="shared" si="3"/>
        <v>0</v>
      </c>
    </row>
    <row r="32" spans="1:20" s="3" customFormat="1" ht="24.95" hidden="1" customHeight="1">
      <c r="A32" s="3" t="s">
        <v>516</v>
      </c>
      <c r="B32" s="3" t="s">
        <v>1016</v>
      </c>
      <c r="D32" s="26" t="s">
        <v>517</v>
      </c>
      <c r="E32" s="63"/>
      <c r="F32" s="27"/>
      <c r="G32" s="27"/>
      <c r="H32" s="27"/>
      <c r="I32" s="27"/>
      <c r="J32" s="27"/>
      <c r="K32" s="27"/>
      <c r="L32" s="27"/>
      <c r="M32" s="27"/>
      <c r="N32" s="27"/>
      <c r="O32" s="27"/>
      <c r="P32" s="27"/>
      <c r="Q32" s="3">
        <f t="shared" si="2"/>
        <v>0</v>
      </c>
      <c r="R32" s="39">
        <f>Q32/Summary!$Q$16</f>
        <v>0</v>
      </c>
      <c r="S32" s="35"/>
      <c r="T32" s="40">
        <f t="shared" si="3"/>
        <v>0</v>
      </c>
    </row>
    <row r="33" spans="1:20" s="3" customFormat="1" ht="24.95" hidden="1" customHeight="1">
      <c r="A33" s="3" t="s">
        <v>518</v>
      </c>
      <c r="B33" s="3" t="s">
        <v>1016</v>
      </c>
      <c r="D33" s="26" t="s">
        <v>519</v>
      </c>
      <c r="E33" s="63"/>
      <c r="F33" s="27"/>
      <c r="G33" s="27"/>
      <c r="H33" s="27"/>
      <c r="I33" s="27"/>
      <c r="J33" s="27"/>
      <c r="K33" s="27"/>
      <c r="L33" s="27"/>
      <c r="M33" s="27"/>
      <c r="N33" s="27"/>
      <c r="O33" s="27"/>
      <c r="P33" s="27"/>
      <c r="Q33" s="3">
        <f t="shared" si="2"/>
        <v>0</v>
      </c>
      <c r="R33" s="39">
        <f>Q33/Summary!$Q$16</f>
        <v>0</v>
      </c>
      <c r="S33" s="35"/>
      <c r="T33" s="40">
        <f t="shared" si="3"/>
        <v>0</v>
      </c>
    </row>
    <row r="34" spans="1:20" s="3" customFormat="1" ht="24.95" hidden="1" customHeight="1">
      <c r="A34" s="3" t="s">
        <v>520</v>
      </c>
      <c r="B34" s="3" t="s">
        <v>1016</v>
      </c>
      <c r="D34" s="26" t="s">
        <v>521</v>
      </c>
      <c r="E34" s="63"/>
      <c r="F34" s="27"/>
      <c r="G34" s="27"/>
      <c r="H34" s="27"/>
      <c r="I34" s="27"/>
      <c r="J34" s="27"/>
      <c r="K34" s="27"/>
      <c r="L34" s="27"/>
      <c r="M34" s="27"/>
      <c r="N34" s="27"/>
      <c r="O34" s="27"/>
      <c r="P34" s="27"/>
      <c r="Q34" s="3">
        <f t="shared" si="2"/>
        <v>0</v>
      </c>
      <c r="R34" s="39">
        <f>Q34/Summary!$Q$16</f>
        <v>0</v>
      </c>
      <c r="S34" s="35"/>
      <c r="T34" s="40">
        <f t="shared" si="3"/>
        <v>0</v>
      </c>
    </row>
    <row r="35" spans="1:20" s="3" customFormat="1" ht="24.95" hidden="1" customHeight="1">
      <c r="A35" s="3" t="s">
        <v>522</v>
      </c>
      <c r="B35" s="3" t="s">
        <v>1016</v>
      </c>
      <c r="D35" s="26" t="s">
        <v>523</v>
      </c>
      <c r="E35" s="63"/>
      <c r="F35" s="27"/>
      <c r="G35" s="27"/>
      <c r="H35" s="27"/>
      <c r="I35" s="27"/>
      <c r="J35" s="27"/>
      <c r="K35" s="27"/>
      <c r="L35" s="27"/>
      <c r="M35" s="27"/>
      <c r="N35" s="27"/>
      <c r="O35" s="27"/>
      <c r="P35" s="27"/>
      <c r="Q35" s="3">
        <f t="shared" si="2"/>
        <v>0</v>
      </c>
      <c r="R35" s="39">
        <f>Q35/Summary!$Q$16</f>
        <v>0</v>
      </c>
      <c r="S35" s="35"/>
      <c r="T35" s="40">
        <f t="shared" si="3"/>
        <v>0</v>
      </c>
    </row>
    <row r="36" spans="1:20" s="3" customFormat="1" ht="24.95" hidden="1" customHeight="1">
      <c r="A36" s="3" t="s">
        <v>524</v>
      </c>
      <c r="B36" s="3" t="s">
        <v>1016</v>
      </c>
      <c r="D36" s="26" t="s">
        <v>525</v>
      </c>
      <c r="E36" s="63"/>
      <c r="F36" s="27"/>
      <c r="G36" s="27"/>
      <c r="H36" s="27"/>
      <c r="I36" s="27"/>
      <c r="J36" s="27"/>
      <c r="K36" s="27"/>
      <c r="L36" s="27"/>
      <c r="M36" s="27"/>
      <c r="N36" s="27"/>
      <c r="O36" s="27"/>
      <c r="P36" s="27"/>
      <c r="Q36" s="3">
        <f t="shared" si="2"/>
        <v>0</v>
      </c>
      <c r="R36" s="39">
        <f>Q36/Summary!$Q$16</f>
        <v>0</v>
      </c>
      <c r="S36" s="35"/>
      <c r="T36" s="40">
        <f t="shared" si="3"/>
        <v>0</v>
      </c>
    </row>
    <row r="37" spans="1:20" s="3" customFormat="1" ht="24.95" hidden="1" customHeight="1">
      <c r="A37" s="3" t="s">
        <v>526</v>
      </c>
      <c r="B37" s="3" t="s">
        <v>1016</v>
      </c>
      <c r="D37" s="26" t="s">
        <v>527</v>
      </c>
      <c r="E37" s="63"/>
      <c r="F37" s="27"/>
      <c r="G37" s="27"/>
      <c r="H37" s="27"/>
      <c r="I37" s="27"/>
      <c r="J37" s="27"/>
      <c r="K37" s="27"/>
      <c r="L37" s="27"/>
      <c r="M37" s="27"/>
      <c r="N37" s="27"/>
      <c r="O37" s="27"/>
      <c r="P37" s="27"/>
      <c r="Q37" s="3">
        <f t="shared" si="2"/>
        <v>0</v>
      </c>
      <c r="R37" s="39">
        <f>Q37/Summary!$Q$16</f>
        <v>0</v>
      </c>
      <c r="S37" s="35"/>
      <c r="T37" s="40">
        <f t="shared" si="3"/>
        <v>0</v>
      </c>
    </row>
    <row r="38" spans="1:20" s="3" customFormat="1" ht="24.95" hidden="1" customHeight="1">
      <c r="A38" s="3" t="s">
        <v>528</v>
      </c>
      <c r="B38" s="3" t="s">
        <v>1016</v>
      </c>
      <c r="D38" s="26" t="s">
        <v>529</v>
      </c>
      <c r="E38" s="63"/>
      <c r="F38" s="27"/>
      <c r="G38" s="27"/>
      <c r="H38" s="27"/>
      <c r="I38" s="27"/>
      <c r="J38" s="27"/>
      <c r="K38" s="27"/>
      <c r="L38" s="27"/>
      <c r="M38" s="27"/>
      <c r="N38" s="27"/>
      <c r="O38" s="27"/>
      <c r="P38" s="27"/>
      <c r="Q38" s="3">
        <f t="shared" si="2"/>
        <v>0</v>
      </c>
      <c r="R38" s="39">
        <f>Q38/Summary!$Q$16</f>
        <v>0</v>
      </c>
      <c r="S38" s="35"/>
      <c r="T38" s="40">
        <f t="shared" si="3"/>
        <v>0</v>
      </c>
    </row>
    <row r="39" spans="1:20" s="3" customFormat="1" ht="24.95" hidden="1" customHeight="1">
      <c r="A39" s="3" t="s">
        <v>530</v>
      </c>
      <c r="B39" s="3" t="s">
        <v>1016</v>
      </c>
      <c r="D39" s="26" t="s">
        <v>531</v>
      </c>
      <c r="E39" s="63"/>
      <c r="F39" s="27"/>
      <c r="G39" s="27"/>
      <c r="H39" s="27"/>
      <c r="I39" s="27"/>
      <c r="J39" s="27"/>
      <c r="K39" s="27"/>
      <c r="L39" s="27"/>
      <c r="M39" s="27"/>
      <c r="N39" s="27"/>
      <c r="O39" s="27"/>
      <c r="P39" s="27"/>
      <c r="Q39" s="3">
        <f t="shared" si="2"/>
        <v>0</v>
      </c>
      <c r="R39" s="39">
        <f>Q39/Summary!$Q$16</f>
        <v>0</v>
      </c>
      <c r="S39" s="35"/>
      <c r="T39" s="40">
        <f t="shared" si="3"/>
        <v>0</v>
      </c>
    </row>
    <row r="40" spans="1:20" s="3" customFormat="1" ht="24.95" hidden="1" customHeight="1">
      <c r="A40" s="3" t="s">
        <v>532</v>
      </c>
      <c r="B40" s="3" t="s">
        <v>1016</v>
      </c>
      <c r="D40" s="26" t="s">
        <v>1182</v>
      </c>
      <c r="E40" s="63"/>
      <c r="F40" s="27"/>
      <c r="G40" s="27"/>
      <c r="H40" s="27"/>
      <c r="I40" s="27"/>
      <c r="J40" s="27"/>
      <c r="K40" s="27"/>
      <c r="L40" s="27"/>
      <c r="M40" s="27"/>
      <c r="N40" s="27"/>
      <c r="O40" s="27"/>
      <c r="P40" s="27"/>
      <c r="Q40" s="3">
        <f t="shared" si="2"/>
        <v>0</v>
      </c>
      <c r="R40" s="39">
        <f>Q40/Summary!$Q$16</f>
        <v>0</v>
      </c>
      <c r="S40" s="35"/>
      <c r="T40" s="40">
        <f t="shared" si="3"/>
        <v>0</v>
      </c>
    </row>
    <row r="41" spans="1:20" s="3" customFormat="1" ht="24.95" hidden="1" customHeight="1">
      <c r="A41" s="3" t="s">
        <v>534</v>
      </c>
      <c r="B41" s="3" t="s">
        <v>1016</v>
      </c>
      <c r="D41" s="26" t="s">
        <v>535</v>
      </c>
      <c r="E41" s="63"/>
      <c r="F41" s="27"/>
      <c r="G41" s="27"/>
      <c r="H41" s="27"/>
      <c r="I41" s="27"/>
      <c r="J41" s="27"/>
      <c r="K41" s="27"/>
      <c r="L41" s="27"/>
      <c r="M41" s="27"/>
      <c r="N41" s="27"/>
      <c r="O41" s="27"/>
      <c r="P41" s="27"/>
      <c r="Q41" s="3">
        <f t="shared" si="2"/>
        <v>0</v>
      </c>
      <c r="R41" s="39">
        <f>Q41/Summary!$Q$16</f>
        <v>0</v>
      </c>
      <c r="S41" s="35"/>
      <c r="T41" s="40">
        <f t="shared" si="3"/>
        <v>0</v>
      </c>
    </row>
    <row r="42" spans="1:20" s="3" customFormat="1" ht="24.95" hidden="1" customHeight="1">
      <c r="A42" s="3" t="s">
        <v>536</v>
      </c>
      <c r="B42" s="3" t="s">
        <v>1016</v>
      </c>
      <c r="D42" s="26" t="s">
        <v>537</v>
      </c>
      <c r="E42" s="63"/>
      <c r="F42" s="27"/>
      <c r="G42" s="27"/>
      <c r="H42" s="27"/>
      <c r="I42" s="27"/>
      <c r="J42" s="27"/>
      <c r="K42" s="27"/>
      <c r="L42" s="27"/>
      <c r="M42" s="27"/>
      <c r="N42" s="27"/>
      <c r="O42" s="27"/>
      <c r="P42" s="27"/>
      <c r="Q42" s="3">
        <f t="shared" si="2"/>
        <v>0</v>
      </c>
      <c r="R42" s="39">
        <f>Q42/Summary!$Q$16</f>
        <v>0</v>
      </c>
      <c r="S42" s="35"/>
      <c r="T42" s="40">
        <f t="shared" si="3"/>
        <v>0</v>
      </c>
    </row>
    <row r="43" spans="1:20" s="3" customFormat="1" ht="24.95" customHeight="1">
      <c r="A43" s="3" t="s">
        <v>538</v>
      </c>
      <c r="B43" s="3" t="s">
        <v>1016</v>
      </c>
      <c r="D43" s="26" t="s">
        <v>539</v>
      </c>
      <c r="E43" s="63">
        <v>80</v>
      </c>
      <c r="F43" s="63">
        <v>80</v>
      </c>
      <c r="G43" s="63">
        <v>80</v>
      </c>
      <c r="H43" s="63">
        <v>80</v>
      </c>
      <c r="I43" s="63">
        <v>80</v>
      </c>
      <c r="J43" s="63">
        <v>80</v>
      </c>
      <c r="K43" s="63">
        <v>80</v>
      </c>
      <c r="L43" s="63">
        <v>80</v>
      </c>
      <c r="M43" s="63">
        <v>80</v>
      </c>
      <c r="N43" s="63">
        <v>80</v>
      </c>
      <c r="O43" s="63">
        <v>80</v>
      </c>
      <c r="P43" s="63">
        <v>80</v>
      </c>
      <c r="Q43" s="3">
        <f t="shared" si="2"/>
        <v>960</v>
      </c>
      <c r="R43" s="39">
        <f>Q43/Summary!$Q$16</f>
        <v>2.8865417001781127E-5</v>
      </c>
      <c r="S43" s="35"/>
      <c r="T43" s="40" t="e">
        <f t="shared" si="3"/>
        <v>#DIV/0!</v>
      </c>
    </row>
    <row r="44" spans="1:20" s="3" customFormat="1" ht="24.95" hidden="1" customHeight="1">
      <c r="A44" s="3" t="s">
        <v>540</v>
      </c>
      <c r="B44" s="3" t="s">
        <v>1016</v>
      </c>
      <c r="D44" s="26" t="s">
        <v>541</v>
      </c>
      <c r="E44" s="63"/>
      <c r="F44" s="27"/>
      <c r="G44" s="27"/>
      <c r="H44" s="27"/>
      <c r="I44" s="27"/>
      <c r="J44" s="27"/>
      <c r="K44" s="27"/>
      <c r="L44" s="27"/>
      <c r="M44" s="27"/>
      <c r="N44" s="27"/>
      <c r="O44" s="27"/>
      <c r="P44" s="27"/>
      <c r="Q44" s="3">
        <f t="shared" si="2"/>
        <v>0</v>
      </c>
      <c r="R44" s="39">
        <f>Q44/Summary!$Q$16</f>
        <v>0</v>
      </c>
      <c r="S44" s="35"/>
      <c r="T44" s="40">
        <f t="shared" si="3"/>
        <v>0</v>
      </c>
    </row>
    <row r="45" spans="1:20" s="3" customFormat="1" ht="24.95" hidden="1" customHeight="1">
      <c r="A45" s="3" t="s">
        <v>542</v>
      </c>
      <c r="B45" s="3" t="s">
        <v>1016</v>
      </c>
      <c r="D45" s="26" t="s">
        <v>543</v>
      </c>
      <c r="E45" s="63"/>
      <c r="F45" s="27"/>
      <c r="G45" s="27"/>
      <c r="H45" s="27"/>
      <c r="I45" s="27"/>
      <c r="J45" s="27"/>
      <c r="K45" s="27"/>
      <c r="L45" s="27"/>
      <c r="M45" s="27"/>
      <c r="N45" s="27"/>
      <c r="O45" s="27"/>
      <c r="P45" s="27"/>
      <c r="Q45" s="3">
        <f t="shared" si="2"/>
        <v>0</v>
      </c>
      <c r="R45" s="39">
        <f>Q45/Summary!$Q$16</f>
        <v>0</v>
      </c>
      <c r="S45" s="35"/>
      <c r="T45" s="40">
        <f t="shared" si="3"/>
        <v>0</v>
      </c>
    </row>
    <row r="46" spans="1:20" s="3" customFormat="1" ht="24.95" hidden="1" customHeight="1">
      <c r="A46" s="3" t="s">
        <v>544</v>
      </c>
      <c r="B46" s="3" t="s">
        <v>1016</v>
      </c>
      <c r="D46" s="29" t="s">
        <v>545</v>
      </c>
      <c r="E46" s="63"/>
      <c r="F46" s="27"/>
      <c r="G46" s="27"/>
      <c r="H46" s="27"/>
      <c r="I46" s="27"/>
      <c r="J46" s="27"/>
      <c r="K46" s="27"/>
      <c r="L46" s="27"/>
      <c r="M46" s="27"/>
      <c r="N46" s="27"/>
      <c r="O46" s="27"/>
      <c r="P46" s="27"/>
      <c r="Q46" s="3">
        <f t="shared" si="2"/>
        <v>0</v>
      </c>
      <c r="R46" s="39">
        <f>Q46/Summary!$Q$16</f>
        <v>0</v>
      </c>
      <c r="S46" s="35"/>
      <c r="T46" s="40">
        <f t="shared" si="3"/>
        <v>0</v>
      </c>
    </row>
    <row r="47" spans="1:20" s="3" customFormat="1" ht="24.95" hidden="1" customHeight="1">
      <c r="A47" s="3" t="s">
        <v>546</v>
      </c>
      <c r="B47" s="3" t="s">
        <v>1016</v>
      </c>
      <c r="D47" s="26" t="s">
        <v>547</v>
      </c>
      <c r="E47" s="63"/>
      <c r="F47" s="27"/>
      <c r="G47" s="27"/>
      <c r="H47" s="27"/>
      <c r="I47" s="27"/>
      <c r="J47" s="27"/>
      <c r="K47" s="27"/>
      <c r="L47" s="27"/>
      <c r="M47" s="27"/>
      <c r="N47" s="27"/>
      <c r="O47" s="27"/>
      <c r="P47" s="27"/>
      <c r="Q47" s="3">
        <f t="shared" si="2"/>
        <v>0</v>
      </c>
      <c r="R47" s="39">
        <f>Q47/Summary!$Q$16</f>
        <v>0</v>
      </c>
      <c r="S47" s="35"/>
      <c r="T47" s="40">
        <f t="shared" si="3"/>
        <v>0</v>
      </c>
    </row>
    <row r="48" spans="1:20" s="3" customFormat="1" ht="24.95" hidden="1" customHeight="1">
      <c r="A48" s="3" t="s">
        <v>548</v>
      </c>
      <c r="B48" s="3" t="s">
        <v>1016</v>
      </c>
      <c r="D48" s="26" t="s">
        <v>549</v>
      </c>
      <c r="E48" s="63"/>
      <c r="F48" s="27"/>
      <c r="G48" s="27"/>
      <c r="H48" s="27"/>
      <c r="I48" s="27"/>
      <c r="J48" s="27"/>
      <c r="K48" s="27"/>
      <c r="L48" s="27"/>
      <c r="M48" s="27"/>
      <c r="N48" s="27"/>
      <c r="O48" s="27"/>
      <c r="P48" s="27"/>
      <c r="Q48" s="3">
        <f t="shared" si="2"/>
        <v>0</v>
      </c>
      <c r="R48" s="39">
        <f>Q48/Summary!$Q$16</f>
        <v>0</v>
      </c>
      <c r="S48" s="35"/>
      <c r="T48" s="40">
        <f t="shared" si="3"/>
        <v>0</v>
      </c>
    </row>
    <row r="49" spans="1:20" s="3" customFormat="1" ht="24.95" hidden="1" customHeight="1">
      <c r="A49" s="3" t="s">
        <v>550</v>
      </c>
      <c r="B49" s="3" t="s">
        <v>1016</v>
      </c>
      <c r="D49" s="26" t="s">
        <v>551</v>
      </c>
      <c r="E49" s="63"/>
      <c r="F49" s="27"/>
      <c r="G49" s="27"/>
      <c r="H49" s="27"/>
      <c r="I49" s="27"/>
      <c r="J49" s="27"/>
      <c r="K49" s="27"/>
      <c r="L49" s="27"/>
      <c r="M49" s="27"/>
      <c r="N49" s="27"/>
      <c r="O49" s="27"/>
      <c r="P49" s="27"/>
      <c r="Q49" s="3">
        <f t="shared" si="2"/>
        <v>0</v>
      </c>
      <c r="R49" s="39">
        <f>Q49/Summary!$Q$16</f>
        <v>0</v>
      </c>
      <c r="S49" s="35"/>
      <c r="T49" s="40">
        <f t="shared" si="3"/>
        <v>0</v>
      </c>
    </row>
    <row r="50" spans="1:20" s="3" customFormat="1" ht="24.95" customHeight="1">
      <c r="A50" s="3" t="s">
        <v>552</v>
      </c>
      <c r="B50" s="3" t="s">
        <v>1016</v>
      </c>
      <c r="D50" s="26" t="s">
        <v>553</v>
      </c>
      <c r="E50" s="63"/>
      <c r="F50" s="27"/>
      <c r="G50" s="27"/>
      <c r="H50" s="27"/>
      <c r="I50" s="27"/>
      <c r="J50" s="27"/>
      <c r="K50" s="27"/>
      <c r="L50" s="27"/>
      <c r="M50" s="27"/>
      <c r="N50" s="27"/>
      <c r="O50" s="27"/>
      <c r="P50" s="27"/>
      <c r="Q50" s="3">
        <f t="shared" si="2"/>
        <v>0</v>
      </c>
      <c r="R50" s="39">
        <f>Q50/Summary!$Q$16</f>
        <v>0</v>
      </c>
      <c r="S50" s="35"/>
      <c r="T50" s="40">
        <f t="shared" si="3"/>
        <v>0</v>
      </c>
    </row>
    <row r="51" spans="1:20" s="3" customFormat="1" ht="24.95" hidden="1" customHeight="1">
      <c r="A51" s="3" t="s">
        <v>554</v>
      </c>
      <c r="B51" s="3" t="s">
        <v>1016</v>
      </c>
      <c r="D51" s="26" t="s">
        <v>555</v>
      </c>
      <c r="E51" s="63"/>
      <c r="F51" s="27"/>
      <c r="G51" s="27"/>
      <c r="H51" s="27"/>
      <c r="I51" s="27"/>
      <c r="J51" s="27"/>
      <c r="K51" s="27"/>
      <c r="L51" s="27"/>
      <c r="M51" s="27"/>
      <c r="N51" s="27"/>
      <c r="O51" s="27"/>
      <c r="P51" s="27"/>
      <c r="Q51" s="3">
        <f t="shared" si="2"/>
        <v>0</v>
      </c>
      <c r="R51" s="39">
        <f>Q51/Summary!$Q$16</f>
        <v>0</v>
      </c>
      <c r="S51" s="35"/>
      <c r="T51" s="40">
        <f t="shared" si="3"/>
        <v>0</v>
      </c>
    </row>
    <row r="52" spans="1:20" s="3" customFormat="1" ht="24.95" hidden="1" customHeight="1">
      <c r="A52" s="3" t="s">
        <v>556</v>
      </c>
      <c r="B52" s="3" t="s">
        <v>1016</v>
      </c>
      <c r="D52" s="26" t="s">
        <v>557</v>
      </c>
      <c r="E52" s="63"/>
      <c r="F52" s="27"/>
      <c r="G52" s="27"/>
      <c r="H52" s="27"/>
      <c r="I52" s="27"/>
      <c r="J52" s="27"/>
      <c r="K52" s="27"/>
      <c r="L52" s="27"/>
      <c r="M52" s="27"/>
      <c r="N52" s="27"/>
      <c r="O52" s="27"/>
      <c r="P52" s="27"/>
      <c r="Q52" s="3">
        <f t="shared" si="2"/>
        <v>0</v>
      </c>
      <c r="R52" s="39">
        <f>Q52/Summary!$Q$16</f>
        <v>0</v>
      </c>
      <c r="S52" s="35"/>
      <c r="T52" s="40">
        <f t="shared" si="3"/>
        <v>0</v>
      </c>
    </row>
    <row r="53" spans="1:20" s="3" customFormat="1" ht="24.95" hidden="1" customHeight="1">
      <c r="A53" s="3" t="s">
        <v>558</v>
      </c>
      <c r="B53" s="3" t="s">
        <v>1016</v>
      </c>
      <c r="D53" s="29" t="s">
        <v>559</v>
      </c>
      <c r="E53" s="63"/>
      <c r="F53" s="27"/>
      <c r="G53" s="27"/>
      <c r="H53" s="27"/>
      <c r="I53" s="27"/>
      <c r="J53" s="27"/>
      <c r="K53" s="27"/>
      <c r="L53" s="27"/>
      <c r="M53" s="27"/>
      <c r="N53" s="27"/>
      <c r="O53" s="27"/>
      <c r="P53" s="27"/>
      <c r="Q53" s="3">
        <f t="shared" si="2"/>
        <v>0</v>
      </c>
      <c r="R53" s="39">
        <f>Q53/Summary!$Q$16</f>
        <v>0</v>
      </c>
      <c r="S53" s="35"/>
      <c r="T53" s="40">
        <f t="shared" si="3"/>
        <v>0</v>
      </c>
    </row>
    <row r="54" spans="1:20" s="3" customFormat="1" ht="24.95" hidden="1" customHeight="1">
      <c r="A54" s="3" t="s">
        <v>560</v>
      </c>
      <c r="B54" s="3" t="s">
        <v>1016</v>
      </c>
      <c r="D54" s="26" t="s">
        <v>561</v>
      </c>
      <c r="E54" s="63"/>
      <c r="F54" s="27"/>
      <c r="G54" s="27"/>
      <c r="H54" s="27"/>
      <c r="I54" s="27"/>
      <c r="J54" s="27"/>
      <c r="K54" s="27"/>
      <c r="L54" s="27"/>
      <c r="M54" s="27"/>
      <c r="N54" s="27"/>
      <c r="O54" s="27"/>
      <c r="P54" s="27"/>
      <c r="Q54" s="3">
        <f t="shared" si="2"/>
        <v>0</v>
      </c>
      <c r="R54" s="39">
        <f>Q54/Summary!$Q$16</f>
        <v>0</v>
      </c>
      <c r="S54" s="35"/>
      <c r="T54" s="40">
        <f t="shared" si="3"/>
        <v>0</v>
      </c>
    </row>
    <row r="55" spans="1:20" s="3" customFormat="1" ht="24.95" hidden="1" customHeight="1">
      <c r="A55" s="3" t="s">
        <v>562</v>
      </c>
      <c r="B55" s="3" t="s">
        <v>1016</v>
      </c>
      <c r="D55" s="29" t="s">
        <v>563</v>
      </c>
      <c r="E55" s="63"/>
      <c r="F55" s="27"/>
      <c r="G55" s="27"/>
      <c r="H55" s="27"/>
      <c r="I55" s="27"/>
      <c r="J55" s="27"/>
      <c r="K55" s="27"/>
      <c r="L55" s="27"/>
      <c r="M55" s="27"/>
      <c r="N55" s="27"/>
      <c r="O55" s="27"/>
      <c r="P55" s="27"/>
      <c r="Q55" s="3">
        <f t="shared" si="2"/>
        <v>0</v>
      </c>
      <c r="R55" s="39">
        <f>Q55/Summary!$Q$16</f>
        <v>0</v>
      </c>
      <c r="S55" s="35"/>
      <c r="T55" s="40">
        <f t="shared" si="3"/>
        <v>0</v>
      </c>
    </row>
    <row r="56" spans="1:20" s="3" customFormat="1" ht="24.95" hidden="1" customHeight="1">
      <c r="A56" s="3" t="s">
        <v>564</v>
      </c>
      <c r="B56" s="3" t="s">
        <v>1016</v>
      </c>
      <c r="D56" s="26" t="s">
        <v>565</v>
      </c>
      <c r="E56" s="63"/>
      <c r="F56" s="27"/>
      <c r="G56" s="27"/>
      <c r="H56" s="27"/>
      <c r="I56" s="27"/>
      <c r="J56" s="27"/>
      <c r="K56" s="27"/>
      <c r="L56" s="27"/>
      <c r="M56" s="27"/>
      <c r="N56" s="27"/>
      <c r="O56" s="27"/>
      <c r="P56" s="27"/>
      <c r="Q56" s="3">
        <f t="shared" si="2"/>
        <v>0</v>
      </c>
      <c r="R56" s="39">
        <f>Q56/Summary!$Q$16</f>
        <v>0</v>
      </c>
      <c r="S56" s="35"/>
      <c r="T56" s="40">
        <f t="shared" si="3"/>
        <v>0</v>
      </c>
    </row>
    <row r="57" spans="1:20" s="3" customFormat="1" ht="24.95" hidden="1" customHeight="1">
      <c r="A57" s="3" t="s">
        <v>566</v>
      </c>
      <c r="B57" s="3" t="s">
        <v>1016</v>
      </c>
      <c r="D57" s="26" t="s">
        <v>567</v>
      </c>
      <c r="E57" s="63"/>
      <c r="F57" s="27"/>
      <c r="G57" s="27"/>
      <c r="H57" s="27"/>
      <c r="I57" s="27"/>
      <c r="J57" s="27"/>
      <c r="K57" s="27"/>
      <c r="L57" s="27"/>
      <c r="M57" s="27"/>
      <c r="N57" s="27"/>
      <c r="O57" s="27"/>
      <c r="P57" s="27"/>
      <c r="Q57" s="3">
        <f t="shared" si="2"/>
        <v>0</v>
      </c>
      <c r="R57" s="39">
        <f>Q57/Summary!$Q$16</f>
        <v>0</v>
      </c>
      <c r="S57" s="35"/>
      <c r="T57" s="40">
        <f t="shared" ref="T57:T88" si="4">-IF(Q57-S57=0,0,(Q57-S57)/S57)</f>
        <v>0</v>
      </c>
    </row>
    <row r="58" spans="1:20" s="3" customFormat="1" ht="24.95" hidden="1" customHeight="1">
      <c r="A58" s="3" t="s">
        <v>568</v>
      </c>
      <c r="B58" s="3" t="s">
        <v>1016</v>
      </c>
      <c r="D58" s="26" t="s">
        <v>569</v>
      </c>
      <c r="E58" s="63"/>
      <c r="F58" s="27"/>
      <c r="G58" s="27"/>
      <c r="H58" s="27"/>
      <c r="I58" s="27"/>
      <c r="J58" s="27"/>
      <c r="K58" s="27"/>
      <c r="L58" s="27"/>
      <c r="M58" s="27"/>
      <c r="N58" s="27"/>
      <c r="O58" s="27"/>
      <c r="P58" s="27"/>
      <c r="Q58" s="3">
        <f t="shared" si="2"/>
        <v>0</v>
      </c>
      <c r="R58" s="39">
        <f>Q58/Summary!$Q$16</f>
        <v>0</v>
      </c>
      <c r="S58" s="35"/>
      <c r="T58" s="40">
        <f t="shared" si="4"/>
        <v>0</v>
      </c>
    </row>
    <row r="59" spans="1:20" s="3" customFormat="1" ht="24.95" hidden="1" customHeight="1">
      <c r="A59" s="3" t="s">
        <v>570</v>
      </c>
      <c r="B59" s="3" t="s">
        <v>1016</v>
      </c>
      <c r="D59" s="26" t="s">
        <v>571</v>
      </c>
      <c r="E59" s="63"/>
      <c r="F59" s="27"/>
      <c r="G59" s="27"/>
      <c r="H59" s="27"/>
      <c r="I59" s="27"/>
      <c r="J59" s="27"/>
      <c r="K59" s="27"/>
      <c r="L59" s="27"/>
      <c r="M59" s="27"/>
      <c r="N59" s="27"/>
      <c r="O59" s="27"/>
      <c r="P59" s="27"/>
      <c r="Q59" s="3">
        <f t="shared" si="2"/>
        <v>0</v>
      </c>
      <c r="R59" s="39">
        <f>Q59/Summary!$Q$16</f>
        <v>0</v>
      </c>
      <c r="S59" s="35"/>
      <c r="T59" s="40">
        <f t="shared" si="4"/>
        <v>0</v>
      </c>
    </row>
    <row r="60" spans="1:20" s="3" customFormat="1" ht="24.95" hidden="1" customHeight="1">
      <c r="A60" s="3" t="s">
        <v>572</v>
      </c>
      <c r="B60" s="3" t="s">
        <v>1016</v>
      </c>
      <c r="D60" s="26" t="s">
        <v>573</v>
      </c>
      <c r="E60" s="63"/>
      <c r="F60" s="27"/>
      <c r="G60" s="27"/>
      <c r="H60" s="27"/>
      <c r="I60" s="27"/>
      <c r="J60" s="27"/>
      <c r="K60" s="27"/>
      <c r="L60" s="27"/>
      <c r="M60" s="27"/>
      <c r="N60" s="27"/>
      <c r="O60" s="27"/>
      <c r="P60" s="27"/>
      <c r="Q60" s="3">
        <f t="shared" si="2"/>
        <v>0</v>
      </c>
      <c r="R60" s="39">
        <f>Q60/Summary!$Q$16</f>
        <v>0</v>
      </c>
      <c r="S60" s="35"/>
      <c r="T60" s="40">
        <f t="shared" si="4"/>
        <v>0</v>
      </c>
    </row>
    <row r="61" spans="1:20" s="3" customFormat="1" ht="24.95" hidden="1" customHeight="1">
      <c r="A61" s="3" t="s">
        <v>574</v>
      </c>
      <c r="B61" s="3" t="s">
        <v>1016</v>
      </c>
      <c r="D61" s="26" t="s">
        <v>575</v>
      </c>
      <c r="E61" s="63"/>
      <c r="F61" s="27"/>
      <c r="G61" s="27"/>
      <c r="H61" s="27"/>
      <c r="I61" s="27"/>
      <c r="J61" s="27"/>
      <c r="K61" s="27"/>
      <c r="L61" s="27"/>
      <c r="M61" s="27"/>
      <c r="N61" s="27"/>
      <c r="O61" s="27"/>
      <c r="P61" s="27"/>
      <c r="Q61" s="3">
        <f t="shared" si="2"/>
        <v>0</v>
      </c>
      <c r="R61" s="39">
        <f>Q61/Summary!$Q$16</f>
        <v>0</v>
      </c>
      <c r="S61" s="35"/>
      <c r="T61" s="40">
        <f t="shared" si="4"/>
        <v>0</v>
      </c>
    </row>
    <row r="62" spans="1:20" s="3" customFormat="1" ht="24.95" hidden="1" customHeight="1">
      <c r="A62" s="3" t="s">
        <v>576</v>
      </c>
      <c r="B62" s="3" t="s">
        <v>1016</v>
      </c>
      <c r="D62" s="26" t="s">
        <v>577</v>
      </c>
      <c r="E62" s="63"/>
      <c r="F62" s="27"/>
      <c r="G62" s="27"/>
      <c r="H62" s="27"/>
      <c r="I62" s="27"/>
      <c r="J62" s="27"/>
      <c r="K62" s="27"/>
      <c r="L62" s="27"/>
      <c r="M62" s="27"/>
      <c r="N62" s="27"/>
      <c r="O62" s="27"/>
      <c r="P62" s="27"/>
      <c r="Q62" s="3">
        <f t="shared" si="2"/>
        <v>0</v>
      </c>
      <c r="R62" s="39">
        <f>Q62/Summary!$Q$16</f>
        <v>0</v>
      </c>
      <c r="S62" s="35"/>
      <c r="T62" s="40">
        <f t="shared" si="4"/>
        <v>0</v>
      </c>
    </row>
    <row r="63" spans="1:20" s="3" customFormat="1" ht="24.95" hidden="1" customHeight="1">
      <c r="A63" s="3" t="s">
        <v>578</v>
      </c>
      <c r="B63" s="3" t="s">
        <v>1016</v>
      </c>
      <c r="D63" s="26" t="s">
        <v>579</v>
      </c>
      <c r="E63" s="63"/>
      <c r="F63" s="27"/>
      <c r="G63" s="27"/>
      <c r="H63" s="27"/>
      <c r="I63" s="27"/>
      <c r="J63" s="27"/>
      <c r="K63" s="27"/>
      <c r="L63" s="27"/>
      <c r="M63" s="27"/>
      <c r="N63" s="27"/>
      <c r="O63" s="27"/>
      <c r="P63" s="27"/>
      <c r="Q63" s="3">
        <f t="shared" si="2"/>
        <v>0</v>
      </c>
      <c r="R63" s="39">
        <f>Q63/Summary!$Q$16</f>
        <v>0</v>
      </c>
      <c r="S63" s="35"/>
      <c r="T63" s="40">
        <f t="shared" si="4"/>
        <v>0</v>
      </c>
    </row>
    <row r="64" spans="1:20" s="3" customFormat="1" ht="24.95" hidden="1" customHeight="1">
      <c r="A64" s="3" t="s">
        <v>580</v>
      </c>
      <c r="B64" s="3" t="s">
        <v>1016</v>
      </c>
      <c r="D64" s="26" t="s">
        <v>581</v>
      </c>
      <c r="E64" s="63"/>
      <c r="F64" s="27"/>
      <c r="G64" s="27"/>
      <c r="H64" s="27"/>
      <c r="I64" s="27"/>
      <c r="J64" s="27"/>
      <c r="K64" s="27"/>
      <c r="L64" s="27"/>
      <c r="M64" s="27"/>
      <c r="N64" s="27"/>
      <c r="O64" s="27"/>
      <c r="P64" s="27"/>
      <c r="Q64" s="3">
        <f t="shared" si="2"/>
        <v>0</v>
      </c>
      <c r="R64" s="39">
        <f>Q64/Summary!$Q$16</f>
        <v>0</v>
      </c>
      <c r="S64" s="35"/>
      <c r="T64" s="40">
        <f t="shared" si="4"/>
        <v>0</v>
      </c>
    </row>
    <row r="65" spans="1:20" s="3" customFormat="1" ht="24.95" hidden="1" customHeight="1">
      <c r="A65" s="3" t="s">
        <v>582</v>
      </c>
      <c r="B65" s="3" t="s">
        <v>1016</v>
      </c>
      <c r="D65" s="26" t="s">
        <v>583</v>
      </c>
      <c r="E65" s="63"/>
      <c r="F65" s="27"/>
      <c r="G65" s="27"/>
      <c r="H65" s="27"/>
      <c r="I65" s="27"/>
      <c r="J65" s="27"/>
      <c r="K65" s="27"/>
      <c r="L65" s="27"/>
      <c r="M65" s="27"/>
      <c r="N65" s="27"/>
      <c r="O65" s="27"/>
      <c r="P65" s="27"/>
      <c r="Q65" s="3">
        <f t="shared" si="2"/>
        <v>0</v>
      </c>
      <c r="R65" s="39">
        <f>Q65/Summary!$Q$16</f>
        <v>0</v>
      </c>
      <c r="S65" s="35"/>
      <c r="T65" s="40">
        <f t="shared" si="4"/>
        <v>0</v>
      </c>
    </row>
    <row r="66" spans="1:20" s="3" customFormat="1" ht="24.95" hidden="1" customHeight="1">
      <c r="A66" s="3" t="s">
        <v>584</v>
      </c>
      <c r="B66" s="3" t="s">
        <v>1016</v>
      </c>
      <c r="D66" s="26" t="s">
        <v>585</v>
      </c>
      <c r="E66" s="63"/>
      <c r="F66" s="27"/>
      <c r="G66" s="27"/>
      <c r="H66" s="27"/>
      <c r="I66" s="27"/>
      <c r="J66" s="27"/>
      <c r="K66" s="27"/>
      <c r="L66" s="27"/>
      <c r="M66" s="27"/>
      <c r="N66" s="27"/>
      <c r="O66" s="27"/>
      <c r="P66" s="27"/>
      <c r="Q66" s="3">
        <f t="shared" si="2"/>
        <v>0</v>
      </c>
      <c r="R66" s="39">
        <f>Q66/Summary!$Q$16</f>
        <v>0</v>
      </c>
      <c r="S66" s="35"/>
      <c r="T66" s="40">
        <f t="shared" si="4"/>
        <v>0</v>
      </c>
    </row>
    <row r="67" spans="1:20" s="3" customFormat="1" ht="24.95" hidden="1" customHeight="1">
      <c r="A67" s="3" t="s">
        <v>586</v>
      </c>
      <c r="B67" s="3" t="s">
        <v>1016</v>
      </c>
      <c r="D67" s="26" t="s">
        <v>587</v>
      </c>
      <c r="E67" s="63"/>
      <c r="F67" s="27"/>
      <c r="G67" s="27"/>
      <c r="H67" s="27"/>
      <c r="I67" s="27"/>
      <c r="J67" s="27"/>
      <c r="K67" s="27"/>
      <c r="L67" s="27"/>
      <c r="M67" s="27"/>
      <c r="N67" s="27"/>
      <c r="O67" s="27"/>
      <c r="P67" s="27"/>
      <c r="Q67" s="3">
        <f t="shared" si="2"/>
        <v>0</v>
      </c>
      <c r="R67" s="39">
        <f>Q67/Summary!$Q$16</f>
        <v>0</v>
      </c>
      <c r="S67" s="35"/>
      <c r="T67" s="40">
        <f t="shared" si="4"/>
        <v>0</v>
      </c>
    </row>
    <row r="68" spans="1:20" s="3" customFormat="1" ht="24.95" customHeight="1">
      <c r="A68" s="3" t="s">
        <v>588</v>
      </c>
      <c r="B68" s="3" t="s">
        <v>1016</v>
      </c>
      <c r="D68" s="26" t="s">
        <v>589</v>
      </c>
      <c r="E68" s="63">
        <v>50</v>
      </c>
      <c r="F68" s="63">
        <v>50</v>
      </c>
      <c r="G68" s="63">
        <v>50</v>
      </c>
      <c r="H68" s="63">
        <v>50</v>
      </c>
      <c r="I68" s="63">
        <v>50</v>
      </c>
      <c r="J68" s="63">
        <v>50</v>
      </c>
      <c r="K68" s="63">
        <v>50</v>
      </c>
      <c r="L68" s="63">
        <v>50</v>
      </c>
      <c r="M68" s="63">
        <v>50</v>
      </c>
      <c r="N68" s="63">
        <v>50</v>
      </c>
      <c r="O68" s="63">
        <v>50</v>
      </c>
      <c r="P68" s="63">
        <v>50</v>
      </c>
      <c r="Q68" s="3">
        <f t="shared" si="2"/>
        <v>600</v>
      </c>
      <c r="R68" s="39">
        <f>Q68/Summary!$Q$16</f>
        <v>1.8040885626113206E-5</v>
      </c>
      <c r="S68" s="35"/>
      <c r="T68" s="40" t="e">
        <f t="shared" si="4"/>
        <v>#DIV/0!</v>
      </c>
    </row>
    <row r="69" spans="1:20" s="3" customFormat="1" ht="24.95" customHeight="1">
      <c r="A69" s="3" t="s">
        <v>590</v>
      </c>
      <c r="B69" s="3" t="s">
        <v>1016</v>
      </c>
      <c r="D69" s="26" t="s">
        <v>591</v>
      </c>
      <c r="E69" s="63">
        <v>50</v>
      </c>
      <c r="F69" s="63">
        <v>50</v>
      </c>
      <c r="G69" s="63">
        <v>50</v>
      </c>
      <c r="H69" s="63">
        <v>50</v>
      </c>
      <c r="I69" s="63">
        <v>50</v>
      </c>
      <c r="J69" s="63">
        <v>50</v>
      </c>
      <c r="K69" s="63">
        <v>50</v>
      </c>
      <c r="L69" s="63">
        <v>50</v>
      </c>
      <c r="M69" s="63">
        <v>50</v>
      </c>
      <c r="N69" s="63">
        <v>50</v>
      </c>
      <c r="O69" s="63">
        <v>50</v>
      </c>
      <c r="P69" s="63">
        <v>50</v>
      </c>
      <c r="Q69" s="3">
        <f t="shared" si="2"/>
        <v>600</v>
      </c>
      <c r="R69" s="39">
        <f>Q69/Summary!$Q$16</f>
        <v>1.8040885626113206E-5</v>
      </c>
      <c r="S69" s="35"/>
      <c r="T69" s="40" t="e">
        <f t="shared" si="4"/>
        <v>#DIV/0!</v>
      </c>
    </row>
    <row r="70" spans="1:20" s="3" customFormat="1" ht="24.95" customHeight="1">
      <c r="A70" s="3" t="s">
        <v>592</v>
      </c>
      <c r="B70" s="3" t="s">
        <v>1016</v>
      </c>
      <c r="D70" s="26" t="s">
        <v>593</v>
      </c>
      <c r="E70" s="63">
        <f>Laundry!E208</f>
        <v>1823.49</v>
      </c>
      <c r="F70" s="63">
        <f>Laundry!F208</f>
        <v>1955.81</v>
      </c>
      <c r="G70" s="63">
        <f>Laundry!G208</f>
        <v>1818.6</v>
      </c>
      <c r="H70" s="63">
        <f>Laundry!H208</f>
        <v>1967.15</v>
      </c>
      <c r="I70" s="63">
        <f>Laundry!I208</f>
        <v>1985.46</v>
      </c>
      <c r="J70" s="63">
        <f>Laundry!J208</f>
        <v>1998.85</v>
      </c>
      <c r="K70" s="63">
        <f>Laundry!K208</f>
        <v>1984.1</v>
      </c>
      <c r="L70" s="63">
        <f>Laundry!L208</f>
        <v>1991.14</v>
      </c>
      <c r="M70" s="63">
        <f>Laundry!M208</f>
        <v>2083.35</v>
      </c>
      <c r="N70" s="63">
        <f>Laundry!N208</f>
        <v>2215.67</v>
      </c>
      <c r="O70" s="63">
        <f>Laundry!O208</f>
        <v>1929.87</v>
      </c>
      <c r="P70" s="63">
        <f>Laundry!P208</f>
        <v>1903.11</v>
      </c>
      <c r="Q70" s="3">
        <f t="shared" si="2"/>
        <v>23656.599999999995</v>
      </c>
      <c r="R70" s="39">
        <f>Q70/Summary!$Q$16</f>
        <v>7.1131002483784927E-4</v>
      </c>
      <c r="S70" s="35"/>
      <c r="T70" s="40" t="e">
        <f t="shared" si="4"/>
        <v>#DIV/0!</v>
      </c>
    </row>
    <row r="71" spans="1:20" s="3" customFormat="1" ht="24.75" customHeight="1">
      <c r="A71" s="3" t="s">
        <v>594</v>
      </c>
      <c r="B71" s="3" t="s">
        <v>1016</v>
      </c>
      <c r="D71" s="26" t="s">
        <v>595</v>
      </c>
      <c r="E71" s="63"/>
      <c r="F71" s="27"/>
      <c r="G71" s="27"/>
      <c r="H71" s="27"/>
      <c r="I71" s="27"/>
      <c r="J71" s="27"/>
      <c r="K71" s="27"/>
      <c r="L71" s="27"/>
      <c r="M71" s="27"/>
      <c r="N71" s="27"/>
      <c r="O71" s="27"/>
      <c r="P71" s="27"/>
      <c r="Q71" s="3">
        <f t="shared" si="2"/>
        <v>0</v>
      </c>
      <c r="R71" s="39">
        <f>Q71/Summary!$Q$16</f>
        <v>0</v>
      </c>
      <c r="S71" s="35"/>
      <c r="T71" s="40">
        <f t="shared" si="4"/>
        <v>0</v>
      </c>
    </row>
    <row r="72" spans="1:20" s="3" customFormat="1" ht="24.75" customHeight="1">
      <c r="A72" s="3" t="s">
        <v>596</v>
      </c>
      <c r="B72" s="3" t="s">
        <v>1016</v>
      </c>
      <c r="D72" s="26" t="s">
        <v>597</v>
      </c>
      <c r="E72" s="63">
        <v>1000</v>
      </c>
      <c r="F72" s="63">
        <v>1000</v>
      </c>
      <c r="G72" s="63">
        <v>1000</v>
      </c>
      <c r="H72" s="63">
        <v>1000</v>
      </c>
      <c r="I72" s="63">
        <v>1000</v>
      </c>
      <c r="J72" s="63">
        <v>1000</v>
      </c>
      <c r="K72" s="63">
        <v>1000</v>
      </c>
      <c r="L72" s="63">
        <v>1000</v>
      </c>
      <c r="M72" s="63">
        <v>1000</v>
      </c>
      <c r="N72" s="63">
        <v>1000</v>
      </c>
      <c r="O72" s="63">
        <v>1000</v>
      </c>
      <c r="P72" s="63">
        <v>1000</v>
      </c>
      <c r="Q72" s="3">
        <f t="shared" si="2"/>
        <v>12000</v>
      </c>
      <c r="R72" s="39">
        <f>Q72/Summary!$Q$16</f>
        <v>3.608177125222641E-4</v>
      </c>
      <c r="S72" s="35"/>
      <c r="T72" s="40" t="e">
        <f t="shared" si="4"/>
        <v>#DIV/0!</v>
      </c>
    </row>
    <row r="73" spans="1:20" s="3" customFormat="1" ht="24.95" customHeight="1">
      <c r="A73" s="3" t="s">
        <v>598</v>
      </c>
      <c r="B73" s="3" t="s">
        <v>1016</v>
      </c>
      <c r="D73" s="26" t="s">
        <v>599</v>
      </c>
      <c r="E73" s="63"/>
      <c r="F73" s="27"/>
      <c r="G73" s="27"/>
      <c r="H73" s="27"/>
      <c r="I73" s="27"/>
      <c r="J73" s="27"/>
      <c r="K73" s="27"/>
      <c r="L73" s="27"/>
      <c r="M73" s="27"/>
      <c r="N73" s="27"/>
      <c r="O73" s="27"/>
      <c r="P73" s="27"/>
      <c r="Q73" s="3">
        <f t="shared" si="2"/>
        <v>0</v>
      </c>
      <c r="R73" s="39">
        <f>Q73/Summary!$Q$16</f>
        <v>0</v>
      </c>
      <c r="S73" s="35"/>
      <c r="T73" s="40">
        <f t="shared" si="4"/>
        <v>0</v>
      </c>
    </row>
    <row r="74" spans="1:20" s="3" customFormat="1" ht="24.95" customHeight="1">
      <c r="A74" s="3" t="s">
        <v>600</v>
      </c>
      <c r="B74" s="3" t="s">
        <v>1016</v>
      </c>
      <c r="D74" s="26" t="s">
        <v>601</v>
      </c>
      <c r="E74" s="63">
        <v>1000</v>
      </c>
      <c r="F74" s="63">
        <v>1000</v>
      </c>
      <c r="G74" s="63">
        <v>1000</v>
      </c>
      <c r="H74" s="63">
        <v>1000</v>
      </c>
      <c r="I74" s="63">
        <v>1000</v>
      </c>
      <c r="J74" s="63">
        <v>1000</v>
      </c>
      <c r="K74" s="63">
        <v>1000</v>
      </c>
      <c r="L74" s="63">
        <v>1000</v>
      </c>
      <c r="M74" s="63">
        <v>1000</v>
      </c>
      <c r="N74" s="63">
        <v>1000</v>
      </c>
      <c r="O74" s="63">
        <v>1000</v>
      </c>
      <c r="P74" s="63">
        <v>1000</v>
      </c>
      <c r="Q74" s="3">
        <f t="shared" si="2"/>
        <v>12000</v>
      </c>
      <c r="R74" s="39">
        <f>Q74/Summary!$Q$16</f>
        <v>3.608177125222641E-4</v>
      </c>
      <c r="S74" s="35"/>
      <c r="T74" s="40" t="e">
        <f t="shared" si="4"/>
        <v>#DIV/0!</v>
      </c>
    </row>
    <row r="75" spans="1:20" s="3" customFormat="1" ht="24.95" customHeight="1">
      <c r="A75" s="3" t="s">
        <v>602</v>
      </c>
      <c r="B75" s="3" t="s">
        <v>1016</v>
      </c>
      <c r="D75" s="26" t="s">
        <v>603</v>
      </c>
      <c r="E75" s="63">
        <v>600</v>
      </c>
      <c r="F75" s="63">
        <v>600</v>
      </c>
      <c r="G75" s="63">
        <v>600</v>
      </c>
      <c r="H75" s="63">
        <v>600</v>
      </c>
      <c r="I75" s="63">
        <v>600</v>
      </c>
      <c r="J75" s="63">
        <v>600</v>
      </c>
      <c r="K75" s="63">
        <v>600</v>
      </c>
      <c r="L75" s="63">
        <v>600</v>
      </c>
      <c r="M75" s="63">
        <v>600</v>
      </c>
      <c r="N75" s="63">
        <v>600</v>
      </c>
      <c r="O75" s="63">
        <v>600</v>
      </c>
      <c r="P75" s="63">
        <v>600</v>
      </c>
      <c r="Q75" s="3">
        <f t="shared" si="2"/>
        <v>7200</v>
      </c>
      <c r="R75" s="39">
        <f>Q75/Summary!$Q$16</f>
        <v>2.1649062751335845E-4</v>
      </c>
      <c r="S75" s="35"/>
      <c r="T75" s="40" t="e">
        <f t="shared" si="4"/>
        <v>#DIV/0!</v>
      </c>
    </row>
    <row r="76" spans="1:20" s="3" customFormat="1" ht="24.95" hidden="1" customHeight="1">
      <c r="A76" s="3" t="s">
        <v>604</v>
      </c>
      <c r="B76" s="3" t="s">
        <v>1016</v>
      </c>
      <c r="D76" s="26" t="s">
        <v>605</v>
      </c>
      <c r="E76" s="63"/>
      <c r="F76" s="27"/>
      <c r="G76" s="27"/>
      <c r="H76" s="27"/>
      <c r="I76" s="27"/>
      <c r="J76" s="27"/>
      <c r="K76" s="27"/>
      <c r="L76" s="27"/>
      <c r="M76" s="27"/>
      <c r="N76" s="27"/>
      <c r="O76" s="27"/>
      <c r="P76" s="27"/>
      <c r="Q76" s="3">
        <f t="shared" si="2"/>
        <v>0</v>
      </c>
      <c r="R76" s="39">
        <f>Q76/Summary!$Q$16</f>
        <v>0</v>
      </c>
      <c r="S76" s="35"/>
      <c r="T76" s="40">
        <f t="shared" si="4"/>
        <v>0</v>
      </c>
    </row>
    <row r="77" spans="1:20" s="3" customFormat="1" ht="24.95" customHeight="1">
      <c r="A77" s="3" t="s">
        <v>606</v>
      </c>
      <c r="B77" s="3" t="s">
        <v>1016</v>
      </c>
      <c r="D77" s="26" t="s">
        <v>607</v>
      </c>
      <c r="E77" s="63"/>
      <c r="F77" s="27"/>
      <c r="G77" s="27"/>
      <c r="H77" s="27"/>
      <c r="I77" s="27"/>
      <c r="J77" s="27"/>
      <c r="K77" s="27"/>
      <c r="L77" s="27"/>
      <c r="M77" s="27"/>
      <c r="N77" s="27"/>
      <c r="O77" s="27"/>
      <c r="P77" s="27"/>
      <c r="Q77" s="3">
        <f t="shared" si="2"/>
        <v>0</v>
      </c>
      <c r="R77" s="39">
        <f>Q77/Summary!$Q$16</f>
        <v>0</v>
      </c>
      <c r="S77" s="35"/>
      <c r="T77" s="40">
        <f t="shared" si="4"/>
        <v>0</v>
      </c>
    </row>
    <row r="78" spans="1:20" s="3" customFormat="1" ht="24.95" customHeight="1">
      <c r="A78" s="270" t="s">
        <v>863</v>
      </c>
      <c r="B78" s="3" t="s">
        <v>1016</v>
      </c>
      <c r="D78" s="26" t="s">
        <v>864</v>
      </c>
      <c r="E78" s="63"/>
      <c r="F78" s="27"/>
      <c r="G78" s="27"/>
      <c r="H78" s="27"/>
      <c r="I78" s="27"/>
      <c r="J78" s="27"/>
      <c r="K78" s="27"/>
      <c r="L78" s="27"/>
      <c r="M78" s="27"/>
      <c r="N78" s="27"/>
      <c r="O78" s="27"/>
      <c r="P78" s="27"/>
      <c r="Q78" s="3">
        <f t="shared" si="2"/>
        <v>0</v>
      </c>
      <c r="R78" s="39">
        <f>Q78/Summary!$Q$16</f>
        <v>0</v>
      </c>
      <c r="S78" s="35"/>
      <c r="T78" s="40">
        <f t="shared" si="4"/>
        <v>0</v>
      </c>
    </row>
    <row r="79" spans="1:20" s="3" customFormat="1" ht="24.95" customHeight="1">
      <c r="A79" s="3" t="s">
        <v>608</v>
      </c>
      <c r="B79" s="3" t="s">
        <v>1016</v>
      </c>
      <c r="D79" s="26" t="s">
        <v>609</v>
      </c>
      <c r="E79" s="63"/>
      <c r="F79" s="27"/>
      <c r="G79" s="27"/>
      <c r="H79" s="27"/>
      <c r="I79" s="27"/>
      <c r="J79" s="27"/>
      <c r="K79" s="27"/>
      <c r="L79" s="27"/>
      <c r="M79" s="27"/>
      <c r="N79" s="27"/>
      <c r="O79" s="27"/>
      <c r="P79" s="27"/>
      <c r="Q79" s="3">
        <f t="shared" si="2"/>
        <v>0</v>
      </c>
      <c r="R79" s="39">
        <f>Q79/Summary!$Q$16</f>
        <v>0</v>
      </c>
      <c r="S79" s="35"/>
      <c r="T79" s="40">
        <f t="shared" si="4"/>
        <v>0</v>
      </c>
    </row>
    <row r="80" spans="1:20" s="3" customFormat="1" ht="24.95" customHeight="1">
      <c r="A80" s="3" t="s">
        <v>865</v>
      </c>
      <c r="B80" s="3" t="s">
        <v>1016</v>
      </c>
      <c r="D80" s="26" t="s">
        <v>866</v>
      </c>
      <c r="E80" s="63"/>
      <c r="F80" s="27"/>
      <c r="G80" s="27"/>
      <c r="H80" s="27"/>
      <c r="I80" s="27"/>
      <c r="J80" s="27"/>
      <c r="K80" s="27"/>
      <c r="L80" s="27"/>
      <c r="M80" s="27"/>
      <c r="N80" s="27"/>
      <c r="O80" s="27"/>
      <c r="P80" s="27"/>
      <c r="Q80" s="3">
        <f t="shared" ref="Q80:Q143" si="5">SUM(E80:P80)</f>
        <v>0</v>
      </c>
      <c r="R80" s="39">
        <f>Q80/Summary!$Q$16</f>
        <v>0</v>
      </c>
      <c r="S80" s="35"/>
      <c r="T80" s="40">
        <f t="shared" si="4"/>
        <v>0</v>
      </c>
    </row>
    <row r="81" spans="1:20" s="3" customFormat="1" ht="24.95" customHeight="1">
      <c r="A81" s="3" t="s">
        <v>867</v>
      </c>
      <c r="B81" s="3" t="s">
        <v>1016</v>
      </c>
      <c r="D81" s="26" t="s">
        <v>868</v>
      </c>
      <c r="E81" s="63">
        <v>2122.64</v>
      </c>
      <c r="F81" s="63">
        <v>2122.64</v>
      </c>
      <c r="G81" s="63">
        <v>2122.64</v>
      </c>
      <c r="H81" s="63">
        <v>2122.64</v>
      </c>
      <c r="I81" s="63">
        <v>2122.64</v>
      </c>
      <c r="J81" s="63">
        <v>2122.64</v>
      </c>
      <c r="K81" s="63">
        <v>2122.64</v>
      </c>
      <c r="L81" s="63">
        <v>2122.64</v>
      </c>
      <c r="M81" s="63">
        <v>2122.64</v>
      </c>
      <c r="N81" s="63">
        <v>2122.64</v>
      </c>
      <c r="O81" s="63">
        <v>2122.64</v>
      </c>
      <c r="P81" s="63">
        <v>2122.64</v>
      </c>
      <c r="Q81" s="3">
        <f t="shared" si="5"/>
        <v>25471.679999999997</v>
      </c>
      <c r="R81" s="39">
        <f>Q81/Summary!$Q$16</f>
        <v>7.6588610930825854E-4</v>
      </c>
      <c r="S81" s="35"/>
      <c r="T81" s="40" t="e">
        <f t="shared" si="4"/>
        <v>#DIV/0!</v>
      </c>
    </row>
    <row r="82" spans="1:20" s="3" customFormat="1" ht="24.95" customHeight="1">
      <c r="A82" s="3" t="s">
        <v>869</v>
      </c>
      <c r="B82" s="3" t="s">
        <v>1016</v>
      </c>
      <c r="D82" s="26" t="s">
        <v>870</v>
      </c>
      <c r="E82" s="63"/>
      <c r="F82" s="27"/>
      <c r="G82" s="27"/>
      <c r="H82" s="27"/>
      <c r="I82" s="27"/>
      <c r="J82" s="27"/>
      <c r="K82" s="27"/>
      <c r="L82" s="27"/>
      <c r="M82" s="27"/>
      <c r="N82" s="27"/>
      <c r="O82" s="27"/>
      <c r="P82" s="27"/>
      <c r="Q82" s="3">
        <f t="shared" si="5"/>
        <v>0</v>
      </c>
      <c r="R82" s="39">
        <f>Q82/Summary!$Q$16</f>
        <v>0</v>
      </c>
      <c r="S82" s="35"/>
      <c r="T82" s="40">
        <f t="shared" si="4"/>
        <v>0</v>
      </c>
    </row>
    <row r="83" spans="1:20" s="3" customFormat="1" ht="24.95" customHeight="1">
      <c r="A83" s="3" t="s">
        <v>871</v>
      </c>
      <c r="B83" s="3" t="s">
        <v>1016</v>
      </c>
      <c r="D83" s="26" t="s">
        <v>872</v>
      </c>
      <c r="E83" s="63"/>
      <c r="F83" s="27"/>
      <c r="G83" s="27"/>
      <c r="H83" s="27"/>
      <c r="I83" s="27"/>
      <c r="J83" s="27"/>
      <c r="K83" s="27"/>
      <c r="L83" s="27"/>
      <c r="M83" s="27"/>
      <c r="N83" s="27"/>
      <c r="O83" s="27"/>
      <c r="P83" s="27"/>
      <c r="Q83" s="3">
        <f t="shared" si="5"/>
        <v>0</v>
      </c>
      <c r="R83" s="39">
        <f>Q83/Summary!$Q$16</f>
        <v>0</v>
      </c>
      <c r="S83" s="35"/>
      <c r="T83" s="40">
        <f t="shared" si="4"/>
        <v>0</v>
      </c>
    </row>
    <row r="84" spans="1:20" s="3" customFormat="1" ht="24.95" hidden="1" customHeight="1">
      <c r="A84" s="3" t="s">
        <v>873</v>
      </c>
      <c r="B84" s="3" t="s">
        <v>1016</v>
      </c>
      <c r="D84" s="26" t="s">
        <v>874</v>
      </c>
      <c r="E84" s="63"/>
      <c r="F84" s="27"/>
      <c r="G84" s="27"/>
      <c r="H84" s="27"/>
      <c r="I84" s="27"/>
      <c r="J84" s="27"/>
      <c r="K84" s="27"/>
      <c r="L84" s="27"/>
      <c r="M84" s="27"/>
      <c r="N84" s="27"/>
      <c r="O84" s="27"/>
      <c r="P84" s="27"/>
      <c r="Q84" s="3">
        <f t="shared" si="5"/>
        <v>0</v>
      </c>
      <c r="R84" s="39">
        <f>Q84/Summary!$Q$16</f>
        <v>0</v>
      </c>
      <c r="S84" s="35"/>
      <c r="T84" s="40">
        <f t="shared" si="4"/>
        <v>0</v>
      </c>
    </row>
    <row r="85" spans="1:20" s="3" customFormat="1" ht="24.95" hidden="1" customHeight="1">
      <c r="A85" s="3" t="s">
        <v>875</v>
      </c>
      <c r="B85" s="3" t="s">
        <v>1016</v>
      </c>
      <c r="D85" s="26" t="s">
        <v>876</v>
      </c>
      <c r="E85" s="63"/>
      <c r="F85" s="27"/>
      <c r="G85" s="27"/>
      <c r="H85" s="27"/>
      <c r="I85" s="27"/>
      <c r="J85" s="27"/>
      <c r="K85" s="27"/>
      <c r="L85" s="27"/>
      <c r="M85" s="27"/>
      <c r="N85" s="27"/>
      <c r="O85" s="27"/>
      <c r="P85" s="27"/>
      <c r="Q85" s="3">
        <f t="shared" si="5"/>
        <v>0</v>
      </c>
      <c r="R85" s="39">
        <f>Q85/Summary!$Q$16</f>
        <v>0</v>
      </c>
      <c r="S85" s="35"/>
      <c r="T85" s="40">
        <f t="shared" si="4"/>
        <v>0</v>
      </c>
    </row>
    <row r="86" spans="1:20" s="3" customFormat="1" ht="24.95" hidden="1" customHeight="1">
      <c r="A86" s="3" t="s">
        <v>877</v>
      </c>
      <c r="B86" s="3" t="s">
        <v>1016</v>
      </c>
      <c r="D86" s="26" t="s">
        <v>878</v>
      </c>
      <c r="E86" s="63"/>
      <c r="F86" s="27"/>
      <c r="G86" s="27"/>
      <c r="H86" s="27"/>
      <c r="I86" s="27"/>
      <c r="J86" s="27"/>
      <c r="K86" s="27"/>
      <c r="L86" s="27"/>
      <c r="M86" s="27"/>
      <c r="N86" s="27"/>
      <c r="O86" s="27"/>
      <c r="P86" s="27"/>
      <c r="Q86" s="3">
        <f t="shared" si="5"/>
        <v>0</v>
      </c>
      <c r="R86" s="39">
        <f>Q86/Summary!$Q$16</f>
        <v>0</v>
      </c>
      <c r="S86" s="35"/>
      <c r="T86" s="40">
        <f t="shared" si="4"/>
        <v>0</v>
      </c>
    </row>
    <row r="87" spans="1:20" s="3" customFormat="1" ht="24.95" hidden="1" customHeight="1">
      <c r="A87" s="3" t="s">
        <v>879</v>
      </c>
      <c r="B87" s="3" t="s">
        <v>1016</v>
      </c>
      <c r="D87" s="26" t="s">
        <v>880</v>
      </c>
      <c r="E87" s="63"/>
      <c r="F87" s="27"/>
      <c r="G87" s="27"/>
      <c r="H87" s="27"/>
      <c r="I87" s="27"/>
      <c r="J87" s="27"/>
      <c r="K87" s="27"/>
      <c r="L87" s="27"/>
      <c r="M87" s="27"/>
      <c r="N87" s="27"/>
      <c r="O87" s="27"/>
      <c r="P87" s="27"/>
      <c r="Q87" s="3">
        <f t="shared" si="5"/>
        <v>0</v>
      </c>
      <c r="R87" s="39">
        <f>Q87/Summary!$Q$16</f>
        <v>0</v>
      </c>
      <c r="S87" s="35"/>
      <c r="T87" s="40">
        <f t="shared" si="4"/>
        <v>0</v>
      </c>
    </row>
    <row r="88" spans="1:20" s="3" customFormat="1" ht="24.95" hidden="1" customHeight="1">
      <c r="A88" s="3" t="s">
        <v>881</v>
      </c>
      <c r="B88" s="3" t="s">
        <v>1016</v>
      </c>
      <c r="D88" s="26" t="s">
        <v>882</v>
      </c>
      <c r="E88" s="63"/>
      <c r="F88" s="27"/>
      <c r="G88" s="27"/>
      <c r="H88" s="27"/>
      <c r="I88" s="27"/>
      <c r="J88" s="27"/>
      <c r="K88" s="27"/>
      <c r="L88" s="27"/>
      <c r="M88" s="27"/>
      <c r="N88" s="27"/>
      <c r="O88" s="27"/>
      <c r="P88" s="27"/>
      <c r="Q88" s="3">
        <f t="shared" si="5"/>
        <v>0</v>
      </c>
      <c r="R88" s="39">
        <f>Q88/Summary!$Q$16</f>
        <v>0</v>
      </c>
      <c r="S88" s="35"/>
      <c r="T88" s="40">
        <f t="shared" si="4"/>
        <v>0</v>
      </c>
    </row>
    <row r="89" spans="1:20" s="3" customFormat="1" ht="24.95" hidden="1" customHeight="1">
      <c r="A89" s="3" t="s">
        <v>268</v>
      </c>
      <c r="B89" s="3" t="s">
        <v>1016</v>
      </c>
      <c r="D89" s="26" t="s">
        <v>610</v>
      </c>
      <c r="E89" s="63"/>
      <c r="F89" s="27"/>
      <c r="G89" s="27"/>
      <c r="H89" s="27"/>
      <c r="I89" s="27"/>
      <c r="J89" s="27"/>
      <c r="K89" s="27"/>
      <c r="L89" s="27"/>
      <c r="M89" s="27"/>
      <c r="N89" s="27"/>
      <c r="O89" s="27"/>
      <c r="P89" s="27"/>
      <c r="Q89" s="3">
        <f t="shared" si="5"/>
        <v>0</v>
      </c>
      <c r="R89" s="39">
        <f>Q89/Summary!$Q$16</f>
        <v>0</v>
      </c>
      <c r="S89" s="35"/>
      <c r="T89" s="40">
        <f t="shared" ref="T89:T120" si="6">-IF(Q89-S89=0,0,(Q89-S89)/S89)</f>
        <v>0</v>
      </c>
    </row>
    <row r="90" spans="1:20" s="3" customFormat="1" ht="24.95" customHeight="1">
      <c r="A90" s="3" t="s">
        <v>883</v>
      </c>
      <c r="B90" s="3" t="s">
        <v>1016</v>
      </c>
      <c r="D90" s="26" t="s">
        <v>884</v>
      </c>
      <c r="E90" s="63">
        <v>3400</v>
      </c>
      <c r="F90" s="63">
        <v>3400</v>
      </c>
      <c r="G90" s="63">
        <v>3400</v>
      </c>
      <c r="H90" s="63">
        <v>3400</v>
      </c>
      <c r="I90" s="63">
        <v>3400</v>
      </c>
      <c r="J90" s="63">
        <v>3400</v>
      </c>
      <c r="K90" s="63">
        <v>3400</v>
      </c>
      <c r="L90" s="63">
        <v>3400</v>
      </c>
      <c r="M90" s="63">
        <v>3400</v>
      </c>
      <c r="N90" s="63">
        <v>3400</v>
      </c>
      <c r="O90" s="63">
        <v>3400</v>
      </c>
      <c r="P90" s="63">
        <v>3400</v>
      </c>
      <c r="Q90" s="3">
        <f t="shared" si="5"/>
        <v>40800</v>
      </c>
      <c r="R90" s="39">
        <f>Q90/Summary!$Q$16</f>
        <v>1.2267802225756979E-3</v>
      </c>
      <c r="S90" s="35"/>
      <c r="T90" s="40" t="e">
        <f t="shared" si="6"/>
        <v>#DIV/0!</v>
      </c>
    </row>
    <row r="91" spans="1:20" s="3" customFormat="1" ht="24.95" customHeight="1">
      <c r="A91" s="3" t="s">
        <v>270</v>
      </c>
      <c r="B91" s="3" t="s">
        <v>1016</v>
      </c>
      <c r="D91" s="26" t="s">
        <v>271</v>
      </c>
      <c r="E91" s="63"/>
      <c r="F91" s="27"/>
      <c r="G91" s="27"/>
      <c r="H91" s="27"/>
      <c r="I91" s="27"/>
      <c r="J91" s="27"/>
      <c r="K91" s="27"/>
      <c r="L91" s="27"/>
      <c r="M91" s="27"/>
      <c r="N91" s="27"/>
      <c r="O91" s="27"/>
      <c r="P91" s="27"/>
      <c r="Q91" s="3">
        <f t="shared" si="5"/>
        <v>0</v>
      </c>
      <c r="R91" s="39">
        <f>Q91/Summary!$Q$16</f>
        <v>0</v>
      </c>
      <c r="S91" s="35"/>
      <c r="T91" s="40">
        <f t="shared" si="6"/>
        <v>0</v>
      </c>
    </row>
    <row r="92" spans="1:20" s="3" customFormat="1" ht="24.95" hidden="1" customHeight="1">
      <c r="A92" s="3" t="s">
        <v>885</v>
      </c>
      <c r="B92" s="3" t="s">
        <v>1016</v>
      </c>
      <c r="D92" s="26" t="s">
        <v>886</v>
      </c>
      <c r="E92" s="63"/>
      <c r="F92" s="27"/>
      <c r="G92" s="27"/>
      <c r="H92" s="27"/>
      <c r="I92" s="27"/>
      <c r="J92" s="27"/>
      <c r="K92" s="27"/>
      <c r="L92" s="27"/>
      <c r="M92" s="27"/>
      <c r="N92" s="27"/>
      <c r="O92" s="27"/>
      <c r="P92" s="27"/>
      <c r="Q92" s="3">
        <f t="shared" si="5"/>
        <v>0</v>
      </c>
      <c r="R92" s="39">
        <f>Q92/Summary!$Q$16</f>
        <v>0</v>
      </c>
      <c r="S92" s="35"/>
      <c r="T92" s="40">
        <f t="shared" si="6"/>
        <v>0</v>
      </c>
    </row>
    <row r="93" spans="1:20" s="3" customFormat="1" ht="24.95" hidden="1" customHeight="1">
      <c r="A93" s="3" t="s">
        <v>887</v>
      </c>
      <c r="B93" s="3" t="s">
        <v>1016</v>
      </c>
      <c r="D93" s="26" t="s">
        <v>888</v>
      </c>
      <c r="E93" s="63"/>
      <c r="F93" s="27"/>
      <c r="G93" s="27"/>
      <c r="H93" s="27"/>
      <c r="I93" s="27"/>
      <c r="J93" s="27"/>
      <c r="K93" s="27"/>
      <c r="L93" s="27"/>
      <c r="M93" s="27"/>
      <c r="N93" s="27"/>
      <c r="O93" s="27"/>
      <c r="P93" s="27"/>
      <c r="Q93" s="3">
        <f t="shared" si="5"/>
        <v>0</v>
      </c>
      <c r="R93" s="39">
        <f>Q93/Summary!$Q$16</f>
        <v>0</v>
      </c>
      <c r="S93" s="35"/>
      <c r="T93" s="40">
        <f t="shared" si="6"/>
        <v>0</v>
      </c>
    </row>
    <row r="94" spans="1:20" s="3" customFormat="1" ht="24.95" hidden="1" customHeight="1">
      <c r="A94" s="3" t="s">
        <v>889</v>
      </c>
      <c r="B94" s="3" t="s">
        <v>1016</v>
      </c>
      <c r="D94" s="26" t="s">
        <v>890</v>
      </c>
      <c r="E94" s="63"/>
      <c r="F94" s="27"/>
      <c r="G94" s="27"/>
      <c r="H94" s="27"/>
      <c r="I94" s="27"/>
      <c r="J94" s="27"/>
      <c r="K94" s="27"/>
      <c r="L94" s="27"/>
      <c r="M94" s="27"/>
      <c r="N94" s="27"/>
      <c r="O94" s="27"/>
      <c r="P94" s="27"/>
      <c r="Q94" s="3">
        <f t="shared" si="5"/>
        <v>0</v>
      </c>
      <c r="R94" s="39">
        <f>Q94/Summary!$Q$16</f>
        <v>0</v>
      </c>
      <c r="S94" s="35"/>
      <c r="T94" s="40">
        <f t="shared" si="6"/>
        <v>0</v>
      </c>
    </row>
    <row r="95" spans="1:20" s="3" customFormat="1" ht="24.95" hidden="1" customHeight="1">
      <c r="A95" s="3" t="s">
        <v>891</v>
      </c>
      <c r="B95" s="3" t="s">
        <v>1016</v>
      </c>
      <c r="D95" s="26" t="s">
        <v>892</v>
      </c>
      <c r="E95" s="63"/>
      <c r="F95" s="27"/>
      <c r="G95" s="27"/>
      <c r="H95" s="27"/>
      <c r="I95" s="27"/>
      <c r="J95" s="27"/>
      <c r="K95" s="27"/>
      <c r="L95" s="27"/>
      <c r="M95" s="27"/>
      <c r="N95" s="27"/>
      <c r="O95" s="27"/>
      <c r="P95" s="27"/>
      <c r="Q95" s="3">
        <f t="shared" si="5"/>
        <v>0</v>
      </c>
      <c r="R95" s="39">
        <f>Q95/Summary!$Q$16</f>
        <v>0</v>
      </c>
      <c r="S95" s="35"/>
      <c r="T95" s="40">
        <f t="shared" si="6"/>
        <v>0</v>
      </c>
    </row>
    <row r="96" spans="1:20" s="3" customFormat="1" ht="24.95" hidden="1" customHeight="1">
      <c r="A96" s="3" t="s">
        <v>893</v>
      </c>
      <c r="B96" s="3" t="s">
        <v>1016</v>
      </c>
      <c r="D96" s="26" t="s">
        <v>894</v>
      </c>
      <c r="E96" s="63"/>
      <c r="F96" s="27"/>
      <c r="G96" s="27"/>
      <c r="H96" s="27"/>
      <c r="I96" s="27"/>
      <c r="J96" s="27"/>
      <c r="K96" s="27"/>
      <c r="L96" s="27"/>
      <c r="M96" s="27"/>
      <c r="N96" s="27"/>
      <c r="O96" s="27"/>
      <c r="P96" s="27"/>
      <c r="Q96" s="3">
        <f t="shared" si="5"/>
        <v>0</v>
      </c>
      <c r="R96" s="39">
        <f>Q96/Summary!$Q$16</f>
        <v>0</v>
      </c>
      <c r="S96" s="35"/>
      <c r="T96" s="40">
        <f t="shared" si="6"/>
        <v>0</v>
      </c>
    </row>
    <row r="97" spans="1:20" s="3" customFormat="1" ht="24.95" hidden="1" customHeight="1">
      <c r="A97" s="3" t="s">
        <v>895</v>
      </c>
      <c r="B97" s="3" t="s">
        <v>1016</v>
      </c>
      <c r="D97" s="26" t="s">
        <v>896</v>
      </c>
      <c r="E97" s="63"/>
      <c r="F97" s="27"/>
      <c r="G97" s="27"/>
      <c r="H97" s="27"/>
      <c r="I97" s="27"/>
      <c r="J97" s="27"/>
      <c r="K97" s="27"/>
      <c r="L97" s="27"/>
      <c r="M97" s="27"/>
      <c r="N97" s="27"/>
      <c r="O97" s="27"/>
      <c r="P97" s="27"/>
      <c r="Q97" s="3">
        <f t="shared" si="5"/>
        <v>0</v>
      </c>
      <c r="R97" s="39">
        <f>Q97/Summary!$Q$16</f>
        <v>0</v>
      </c>
      <c r="S97" s="35"/>
      <c r="T97" s="40">
        <f t="shared" si="6"/>
        <v>0</v>
      </c>
    </row>
    <row r="98" spans="1:20" s="3" customFormat="1" ht="24.95" hidden="1" customHeight="1">
      <c r="A98" s="3" t="s">
        <v>897</v>
      </c>
      <c r="B98" s="3" t="s">
        <v>1016</v>
      </c>
      <c r="D98" s="26" t="s">
        <v>898</v>
      </c>
      <c r="E98" s="63"/>
      <c r="F98" s="27"/>
      <c r="G98" s="27"/>
      <c r="H98" s="27"/>
      <c r="I98" s="27"/>
      <c r="J98" s="27"/>
      <c r="K98" s="27"/>
      <c r="L98" s="27"/>
      <c r="M98" s="27"/>
      <c r="N98" s="27"/>
      <c r="O98" s="27"/>
      <c r="P98" s="27"/>
      <c r="Q98" s="3">
        <f t="shared" si="5"/>
        <v>0</v>
      </c>
      <c r="R98" s="39">
        <f>Q98/Summary!$Q$16</f>
        <v>0</v>
      </c>
      <c r="S98" s="35"/>
      <c r="T98" s="40">
        <f t="shared" si="6"/>
        <v>0</v>
      </c>
    </row>
    <row r="99" spans="1:20" s="3" customFormat="1" ht="24.95" hidden="1" customHeight="1">
      <c r="A99" s="3" t="s">
        <v>899</v>
      </c>
      <c r="B99" s="3" t="s">
        <v>1016</v>
      </c>
      <c r="D99" s="26" t="s">
        <v>900</v>
      </c>
      <c r="E99" s="63"/>
      <c r="F99" s="27"/>
      <c r="G99" s="27"/>
      <c r="H99" s="27"/>
      <c r="I99" s="27"/>
      <c r="J99" s="27"/>
      <c r="K99" s="27"/>
      <c r="L99" s="27"/>
      <c r="M99" s="27"/>
      <c r="N99" s="27"/>
      <c r="O99" s="27"/>
      <c r="P99" s="27"/>
      <c r="Q99" s="3">
        <f t="shared" si="5"/>
        <v>0</v>
      </c>
      <c r="R99" s="39">
        <f>Q99/Summary!$Q$16</f>
        <v>0</v>
      </c>
      <c r="S99" s="35"/>
      <c r="T99" s="40">
        <f t="shared" si="6"/>
        <v>0</v>
      </c>
    </row>
    <row r="100" spans="1:20" s="3" customFormat="1" ht="24.95" hidden="1" customHeight="1">
      <c r="A100" s="3" t="s">
        <v>901</v>
      </c>
      <c r="B100" s="3" t="s">
        <v>1016</v>
      </c>
      <c r="D100" s="26" t="s">
        <v>902</v>
      </c>
      <c r="E100" s="63"/>
      <c r="F100" s="27"/>
      <c r="G100" s="27"/>
      <c r="H100" s="27"/>
      <c r="I100" s="27"/>
      <c r="J100" s="27"/>
      <c r="K100" s="27"/>
      <c r="L100" s="27"/>
      <c r="M100" s="27"/>
      <c r="N100" s="27"/>
      <c r="O100" s="27"/>
      <c r="P100" s="27"/>
      <c r="Q100" s="3">
        <f t="shared" si="5"/>
        <v>0</v>
      </c>
      <c r="R100" s="39">
        <f>Q100/Summary!$Q$16</f>
        <v>0</v>
      </c>
      <c r="S100" s="35"/>
      <c r="T100" s="40">
        <f t="shared" si="6"/>
        <v>0</v>
      </c>
    </row>
    <row r="101" spans="1:20" s="3" customFormat="1" ht="24.95" hidden="1" customHeight="1">
      <c r="A101" s="3" t="s">
        <v>903</v>
      </c>
      <c r="B101" s="3" t="s">
        <v>1016</v>
      </c>
      <c r="D101" s="26" t="s">
        <v>904</v>
      </c>
      <c r="E101" s="63"/>
      <c r="F101" s="27"/>
      <c r="G101" s="27"/>
      <c r="H101" s="27"/>
      <c r="I101" s="27"/>
      <c r="J101" s="27"/>
      <c r="K101" s="27"/>
      <c r="L101" s="27"/>
      <c r="M101" s="27"/>
      <c r="N101" s="27"/>
      <c r="O101" s="27"/>
      <c r="P101" s="27"/>
      <c r="Q101" s="3">
        <f t="shared" si="5"/>
        <v>0</v>
      </c>
      <c r="R101" s="39">
        <f>Q101/Summary!$Q$16</f>
        <v>0</v>
      </c>
      <c r="S101" s="35"/>
      <c r="T101" s="40">
        <f t="shared" si="6"/>
        <v>0</v>
      </c>
    </row>
    <row r="102" spans="1:20" s="3" customFormat="1" ht="24.95" hidden="1" customHeight="1">
      <c r="A102" s="3" t="s">
        <v>905</v>
      </c>
      <c r="B102" s="3" t="s">
        <v>1016</v>
      </c>
      <c r="D102" s="26" t="s">
        <v>906</v>
      </c>
      <c r="E102" s="63"/>
      <c r="F102" s="27"/>
      <c r="G102" s="27"/>
      <c r="H102" s="27"/>
      <c r="I102" s="27"/>
      <c r="J102" s="27"/>
      <c r="K102" s="27"/>
      <c r="L102" s="27"/>
      <c r="M102" s="27"/>
      <c r="N102" s="27"/>
      <c r="O102" s="27"/>
      <c r="P102" s="27"/>
      <c r="Q102" s="3">
        <f t="shared" si="5"/>
        <v>0</v>
      </c>
      <c r="R102" s="39">
        <f>Q102/Summary!$Q$16</f>
        <v>0</v>
      </c>
      <c r="S102" s="35"/>
      <c r="T102" s="40">
        <f t="shared" si="6"/>
        <v>0</v>
      </c>
    </row>
    <row r="103" spans="1:20" s="3" customFormat="1" ht="24.95" hidden="1" customHeight="1">
      <c r="A103" s="3" t="s">
        <v>907</v>
      </c>
      <c r="B103" s="3" t="s">
        <v>1016</v>
      </c>
      <c r="D103" s="26" t="s">
        <v>908</v>
      </c>
      <c r="E103" s="63"/>
      <c r="F103" s="27"/>
      <c r="G103" s="27"/>
      <c r="H103" s="27"/>
      <c r="I103" s="27"/>
      <c r="J103" s="27"/>
      <c r="K103" s="27"/>
      <c r="L103" s="27"/>
      <c r="M103" s="27"/>
      <c r="N103" s="27"/>
      <c r="O103" s="27"/>
      <c r="P103" s="27"/>
      <c r="Q103" s="3">
        <f t="shared" si="5"/>
        <v>0</v>
      </c>
      <c r="R103" s="39">
        <f>Q103/Summary!$Q$16</f>
        <v>0</v>
      </c>
      <c r="S103" s="35"/>
      <c r="T103" s="40">
        <f t="shared" si="6"/>
        <v>0</v>
      </c>
    </row>
    <row r="104" spans="1:20" s="3" customFormat="1" ht="24.95" hidden="1" customHeight="1">
      <c r="A104" s="3" t="s">
        <v>909</v>
      </c>
      <c r="B104" s="3" t="s">
        <v>1016</v>
      </c>
      <c r="D104" s="26" t="s">
        <v>910</v>
      </c>
      <c r="E104" s="63"/>
      <c r="F104" s="27"/>
      <c r="G104" s="27"/>
      <c r="H104" s="27"/>
      <c r="I104" s="27"/>
      <c r="J104" s="27"/>
      <c r="K104" s="27"/>
      <c r="L104" s="27"/>
      <c r="M104" s="27"/>
      <c r="N104" s="27"/>
      <c r="O104" s="27"/>
      <c r="P104" s="27"/>
      <c r="Q104" s="3">
        <f t="shared" si="5"/>
        <v>0</v>
      </c>
      <c r="R104" s="39">
        <f>Q104/Summary!$Q$16</f>
        <v>0</v>
      </c>
      <c r="S104" s="35"/>
      <c r="T104" s="40">
        <f t="shared" si="6"/>
        <v>0</v>
      </c>
    </row>
    <row r="105" spans="1:20" s="3" customFormat="1" ht="24.95" hidden="1" customHeight="1">
      <c r="A105" s="3" t="s">
        <v>911</v>
      </c>
      <c r="B105" s="3" t="s">
        <v>1016</v>
      </c>
      <c r="D105" s="26" t="s">
        <v>912</v>
      </c>
      <c r="E105" s="63"/>
      <c r="F105" s="27"/>
      <c r="G105" s="27"/>
      <c r="H105" s="27"/>
      <c r="I105" s="27"/>
      <c r="J105" s="27"/>
      <c r="K105" s="27"/>
      <c r="L105" s="27"/>
      <c r="M105" s="27"/>
      <c r="N105" s="27"/>
      <c r="O105" s="27"/>
      <c r="P105" s="27"/>
      <c r="Q105" s="3">
        <f t="shared" si="5"/>
        <v>0</v>
      </c>
      <c r="R105" s="39">
        <f>Q105/Summary!$Q$16</f>
        <v>0</v>
      </c>
      <c r="S105" s="35"/>
      <c r="T105" s="40">
        <f t="shared" si="6"/>
        <v>0</v>
      </c>
    </row>
    <row r="106" spans="1:20" s="3" customFormat="1" ht="24.95" hidden="1" customHeight="1">
      <c r="A106" s="3" t="s">
        <v>913</v>
      </c>
      <c r="B106" s="3" t="s">
        <v>1016</v>
      </c>
      <c r="D106" s="26" t="s">
        <v>914</v>
      </c>
      <c r="E106" s="63"/>
      <c r="F106" s="27"/>
      <c r="G106" s="27"/>
      <c r="H106" s="27"/>
      <c r="I106" s="27"/>
      <c r="J106" s="27"/>
      <c r="K106" s="27"/>
      <c r="L106" s="27"/>
      <c r="M106" s="27"/>
      <c r="N106" s="27"/>
      <c r="O106" s="27"/>
      <c r="P106" s="27"/>
      <c r="Q106" s="3">
        <f t="shared" si="5"/>
        <v>0</v>
      </c>
      <c r="R106" s="39">
        <f>Q106/Summary!$Q$16</f>
        <v>0</v>
      </c>
      <c r="S106" s="35"/>
      <c r="T106" s="40">
        <f t="shared" si="6"/>
        <v>0</v>
      </c>
    </row>
    <row r="107" spans="1:20" s="3" customFormat="1" ht="24.95" hidden="1" customHeight="1">
      <c r="A107" s="3" t="s">
        <v>915</v>
      </c>
      <c r="B107" s="3" t="s">
        <v>1016</v>
      </c>
      <c r="D107" s="26" t="s">
        <v>916</v>
      </c>
      <c r="E107" s="63"/>
      <c r="F107" s="27"/>
      <c r="G107" s="27"/>
      <c r="H107" s="27"/>
      <c r="I107" s="27"/>
      <c r="J107" s="27"/>
      <c r="K107" s="27"/>
      <c r="L107" s="27"/>
      <c r="M107" s="27"/>
      <c r="N107" s="27"/>
      <c r="O107" s="27"/>
      <c r="P107" s="27"/>
      <c r="Q107" s="3">
        <f t="shared" si="5"/>
        <v>0</v>
      </c>
      <c r="R107" s="39">
        <f>Q107/Summary!$Q$16</f>
        <v>0</v>
      </c>
      <c r="S107" s="35"/>
      <c r="T107" s="40">
        <f t="shared" si="6"/>
        <v>0</v>
      </c>
    </row>
    <row r="108" spans="1:20" s="3" customFormat="1" ht="24.95" hidden="1" customHeight="1">
      <c r="A108" s="3" t="s">
        <v>917</v>
      </c>
      <c r="B108" s="3" t="s">
        <v>1016</v>
      </c>
      <c r="D108" s="26" t="s">
        <v>918</v>
      </c>
      <c r="E108" s="63"/>
      <c r="F108" s="27"/>
      <c r="G108" s="27"/>
      <c r="H108" s="27"/>
      <c r="I108" s="27"/>
      <c r="J108" s="27"/>
      <c r="K108" s="27"/>
      <c r="L108" s="27"/>
      <c r="M108" s="27"/>
      <c r="N108" s="27"/>
      <c r="O108" s="27"/>
      <c r="P108" s="27"/>
      <c r="Q108" s="3">
        <f t="shared" si="5"/>
        <v>0</v>
      </c>
      <c r="R108" s="39">
        <f>Q108/Summary!$Q$16</f>
        <v>0</v>
      </c>
      <c r="S108" s="35"/>
      <c r="T108" s="40">
        <f t="shared" si="6"/>
        <v>0</v>
      </c>
    </row>
    <row r="109" spans="1:20" s="3" customFormat="1" ht="24.95" hidden="1" customHeight="1">
      <c r="A109" s="3" t="s">
        <v>919</v>
      </c>
      <c r="B109" s="3" t="s">
        <v>1016</v>
      </c>
      <c r="D109" s="26" t="s">
        <v>920</v>
      </c>
      <c r="E109" s="63"/>
      <c r="F109" s="27"/>
      <c r="G109" s="27"/>
      <c r="H109" s="27"/>
      <c r="I109" s="27"/>
      <c r="J109" s="27"/>
      <c r="K109" s="27"/>
      <c r="L109" s="27"/>
      <c r="M109" s="27"/>
      <c r="N109" s="27"/>
      <c r="O109" s="27"/>
      <c r="P109" s="27"/>
      <c r="Q109" s="3">
        <f t="shared" si="5"/>
        <v>0</v>
      </c>
      <c r="R109" s="39">
        <f>Q109/Summary!$Q$16</f>
        <v>0</v>
      </c>
      <c r="S109" s="35"/>
      <c r="T109" s="40">
        <f t="shared" si="6"/>
        <v>0</v>
      </c>
    </row>
    <row r="110" spans="1:20" s="3" customFormat="1" ht="24.95" hidden="1" customHeight="1">
      <c r="A110" s="3" t="s">
        <v>921</v>
      </c>
      <c r="B110" s="3" t="s">
        <v>1016</v>
      </c>
      <c r="D110" s="26" t="s">
        <v>922</v>
      </c>
      <c r="E110" s="63"/>
      <c r="F110" s="27"/>
      <c r="G110" s="27"/>
      <c r="H110" s="27"/>
      <c r="I110" s="27"/>
      <c r="J110" s="27"/>
      <c r="K110" s="27"/>
      <c r="L110" s="27"/>
      <c r="M110" s="27"/>
      <c r="N110" s="27"/>
      <c r="O110" s="27"/>
      <c r="P110" s="27"/>
      <c r="Q110" s="3">
        <f t="shared" si="5"/>
        <v>0</v>
      </c>
      <c r="R110" s="39">
        <f>Q110/Summary!$Q$16</f>
        <v>0</v>
      </c>
      <c r="S110" s="35"/>
      <c r="T110" s="40">
        <f t="shared" si="6"/>
        <v>0</v>
      </c>
    </row>
    <row r="111" spans="1:20" s="3" customFormat="1" ht="24.95" hidden="1" customHeight="1">
      <c r="A111" s="3" t="s">
        <v>923</v>
      </c>
      <c r="B111" s="3" t="s">
        <v>1016</v>
      </c>
      <c r="D111" s="26" t="s">
        <v>924</v>
      </c>
      <c r="E111" s="63"/>
      <c r="F111" s="27"/>
      <c r="G111" s="27"/>
      <c r="H111" s="27"/>
      <c r="I111" s="27"/>
      <c r="J111" s="27"/>
      <c r="K111" s="27"/>
      <c r="L111" s="27"/>
      <c r="M111" s="27"/>
      <c r="N111" s="27"/>
      <c r="O111" s="27"/>
      <c r="P111" s="27"/>
      <c r="Q111" s="3">
        <f t="shared" si="5"/>
        <v>0</v>
      </c>
      <c r="R111" s="39">
        <f>Q111/Summary!$Q$16</f>
        <v>0</v>
      </c>
      <c r="S111" s="35"/>
      <c r="T111" s="40">
        <f t="shared" si="6"/>
        <v>0</v>
      </c>
    </row>
    <row r="112" spans="1:20" s="3" customFormat="1" ht="24.95" hidden="1" customHeight="1">
      <c r="A112" s="3" t="s">
        <v>925</v>
      </c>
      <c r="B112" s="3" t="s">
        <v>1016</v>
      </c>
      <c r="D112" s="26" t="s">
        <v>926</v>
      </c>
      <c r="E112" s="63"/>
      <c r="F112" s="27"/>
      <c r="G112" s="27"/>
      <c r="H112" s="27"/>
      <c r="I112" s="27"/>
      <c r="J112" s="27"/>
      <c r="K112" s="27"/>
      <c r="L112" s="27"/>
      <c r="M112" s="27"/>
      <c r="N112" s="27"/>
      <c r="O112" s="27"/>
      <c r="P112" s="27"/>
      <c r="Q112" s="3">
        <f t="shared" si="5"/>
        <v>0</v>
      </c>
      <c r="R112" s="39">
        <f>Q112/Summary!$Q$16</f>
        <v>0</v>
      </c>
      <c r="S112" s="35"/>
      <c r="T112" s="40">
        <f t="shared" si="6"/>
        <v>0</v>
      </c>
    </row>
    <row r="113" spans="1:20" s="3" customFormat="1" ht="24.95" hidden="1" customHeight="1">
      <c r="A113" s="3" t="s">
        <v>927</v>
      </c>
      <c r="B113" s="3" t="s">
        <v>1016</v>
      </c>
      <c r="D113" s="26" t="s">
        <v>928</v>
      </c>
      <c r="E113" s="63"/>
      <c r="F113" s="27"/>
      <c r="G113" s="27"/>
      <c r="H113" s="27"/>
      <c r="I113" s="27"/>
      <c r="J113" s="27"/>
      <c r="K113" s="27"/>
      <c r="L113" s="27"/>
      <c r="M113" s="27"/>
      <c r="N113" s="27"/>
      <c r="O113" s="27"/>
      <c r="P113" s="27"/>
      <c r="Q113" s="3">
        <f t="shared" si="5"/>
        <v>0</v>
      </c>
      <c r="R113" s="39">
        <f>Q113/Summary!$Q$16</f>
        <v>0</v>
      </c>
      <c r="S113" s="35"/>
      <c r="T113" s="40">
        <f t="shared" si="6"/>
        <v>0</v>
      </c>
    </row>
    <row r="114" spans="1:20" s="3" customFormat="1" ht="24.95" hidden="1" customHeight="1">
      <c r="A114" s="3" t="s">
        <v>929</v>
      </c>
      <c r="B114" s="3" t="s">
        <v>1016</v>
      </c>
      <c r="D114" s="26" t="s">
        <v>930</v>
      </c>
      <c r="E114" s="63"/>
      <c r="F114" s="27"/>
      <c r="G114" s="27"/>
      <c r="H114" s="27"/>
      <c r="I114" s="27"/>
      <c r="J114" s="27"/>
      <c r="K114" s="27"/>
      <c r="L114" s="27"/>
      <c r="M114" s="27"/>
      <c r="N114" s="27"/>
      <c r="O114" s="27"/>
      <c r="P114" s="27"/>
      <c r="Q114" s="3">
        <f t="shared" si="5"/>
        <v>0</v>
      </c>
      <c r="R114" s="39">
        <f>Q114/Summary!$Q$16</f>
        <v>0</v>
      </c>
      <c r="S114" s="35"/>
      <c r="T114" s="40">
        <f t="shared" si="6"/>
        <v>0</v>
      </c>
    </row>
    <row r="115" spans="1:20" s="3" customFormat="1" ht="24.95" hidden="1" customHeight="1">
      <c r="A115" s="3" t="s">
        <v>931</v>
      </c>
      <c r="B115" s="3" t="s">
        <v>1016</v>
      </c>
      <c r="D115" s="26" t="s">
        <v>932</v>
      </c>
      <c r="E115" s="63"/>
      <c r="F115" s="27"/>
      <c r="G115" s="27"/>
      <c r="H115" s="27"/>
      <c r="I115" s="27"/>
      <c r="J115" s="27"/>
      <c r="K115" s="27"/>
      <c r="L115" s="27"/>
      <c r="M115" s="27"/>
      <c r="N115" s="27"/>
      <c r="O115" s="27"/>
      <c r="P115" s="27"/>
      <c r="Q115" s="3">
        <f t="shared" si="5"/>
        <v>0</v>
      </c>
      <c r="R115" s="39">
        <f>Q115/Summary!$Q$16</f>
        <v>0</v>
      </c>
      <c r="S115" s="35"/>
      <c r="T115" s="40">
        <f t="shared" si="6"/>
        <v>0</v>
      </c>
    </row>
    <row r="116" spans="1:20" s="3" customFormat="1" ht="24.95" hidden="1" customHeight="1">
      <c r="A116" s="3" t="s">
        <v>933</v>
      </c>
      <c r="B116" s="3" t="s">
        <v>1016</v>
      </c>
      <c r="D116" s="26" t="s">
        <v>934</v>
      </c>
      <c r="E116" s="63"/>
      <c r="F116" s="27"/>
      <c r="G116" s="27"/>
      <c r="H116" s="27"/>
      <c r="I116" s="27"/>
      <c r="J116" s="27"/>
      <c r="K116" s="27"/>
      <c r="L116" s="27"/>
      <c r="M116" s="27"/>
      <c r="N116" s="27"/>
      <c r="O116" s="27"/>
      <c r="P116" s="27"/>
      <c r="Q116" s="3">
        <f t="shared" si="5"/>
        <v>0</v>
      </c>
      <c r="R116" s="39">
        <f>Q116/Summary!$Q$16</f>
        <v>0</v>
      </c>
      <c r="S116" s="35"/>
      <c r="T116" s="40">
        <f t="shared" si="6"/>
        <v>0</v>
      </c>
    </row>
    <row r="117" spans="1:20" s="3" customFormat="1" ht="24.95" hidden="1" customHeight="1">
      <c r="A117" s="3" t="s">
        <v>935</v>
      </c>
      <c r="B117" s="3" t="s">
        <v>1016</v>
      </c>
      <c r="D117" s="26" t="s">
        <v>936</v>
      </c>
      <c r="E117" s="63"/>
      <c r="F117" s="27"/>
      <c r="G117" s="27"/>
      <c r="H117" s="27"/>
      <c r="I117" s="27"/>
      <c r="J117" s="27"/>
      <c r="K117" s="27"/>
      <c r="L117" s="27"/>
      <c r="M117" s="27"/>
      <c r="N117" s="27"/>
      <c r="O117" s="27"/>
      <c r="P117" s="27"/>
      <c r="Q117" s="3">
        <f t="shared" si="5"/>
        <v>0</v>
      </c>
      <c r="R117" s="39">
        <f>Q117/Summary!$Q$16</f>
        <v>0</v>
      </c>
      <c r="S117" s="35"/>
      <c r="T117" s="40">
        <f t="shared" si="6"/>
        <v>0</v>
      </c>
    </row>
    <row r="118" spans="1:20" s="3" customFormat="1" ht="24.95" hidden="1" customHeight="1">
      <c r="A118" s="3" t="s">
        <v>937</v>
      </c>
      <c r="B118" s="3" t="s">
        <v>1016</v>
      </c>
      <c r="D118" s="26" t="s">
        <v>938</v>
      </c>
      <c r="E118" s="63"/>
      <c r="F118" s="27"/>
      <c r="G118" s="27"/>
      <c r="H118" s="27"/>
      <c r="I118" s="27"/>
      <c r="J118" s="27"/>
      <c r="K118" s="27"/>
      <c r="L118" s="27"/>
      <c r="M118" s="27"/>
      <c r="N118" s="27"/>
      <c r="O118" s="27"/>
      <c r="P118" s="27"/>
      <c r="Q118" s="3">
        <f t="shared" si="5"/>
        <v>0</v>
      </c>
      <c r="R118" s="39">
        <f>Q118/Summary!$Q$16</f>
        <v>0</v>
      </c>
      <c r="S118" s="35"/>
      <c r="T118" s="40">
        <f t="shared" si="6"/>
        <v>0</v>
      </c>
    </row>
    <row r="119" spans="1:20" s="3" customFormat="1" ht="24.95" hidden="1" customHeight="1">
      <c r="A119" s="3" t="s">
        <v>939</v>
      </c>
      <c r="B119" s="3" t="s">
        <v>1016</v>
      </c>
      <c r="D119" s="26" t="s">
        <v>940</v>
      </c>
      <c r="E119" s="63"/>
      <c r="F119" s="27"/>
      <c r="G119" s="27"/>
      <c r="H119" s="27"/>
      <c r="I119" s="27"/>
      <c r="J119" s="27"/>
      <c r="K119" s="27"/>
      <c r="L119" s="27"/>
      <c r="M119" s="27"/>
      <c r="N119" s="27"/>
      <c r="O119" s="27"/>
      <c r="P119" s="27"/>
      <c r="Q119" s="3">
        <f t="shared" si="5"/>
        <v>0</v>
      </c>
      <c r="R119" s="39">
        <f>Q119/Summary!$Q$16</f>
        <v>0</v>
      </c>
      <c r="S119" s="35"/>
      <c r="T119" s="40">
        <f t="shared" si="6"/>
        <v>0</v>
      </c>
    </row>
    <row r="120" spans="1:20" s="3" customFormat="1" ht="24.95" hidden="1" customHeight="1">
      <c r="A120" s="3" t="s">
        <v>941</v>
      </c>
      <c r="B120" s="3" t="s">
        <v>1016</v>
      </c>
      <c r="D120" s="26" t="s">
        <v>942</v>
      </c>
      <c r="E120" s="63"/>
      <c r="F120" s="27"/>
      <c r="G120" s="27"/>
      <c r="H120" s="27"/>
      <c r="I120" s="27"/>
      <c r="J120" s="27"/>
      <c r="K120" s="27"/>
      <c r="L120" s="27"/>
      <c r="M120" s="27"/>
      <c r="N120" s="27"/>
      <c r="O120" s="27"/>
      <c r="P120" s="27"/>
      <c r="Q120" s="3">
        <f t="shared" si="5"/>
        <v>0</v>
      </c>
      <c r="R120" s="39">
        <f>Q120/Summary!$Q$16</f>
        <v>0</v>
      </c>
      <c r="S120" s="35"/>
      <c r="T120" s="40">
        <f t="shared" si="6"/>
        <v>0</v>
      </c>
    </row>
    <row r="121" spans="1:20" s="3" customFormat="1" ht="24.95" hidden="1" customHeight="1">
      <c r="A121" s="3" t="s">
        <v>943</v>
      </c>
      <c r="B121" s="3" t="s">
        <v>1016</v>
      </c>
      <c r="D121" s="26" t="s">
        <v>944</v>
      </c>
      <c r="E121" s="63"/>
      <c r="F121" s="27"/>
      <c r="G121" s="27"/>
      <c r="H121" s="27"/>
      <c r="I121" s="27"/>
      <c r="J121" s="27"/>
      <c r="K121" s="27"/>
      <c r="L121" s="27"/>
      <c r="M121" s="27"/>
      <c r="N121" s="27"/>
      <c r="O121" s="27"/>
      <c r="P121" s="27"/>
      <c r="Q121" s="3">
        <f t="shared" si="5"/>
        <v>0</v>
      </c>
      <c r="R121" s="39">
        <f>Q121/Summary!$Q$16</f>
        <v>0</v>
      </c>
      <c r="S121" s="35"/>
      <c r="T121" s="40">
        <f t="shared" ref="T121:T152" si="7">-IF(Q121-S121=0,0,(Q121-S121)/S121)</f>
        <v>0</v>
      </c>
    </row>
    <row r="122" spans="1:20" s="3" customFormat="1" ht="24.95" hidden="1" customHeight="1">
      <c r="A122" s="3" t="s">
        <v>945</v>
      </c>
      <c r="B122" s="3" t="s">
        <v>1016</v>
      </c>
      <c r="D122" s="26" t="s">
        <v>946</v>
      </c>
      <c r="E122" s="63"/>
      <c r="F122" s="27"/>
      <c r="G122" s="27"/>
      <c r="H122" s="27"/>
      <c r="I122" s="27"/>
      <c r="J122" s="27"/>
      <c r="K122" s="27"/>
      <c r="L122" s="27"/>
      <c r="M122" s="27"/>
      <c r="N122" s="27"/>
      <c r="O122" s="27"/>
      <c r="P122" s="27"/>
      <c r="Q122" s="3">
        <f t="shared" si="5"/>
        <v>0</v>
      </c>
      <c r="R122" s="39">
        <f>Q122/Summary!$Q$16</f>
        <v>0</v>
      </c>
      <c r="S122" s="35"/>
      <c r="T122" s="40">
        <f t="shared" si="7"/>
        <v>0</v>
      </c>
    </row>
    <row r="123" spans="1:20" s="3" customFormat="1" ht="24.95" hidden="1" customHeight="1">
      <c r="A123" s="3" t="s">
        <v>947</v>
      </c>
      <c r="B123" s="3" t="s">
        <v>1016</v>
      </c>
      <c r="D123" s="26" t="s">
        <v>948</v>
      </c>
      <c r="E123" s="63"/>
      <c r="F123" s="27"/>
      <c r="G123" s="27"/>
      <c r="H123" s="27"/>
      <c r="I123" s="27"/>
      <c r="J123" s="27"/>
      <c r="K123" s="27"/>
      <c r="L123" s="27"/>
      <c r="M123" s="27"/>
      <c r="N123" s="27"/>
      <c r="O123" s="27"/>
      <c r="P123" s="27"/>
      <c r="Q123" s="3">
        <f t="shared" si="5"/>
        <v>0</v>
      </c>
      <c r="R123" s="39">
        <f>Q123/Summary!$Q$16</f>
        <v>0</v>
      </c>
      <c r="S123" s="35"/>
      <c r="T123" s="40">
        <f t="shared" si="7"/>
        <v>0</v>
      </c>
    </row>
    <row r="124" spans="1:20" s="3" customFormat="1" ht="24.95" hidden="1" customHeight="1">
      <c r="A124" s="3" t="s">
        <v>949</v>
      </c>
      <c r="B124" s="3" t="s">
        <v>1016</v>
      </c>
      <c r="D124" s="26" t="s">
        <v>950</v>
      </c>
      <c r="E124" s="63"/>
      <c r="F124" s="27"/>
      <c r="G124" s="27"/>
      <c r="H124" s="27"/>
      <c r="I124" s="27"/>
      <c r="J124" s="27"/>
      <c r="K124" s="27"/>
      <c r="L124" s="27"/>
      <c r="M124" s="27"/>
      <c r="N124" s="27"/>
      <c r="O124" s="27"/>
      <c r="P124" s="27"/>
      <c r="Q124" s="3">
        <f t="shared" si="5"/>
        <v>0</v>
      </c>
      <c r="R124" s="39">
        <f>Q124/Summary!$Q$16</f>
        <v>0</v>
      </c>
      <c r="S124" s="35"/>
      <c r="T124" s="40">
        <f t="shared" si="7"/>
        <v>0</v>
      </c>
    </row>
    <row r="125" spans="1:20" s="3" customFormat="1" ht="24.95" hidden="1" customHeight="1">
      <c r="A125" s="3" t="s">
        <v>951</v>
      </c>
      <c r="B125" s="3" t="s">
        <v>1016</v>
      </c>
      <c r="D125" s="26" t="s">
        <v>952</v>
      </c>
      <c r="E125" s="63"/>
      <c r="F125" s="27"/>
      <c r="G125" s="27"/>
      <c r="H125" s="27"/>
      <c r="I125" s="27"/>
      <c r="J125" s="27"/>
      <c r="K125" s="27"/>
      <c r="L125" s="27"/>
      <c r="M125" s="27"/>
      <c r="N125" s="27"/>
      <c r="O125" s="27"/>
      <c r="P125" s="27"/>
      <c r="Q125" s="3">
        <f t="shared" si="5"/>
        <v>0</v>
      </c>
      <c r="R125" s="39">
        <f>Q125/Summary!$Q$16</f>
        <v>0</v>
      </c>
      <c r="S125" s="35"/>
      <c r="T125" s="40">
        <f t="shared" si="7"/>
        <v>0</v>
      </c>
    </row>
    <row r="126" spans="1:20" s="3" customFormat="1" ht="24.95" hidden="1" customHeight="1">
      <c r="A126" s="3" t="s">
        <v>953</v>
      </c>
      <c r="B126" s="3" t="s">
        <v>1016</v>
      </c>
      <c r="D126" s="26" t="s">
        <v>954</v>
      </c>
      <c r="E126" s="63"/>
      <c r="F126" s="27"/>
      <c r="G126" s="27"/>
      <c r="H126" s="27"/>
      <c r="I126" s="27"/>
      <c r="J126" s="27"/>
      <c r="K126" s="27"/>
      <c r="L126" s="27"/>
      <c r="M126" s="27"/>
      <c r="N126" s="27"/>
      <c r="O126" s="27"/>
      <c r="P126" s="27"/>
      <c r="Q126" s="3">
        <f t="shared" si="5"/>
        <v>0</v>
      </c>
      <c r="R126" s="39">
        <f>Q126/Summary!$Q$16</f>
        <v>0</v>
      </c>
      <c r="S126" s="35"/>
      <c r="T126" s="40">
        <f t="shared" si="7"/>
        <v>0</v>
      </c>
    </row>
    <row r="127" spans="1:20" s="3" customFormat="1" ht="24.95" hidden="1" customHeight="1">
      <c r="A127" s="3" t="s">
        <v>955</v>
      </c>
      <c r="B127" s="3" t="s">
        <v>1016</v>
      </c>
      <c r="D127" s="26" t="s">
        <v>956</v>
      </c>
      <c r="E127" s="63"/>
      <c r="F127" s="27"/>
      <c r="G127" s="27"/>
      <c r="H127" s="27"/>
      <c r="I127" s="27"/>
      <c r="J127" s="27"/>
      <c r="K127" s="27"/>
      <c r="L127" s="27"/>
      <c r="M127" s="27"/>
      <c r="N127" s="27"/>
      <c r="O127" s="27"/>
      <c r="P127" s="27"/>
      <c r="Q127" s="3">
        <f t="shared" si="5"/>
        <v>0</v>
      </c>
      <c r="R127" s="39">
        <f>Q127/Summary!$Q$16</f>
        <v>0</v>
      </c>
      <c r="S127" s="35"/>
      <c r="T127" s="40">
        <f t="shared" si="7"/>
        <v>0</v>
      </c>
    </row>
    <row r="128" spans="1:20" s="3" customFormat="1" ht="24.95" hidden="1" customHeight="1">
      <c r="A128" s="3" t="s">
        <v>957</v>
      </c>
      <c r="B128" s="3" t="s">
        <v>1016</v>
      </c>
      <c r="D128" s="26" t="s">
        <v>958</v>
      </c>
      <c r="E128" s="63"/>
      <c r="F128" s="27"/>
      <c r="G128" s="27"/>
      <c r="H128" s="27"/>
      <c r="I128" s="27"/>
      <c r="J128" s="27"/>
      <c r="K128" s="27"/>
      <c r="L128" s="27"/>
      <c r="M128" s="27"/>
      <c r="N128" s="27"/>
      <c r="O128" s="27"/>
      <c r="P128" s="27"/>
      <c r="Q128" s="3">
        <f t="shared" si="5"/>
        <v>0</v>
      </c>
      <c r="R128" s="39">
        <f>Q128/Summary!$Q$16</f>
        <v>0</v>
      </c>
      <c r="S128" s="35"/>
      <c r="T128" s="40">
        <f t="shared" si="7"/>
        <v>0</v>
      </c>
    </row>
    <row r="129" spans="1:20" s="3" customFormat="1" ht="24.95" hidden="1" customHeight="1">
      <c r="A129" s="3" t="s">
        <v>959</v>
      </c>
      <c r="B129" s="3" t="s">
        <v>1016</v>
      </c>
      <c r="D129" s="26" t="s">
        <v>960</v>
      </c>
      <c r="E129" s="63"/>
      <c r="F129" s="27"/>
      <c r="G129" s="27"/>
      <c r="H129" s="27"/>
      <c r="I129" s="27"/>
      <c r="J129" s="27"/>
      <c r="K129" s="27"/>
      <c r="L129" s="27"/>
      <c r="M129" s="27"/>
      <c r="N129" s="27"/>
      <c r="O129" s="27"/>
      <c r="P129" s="27"/>
      <c r="Q129" s="3">
        <f t="shared" si="5"/>
        <v>0</v>
      </c>
      <c r="R129" s="39">
        <f>Q129/Summary!$Q$16</f>
        <v>0</v>
      </c>
      <c r="S129" s="35"/>
      <c r="T129" s="40">
        <f t="shared" si="7"/>
        <v>0</v>
      </c>
    </row>
    <row r="130" spans="1:20" s="3" customFormat="1" ht="24.95" hidden="1" customHeight="1">
      <c r="A130" s="3" t="s">
        <v>961</v>
      </c>
      <c r="B130" s="3" t="s">
        <v>1016</v>
      </c>
      <c r="D130" s="26" t="s">
        <v>962</v>
      </c>
      <c r="E130" s="63"/>
      <c r="F130" s="27"/>
      <c r="G130" s="27"/>
      <c r="H130" s="27"/>
      <c r="I130" s="27"/>
      <c r="J130" s="27"/>
      <c r="K130" s="27"/>
      <c r="L130" s="27"/>
      <c r="M130" s="27"/>
      <c r="N130" s="27"/>
      <c r="O130" s="27"/>
      <c r="P130" s="27"/>
      <c r="Q130" s="3">
        <f t="shared" si="5"/>
        <v>0</v>
      </c>
      <c r="R130" s="39">
        <f>Q130/Summary!$Q$16</f>
        <v>0</v>
      </c>
      <c r="S130" s="35"/>
      <c r="T130" s="40">
        <f t="shared" si="7"/>
        <v>0</v>
      </c>
    </row>
    <row r="131" spans="1:20" s="3" customFormat="1" ht="24.95" hidden="1" customHeight="1">
      <c r="A131" s="3" t="s">
        <v>963</v>
      </c>
      <c r="B131" s="3" t="s">
        <v>1016</v>
      </c>
      <c r="D131" s="26" t="s">
        <v>964</v>
      </c>
      <c r="E131" s="63"/>
      <c r="F131" s="27"/>
      <c r="G131" s="27"/>
      <c r="H131" s="27"/>
      <c r="I131" s="27"/>
      <c r="J131" s="27"/>
      <c r="K131" s="27"/>
      <c r="L131" s="27"/>
      <c r="M131" s="27"/>
      <c r="N131" s="27"/>
      <c r="O131" s="27"/>
      <c r="P131" s="27"/>
      <c r="Q131" s="3">
        <f t="shared" si="5"/>
        <v>0</v>
      </c>
      <c r="R131" s="39">
        <f>Q131/Summary!$Q$16</f>
        <v>0</v>
      </c>
      <c r="S131" s="35"/>
      <c r="T131" s="40">
        <f t="shared" si="7"/>
        <v>0</v>
      </c>
    </row>
    <row r="132" spans="1:20" s="3" customFormat="1" ht="24.95" hidden="1" customHeight="1">
      <c r="A132" s="3" t="s">
        <v>965</v>
      </c>
      <c r="B132" s="3" t="s">
        <v>1016</v>
      </c>
      <c r="D132" s="26" t="s">
        <v>966</v>
      </c>
      <c r="E132" s="63"/>
      <c r="F132" s="27"/>
      <c r="G132" s="27"/>
      <c r="H132" s="27"/>
      <c r="I132" s="27"/>
      <c r="J132" s="27"/>
      <c r="K132" s="27"/>
      <c r="L132" s="27"/>
      <c r="M132" s="27"/>
      <c r="N132" s="27"/>
      <c r="O132" s="27"/>
      <c r="P132" s="27"/>
      <c r="Q132" s="3">
        <f t="shared" si="5"/>
        <v>0</v>
      </c>
      <c r="R132" s="39">
        <f>Q132/Summary!$Q$16</f>
        <v>0</v>
      </c>
      <c r="S132" s="35"/>
      <c r="T132" s="40">
        <f t="shared" si="7"/>
        <v>0</v>
      </c>
    </row>
    <row r="133" spans="1:20" s="3" customFormat="1" ht="24.95" hidden="1" customHeight="1">
      <c r="A133" s="3" t="s">
        <v>967</v>
      </c>
      <c r="B133" s="3" t="s">
        <v>1016</v>
      </c>
      <c r="D133" s="26" t="s">
        <v>968</v>
      </c>
      <c r="E133" s="63"/>
      <c r="F133" s="27"/>
      <c r="G133" s="27"/>
      <c r="H133" s="27"/>
      <c r="I133" s="27"/>
      <c r="J133" s="27"/>
      <c r="K133" s="27"/>
      <c r="L133" s="27"/>
      <c r="M133" s="27"/>
      <c r="N133" s="27"/>
      <c r="O133" s="27"/>
      <c r="P133" s="27"/>
      <c r="Q133" s="3">
        <f t="shared" si="5"/>
        <v>0</v>
      </c>
      <c r="R133" s="39">
        <f>Q133/Summary!$Q$16</f>
        <v>0</v>
      </c>
      <c r="S133" s="35"/>
      <c r="T133" s="40">
        <f t="shared" si="7"/>
        <v>0</v>
      </c>
    </row>
    <row r="134" spans="1:20" s="3" customFormat="1" ht="24.95" hidden="1" customHeight="1">
      <c r="A134" s="3" t="s">
        <v>969</v>
      </c>
      <c r="B134" s="3" t="s">
        <v>1016</v>
      </c>
      <c r="D134" s="26" t="s">
        <v>970</v>
      </c>
      <c r="E134" s="63"/>
      <c r="F134" s="27"/>
      <c r="G134" s="27"/>
      <c r="H134" s="27"/>
      <c r="I134" s="27"/>
      <c r="J134" s="27"/>
      <c r="K134" s="27"/>
      <c r="L134" s="27"/>
      <c r="M134" s="27"/>
      <c r="N134" s="27"/>
      <c r="O134" s="27"/>
      <c r="P134" s="27"/>
      <c r="Q134" s="3">
        <f t="shared" si="5"/>
        <v>0</v>
      </c>
      <c r="R134" s="39">
        <f>Q134/Summary!$Q$16</f>
        <v>0</v>
      </c>
      <c r="S134" s="35"/>
      <c r="T134" s="40">
        <f t="shared" si="7"/>
        <v>0</v>
      </c>
    </row>
    <row r="135" spans="1:20" s="3" customFormat="1" ht="24.95" hidden="1" customHeight="1">
      <c r="A135" s="3" t="s">
        <v>971</v>
      </c>
      <c r="B135" s="3" t="s">
        <v>1016</v>
      </c>
      <c r="D135" s="26" t="s">
        <v>972</v>
      </c>
      <c r="E135" s="63"/>
      <c r="F135" s="27"/>
      <c r="G135" s="27"/>
      <c r="H135" s="27"/>
      <c r="I135" s="27"/>
      <c r="J135" s="27"/>
      <c r="K135" s="27"/>
      <c r="L135" s="27"/>
      <c r="M135" s="27"/>
      <c r="N135" s="27"/>
      <c r="O135" s="27"/>
      <c r="P135" s="27"/>
      <c r="Q135" s="3">
        <f t="shared" si="5"/>
        <v>0</v>
      </c>
      <c r="R135" s="39">
        <f>Q135/Summary!$Q$16</f>
        <v>0</v>
      </c>
      <c r="S135" s="35"/>
      <c r="T135" s="40">
        <f t="shared" si="7"/>
        <v>0</v>
      </c>
    </row>
    <row r="136" spans="1:20" s="3" customFormat="1" ht="24.95" hidden="1" customHeight="1">
      <c r="A136" s="3" t="s">
        <v>973</v>
      </c>
      <c r="B136" s="3" t="s">
        <v>1016</v>
      </c>
      <c r="D136" s="26" t="s">
        <v>974</v>
      </c>
      <c r="E136" s="63"/>
      <c r="F136" s="27"/>
      <c r="G136" s="27"/>
      <c r="H136" s="27"/>
      <c r="I136" s="27"/>
      <c r="J136" s="27"/>
      <c r="K136" s="27"/>
      <c r="L136" s="27"/>
      <c r="M136" s="27"/>
      <c r="N136" s="27"/>
      <c r="O136" s="27"/>
      <c r="P136" s="27"/>
      <c r="Q136" s="3">
        <f t="shared" si="5"/>
        <v>0</v>
      </c>
      <c r="R136" s="39">
        <f>Q136/Summary!$Q$16</f>
        <v>0</v>
      </c>
      <c r="S136" s="35"/>
      <c r="T136" s="40">
        <f t="shared" si="7"/>
        <v>0</v>
      </c>
    </row>
    <row r="137" spans="1:20" s="3" customFormat="1" ht="24.95" hidden="1" customHeight="1">
      <c r="A137" s="3" t="s">
        <v>975</v>
      </c>
      <c r="B137" s="3" t="s">
        <v>1016</v>
      </c>
      <c r="D137" s="26" t="s">
        <v>976</v>
      </c>
      <c r="E137" s="63"/>
      <c r="F137" s="27"/>
      <c r="G137" s="27"/>
      <c r="H137" s="27"/>
      <c r="I137" s="27"/>
      <c r="J137" s="27"/>
      <c r="K137" s="27"/>
      <c r="L137" s="27"/>
      <c r="M137" s="27"/>
      <c r="N137" s="27"/>
      <c r="O137" s="27"/>
      <c r="P137" s="27"/>
      <c r="Q137" s="3">
        <f t="shared" si="5"/>
        <v>0</v>
      </c>
      <c r="R137" s="39">
        <f>Q137/Summary!$Q$16</f>
        <v>0</v>
      </c>
      <c r="S137" s="35"/>
      <c r="T137" s="40">
        <f t="shared" si="7"/>
        <v>0</v>
      </c>
    </row>
    <row r="138" spans="1:20" s="3" customFormat="1" ht="24.95" hidden="1" customHeight="1">
      <c r="A138" s="3" t="s">
        <v>977</v>
      </c>
      <c r="B138" s="3" t="s">
        <v>1016</v>
      </c>
      <c r="D138" s="26" t="s">
        <v>978</v>
      </c>
      <c r="E138" s="63"/>
      <c r="F138" s="27"/>
      <c r="G138" s="27"/>
      <c r="H138" s="27"/>
      <c r="I138" s="27"/>
      <c r="J138" s="27"/>
      <c r="K138" s="27"/>
      <c r="L138" s="27"/>
      <c r="M138" s="27"/>
      <c r="N138" s="27"/>
      <c r="O138" s="27"/>
      <c r="P138" s="27"/>
      <c r="Q138" s="3">
        <f t="shared" si="5"/>
        <v>0</v>
      </c>
      <c r="R138" s="39">
        <f>Q138/Summary!$Q$16</f>
        <v>0</v>
      </c>
      <c r="S138" s="35"/>
      <c r="T138" s="40">
        <f t="shared" si="7"/>
        <v>0</v>
      </c>
    </row>
    <row r="139" spans="1:20" s="3" customFormat="1" ht="24.95" hidden="1" customHeight="1">
      <c r="A139" s="3" t="s">
        <v>979</v>
      </c>
      <c r="B139" s="3" t="s">
        <v>1016</v>
      </c>
      <c r="D139" s="26" t="s">
        <v>980</v>
      </c>
      <c r="E139" s="63"/>
      <c r="F139" s="27"/>
      <c r="G139" s="27"/>
      <c r="H139" s="27"/>
      <c r="I139" s="27"/>
      <c r="J139" s="27"/>
      <c r="K139" s="27"/>
      <c r="L139" s="27"/>
      <c r="M139" s="27"/>
      <c r="N139" s="27"/>
      <c r="O139" s="27"/>
      <c r="P139" s="27"/>
      <c r="Q139" s="3">
        <f t="shared" si="5"/>
        <v>0</v>
      </c>
      <c r="R139" s="39">
        <f>Q139/Summary!$Q$16</f>
        <v>0</v>
      </c>
      <c r="S139" s="35"/>
      <c r="T139" s="40">
        <f t="shared" si="7"/>
        <v>0</v>
      </c>
    </row>
    <row r="140" spans="1:20" s="3" customFormat="1" ht="24.95" hidden="1" customHeight="1">
      <c r="A140" s="3" t="s">
        <v>981</v>
      </c>
      <c r="B140" s="3" t="s">
        <v>1016</v>
      </c>
      <c r="D140" s="26" t="s">
        <v>982</v>
      </c>
      <c r="E140" s="63"/>
      <c r="F140" s="27"/>
      <c r="G140" s="27"/>
      <c r="H140" s="27"/>
      <c r="I140" s="27"/>
      <c r="J140" s="27"/>
      <c r="K140" s="27"/>
      <c r="L140" s="27"/>
      <c r="M140" s="27"/>
      <c r="N140" s="27"/>
      <c r="O140" s="27"/>
      <c r="P140" s="27"/>
      <c r="Q140" s="3">
        <f t="shared" si="5"/>
        <v>0</v>
      </c>
      <c r="R140" s="39">
        <f>Q140/Summary!$Q$16</f>
        <v>0</v>
      </c>
      <c r="S140" s="35"/>
      <c r="T140" s="40">
        <f t="shared" si="7"/>
        <v>0</v>
      </c>
    </row>
    <row r="141" spans="1:20" s="3" customFormat="1" ht="24.95" hidden="1" customHeight="1">
      <c r="A141" s="3" t="s">
        <v>983</v>
      </c>
      <c r="B141" s="3" t="s">
        <v>1016</v>
      </c>
      <c r="D141" s="26" t="s">
        <v>984</v>
      </c>
      <c r="E141" s="63"/>
      <c r="F141" s="27"/>
      <c r="G141" s="27"/>
      <c r="H141" s="27"/>
      <c r="I141" s="27"/>
      <c r="J141" s="27"/>
      <c r="K141" s="27"/>
      <c r="L141" s="27"/>
      <c r="M141" s="27"/>
      <c r="N141" s="27"/>
      <c r="O141" s="27"/>
      <c r="P141" s="27"/>
      <c r="Q141" s="3">
        <f t="shared" si="5"/>
        <v>0</v>
      </c>
      <c r="R141" s="39">
        <f>Q141/Summary!$Q$16</f>
        <v>0</v>
      </c>
      <c r="S141" s="35"/>
      <c r="T141" s="40">
        <f t="shared" si="7"/>
        <v>0</v>
      </c>
    </row>
    <row r="142" spans="1:20" s="3" customFormat="1" ht="24.95" hidden="1" customHeight="1">
      <c r="A142" s="3" t="s">
        <v>985</v>
      </c>
      <c r="B142" s="3" t="s">
        <v>1016</v>
      </c>
      <c r="D142" s="26" t="s">
        <v>986</v>
      </c>
      <c r="E142" s="63"/>
      <c r="F142" s="27"/>
      <c r="G142" s="27"/>
      <c r="H142" s="27"/>
      <c r="I142" s="27"/>
      <c r="J142" s="27"/>
      <c r="K142" s="27"/>
      <c r="L142" s="27"/>
      <c r="M142" s="27"/>
      <c r="N142" s="27"/>
      <c r="O142" s="27"/>
      <c r="P142" s="27"/>
      <c r="Q142" s="3">
        <f t="shared" si="5"/>
        <v>0</v>
      </c>
      <c r="R142" s="39">
        <f>Q142/Summary!$Q$16</f>
        <v>0</v>
      </c>
      <c r="S142" s="35"/>
      <c r="T142" s="40">
        <f t="shared" si="7"/>
        <v>0</v>
      </c>
    </row>
    <row r="143" spans="1:20" s="3" customFormat="1" ht="24.95" hidden="1" customHeight="1">
      <c r="A143" s="3" t="s">
        <v>987</v>
      </c>
      <c r="B143" s="3" t="s">
        <v>1016</v>
      </c>
      <c r="D143" s="26" t="s">
        <v>988</v>
      </c>
      <c r="E143" s="63"/>
      <c r="F143" s="27"/>
      <c r="G143" s="27"/>
      <c r="H143" s="27"/>
      <c r="I143" s="27"/>
      <c r="J143" s="27"/>
      <c r="K143" s="27"/>
      <c r="L143" s="27"/>
      <c r="M143" s="27"/>
      <c r="N143" s="27"/>
      <c r="O143" s="27"/>
      <c r="P143" s="27"/>
      <c r="Q143" s="3">
        <f t="shared" si="5"/>
        <v>0</v>
      </c>
      <c r="R143" s="39">
        <f>Q143/Summary!$Q$16</f>
        <v>0</v>
      </c>
      <c r="S143" s="35"/>
      <c r="T143" s="40">
        <f t="shared" si="7"/>
        <v>0</v>
      </c>
    </row>
    <row r="144" spans="1:20" s="3" customFormat="1" ht="24.95" hidden="1" customHeight="1">
      <c r="A144" s="3" t="s">
        <v>989</v>
      </c>
      <c r="B144" s="3" t="s">
        <v>1016</v>
      </c>
      <c r="D144" s="26" t="s">
        <v>990</v>
      </c>
      <c r="E144" s="63"/>
      <c r="F144" s="27"/>
      <c r="G144" s="27"/>
      <c r="H144" s="27"/>
      <c r="I144" s="27"/>
      <c r="J144" s="27"/>
      <c r="K144" s="27"/>
      <c r="L144" s="27"/>
      <c r="M144" s="27"/>
      <c r="N144" s="27"/>
      <c r="O144" s="27"/>
      <c r="P144" s="27"/>
      <c r="Q144" s="3">
        <f t="shared" ref="Q144:Q157" si="8">SUM(E144:P144)</f>
        <v>0</v>
      </c>
      <c r="R144" s="39">
        <f>Q144/Summary!$Q$16</f>
        <v>0</v>
      </c>
      <c r="S144" s="35"/>
      <c r="T144" s="40">
        <f t="shared" si="7"/>
        <v>0</v>
      </c>
    </row>
    <row r="145" spans="1:20" s="3" customFormat="1" ht="24.95" hidden="1" customHeight="1">
      <c r="A145" s="3" t="s">
        <v>991</v>
      </c>
      <c r="B145" s="3" t="s">
        <v>1016</v>
      </c>
      <c r="D145" s="26" t="s">
        <v>992</v>
      </c>
      <c r="E145" s="63"/>
      <c r="F145" s="27"/>
      <c r="G145" s="27"/>
      <c r="H145" s="27"/>
      <c r="I145" s="27"/>
      <c r="J145" s="27"/>
      <c r="K145" s="27"/>
      <c r="L145" s="27"/>
      <c r="M145" s="27"/>
      <c r="N145" s="27"/>
      <c r="O145" s="27"/>
      <c r="P145" s="27"/>
      <c r="Q145" s="3">
        <f t="shared" si="8"/>
        <v>0</v>
      </c>
      <c r="R145" s="39">
        <f>Q145/Summary!$Q$16</f>
        <v>0</v>
      </c>
      <c r="S145" s="35"/>
      <c r="T145" s="40">
        <f t="shared" si="7"/>
        <v>0</v>
      </c>
    </row>
    <row r="146" spans="1:20" s="3" customFormat="1" ht="24.95" hidden="1" customHeight="1">
      <c r="A146" s="3" t="s">
        <v>993</v>
      </c>
      <c r="B146" s="3" t="s">
        <v>1016</v>
      </c>
      <c r="D146" s="26" t="s">
        <v>994</v>
      </c>
      <c r="E146" s="63"/>
      <c r="F146" s="27"/>
      <c r="G146" s="27"/>
      <c r="H146" s="27"/>
      <c r="I146" s="27"/>
      <c r="J146" s="27"/>
      <c r="K146" s="27"/>
      <c r="L146" s="27"/>
      <c r="M146" s="27"/>
      <c r="N146" s="27"/>
      <c r="O146" s="27"/>
      <c r="P146" s="27"/>
      <c r="Q146" s="3">
        <f t="shared" si="8"/>
        <v>0</v>
      </c>
      <c r="R146" s="39">
        <f>Q146/Summary!$Q$16</f>
        <v>0</v>
      </c>
      <c r="S146" s="35"/>
      <c r="T146" s="40">
        <f t="shared" si="7"/>
        <v>0</v>
      </c>
    </row>
    <row r="147" spans="1:20" s="3" customFormat="1" ht="24.95" hidden="1" customHeight="1">
      <c r="A147" s="3" t="s">
        <v>995</v>
      </c>
      <c r="B147" s="3" t="s">
        <v>1016</v>
      </c>
      <c r="D147" s="26" t="s">
        <v>996</v>
      </c>
      <c r="E147" s="63"/>
      <c r="F147" s="27"/>
      <c r="G147" s="27"/>
      <c r="H147" s="27"/>
      <c r="I147" s="27"/>
      <c r="J147" s="27"/>
      <c r="K147" s="27"/>
      <c r="L147" s="27"/>
      <c r="M147" s="27"/>
      <c r="N147" s="27"/>
      <c r="O147" s="27"/>
      <c r="P147" s="27"/>
      <c r="Q147" s="3">
        <f t="shared" si="8"/>
        <v>0</v>
      </c>
      <c r="R147" s="39">
        <f>Q147/Summary!$Q$16</f>
        <v>0</v>
      </c>
      <c r="S147" s="35"/>
      <c r="T147" s="40">
        <f t="shared" si="7"/>
        <v>0</v>
      </c>
    </row>
    <row r="148" spans="1:20" s="3" customFormat="1" ht="24.95" hidden="1" customHeight="1">
      <c r="A148" s="3" t="s">
        <v>997</v>
      </c>
      <c r="B148" s="3" t="s">
        <v>1016</v>
      </c>
      <c r="D148" s="26" t="s">
        <v>998</v>
      </c>
      <c r="E148" s="63"/>
      <c r="F148" s="27"/>
      <c r="G148" s="27"/>
      <c r="H148" s="27"/>
      <c r="I148" s="27"/>
      <c r="J148" s="27"/>
      <c r="K148" s="27"/>
      <c r="L148" s="27"/>
      <c r="M148" s="27"/>
      <c r="N148" s="27"/>
      <c r="O148" s="27"/>
      <c r="P148" s="27"/>
      <c r="Q148" s="3">
        <f t="shared" si="8"/>
        <v>0</v>
      </c>
      <c r="R148" s="39">
        <f>Q148/Summary!$Q$16</f>
        <v>0</v>
      </c>
      <c r="S148" s="35"/>
      <c r="T148" s="40">
        <f t="shared" si="7"/>
        <v>0</v>
      </c>
    </row>
    <row r="149" spans="1:20" s="3" customFormat="1" ht="24.95" hidden="1" customHeight="1">
      <c r="A149" s="3" t="s">
        <v>999</v>
      </c>
      <c r="B149" s="3" t="s">
        <v>1016</v>
      </c>
      <c r="D149" s="26" t="s">
        <v>1000</v>
      </c>
      <c r="E149" s="63"/>
      <c r="F149" s="27"/>
      <c r="G149" s="27"/>
      <c r="H149" s="27"/>
      <c r="I149" s="27"/>
      <c r="J149" s="27"/>
      <c r="K149" s="27"/>
      <c r="L149" s="27"/>
      <c r="M149" s="27"/>
      <c r="N149" s="27"/>
      <c r="O149" s="27"/>
      <c r="P149" s="27"/>
      <c r="Q149" s="3">
        <f t="shared" si="8"/>
        <v>0</v>
      </c>
      <c r="R149" s="39">
        <f>Q149/Summary!$Q$16</f>
        <v>0</v>
      </c>
      <c r="S149" s="35"/>
      <c r="T149" s="40">
        <f t="shared" si="7"/>
        <v>0</v>
      </c>
    </row>
    <row r="150" spans="1:20" s="3" customFormat="1" ht="24.95" hidden="1" customHeight="1">
      <c r="A150" s="3" t="s">
        <v>1001</v>
      </c>
      <c r="B150" s="3" t="s">
        <v>1016</v>
      </c>
      <c r="D150" s="26" t="s">
        <v>1002</v>
      </c>
      <c r="E150" s="63"/>
      <c r="F150" s="27"/>
      <c r="G150" s="27"/>
      <c r="H150" s="27"/>
      <c r="I150" s="27"/>
      <c r="J150" s="27"/>
      <c r="K150" s="27"/>
      <c r="L150" s="27"/>
      <c r="M150" s="27"/>
      <c r="N150" s="27"/>
      <c r="O150" s="27"/>
      <c r="P150" s="27"/>
      <c r="Q150" s="3">
        <f t="shared" si="8"/>
        <v>0</v>
      </c>
      <c r="R150" s="39">
        <f>Q150/Summary!$Q$16</f>
        <v>0</v>
      </c>
      <c r="S150" s="35"/>
      <c r="T150" s="40">
        <f t="shared" si="7"/>
        <v>0</v>
      </c>
    </row>
    <row r="151" spans="1:20" s="3" customFormat="1" ht="24.95" hidden="1" customHeight="1">
      <c r="A151" s="3" t="s">
        <v>1003</v>
      </c>
      <c r="B151" s="3" t="s">
        <v>1016</v>
      </c>
      <c r="D151" s="26" t="s">
        <v>1004</v>
      </c>
      <c r="E151" s="63"/>
      <c r="F151" s="27"/>
      <c r="G151" s="27"/>
      <c r="H151" s="27"/>
      <c r="I151" s="27"/>
      <c r="J151" s="27"/>
      <c r="K151" s="27"/>
      <c r="L151" s="27"/>
      <c r="M151" s="27"/>
      <c r="N151" s="27"/>
      <c r="O151" s="27"/>
      <c r="P151" s="27"/>
      <c r="Q151" s="3">
        <f t="shared" si="8"/>
        <v>0</v>
      </c>
      <c r="R151" s="39">
        <f>Q151/Summary!$Q$16</f>
        <v>0</v>
      </c>
      <c r="S151" s="35"/>
      <c r="T151" s="40">
        <f t="shared" si="7"/>
        <v>0</v>
      </c>
    </row>
    <row r="152" spans="1:20" s="3" customFormat="1" ht="24.95" hidden="1" customHeight="1">
      <c r="A152" s="3" t="s">
        <v>1005</v>
      </c>
      <c r="B152" s="3" t="s">
        <v>1016</v>
      </c>
      <c r="D152" s="26" t="s">
        <v>1006</v>
      </c>
      <c r="E152" s="63"/>
      <c r="F152" s="27"/>
      <c r="G152" s="27"/>
      <c r="H152" s="27"/>
      <c r="I152" s="27"/>
      <c r="J152" s="27"/>
      <c r="K152" s="27"/>
      <c r="L152" s="27"/>
      <c r="M152" s="27"/>
      <c r="N152" s="27"/>
      <c r="O152" s="27"/>
      <c r="P152" s="27"/>
      <c r="Q152" s="3">
        <f t="shared" si="8"/>
        <v>0</v>
      </c>
      <c r="R152" s="39">
        <f>Q152/Summary!$Q$16</f>
        <v>0</v>
      </c>
      <c r="S152" s="35"/>
      <c r="T152" s="40">
        <f t="shared" si="7"/>
        <v>0</v>
      </c>
    </row>
    <row r="153" spans="1:20" s="3" customFormat="1" ht="24.95" hidden="1" customHeight="1">
      <c r="A153" s="3" t="s">
        <v>1007</v>
      </c>
      <c r="B153" s="3" t="s">
        <v>1016</v>
      </c>
      <c r="D153" s="26" t="s">
        <v>1008</v>
      </c>
      <c r="E153" s="63"/>
      <c r="F153" s="27"/>
      <c r="G153" s="27"/>
      <c r="H153" s="27"/>
      <c r="I153" s="27"/>
      <c r="J153" s="27"/>
      <c r="K153" s="27"/>
      <c r="L153" s="27"/>
      <c r="M153" s="27"/>
      <c r="N153" s="27"/>
      <c r="O153" s="27"/>
      <c r="P153" s="27"/>
      <c r="Q153" s="3">
        <f t="shared" si="8"/>
        <v>0</v>
      </c>
      <c r="R153" s="39">
        <f>Q153/Summary!$Q$16</f>
        <v>0</v>
      </c>
      <c r="S153" s="35"/>
      <c r="T153" s="40">
        <f t="shared" ref="T153:T159" si="9">-IF(Q153-S153=0,0,(Q153-S153)/S153)</f>
        <v>0</v>
      </c>
    </row>
    <row r="154" spans="1:20" s="3" customFormat="1" ht="24.95" hidden="1" customHeight="1">
      <c r="A154" s="3" t="s">
        <v>1009</v>
      </c>
      <c r="B154" s="3" t="s">
        <v>1016</v>
      </c>
      <c r="D154" s="26" t="s">
        <v>1010</v>
      </c>
      <c r="E154" s="63"/>
      <c r="F154" s="27"/>
      <c r="G154" s="27"/>
      <c r="H154" s="27"/>
      <c r="I154" s="27"/>
      <c r="J154" s="27"/>
      <c r="K154" s="27"/>
      <c r="L154" s="27"/>
      <c r="M154" s="27"/>
      <c r="N154" s="27"/>
      <c r="O154" s="27"/>
      <c r="P154" s="27"/>
      <c r="Q154" s="3">
        <f t="shared" si="8"/>
        <v>0</v>
      </c>
      <c r="R154" s="39">
        <f>Q154/Summary!$Q$16</f>
        <v>0</v>
      </c>
      <c r="S154" s="35"/>
      <c r="T154" s="40">
        <f t="shared" si="9"/>
        <v>0</v>
      </c>
    </row>
    <row r="155" spans="1:20" s="3" customFormat="1" ht="24.95" hidden="1" customHeight="1">
      <c r="A155" s="3" t="s">
        <v>1011</v>
      </c>
      <c r="B155" s="3" t="s">
        <v>1016</v>
      </c>
      <c r="D155" s="26" t="s">
        <v>1012</v>
      </c>
      <c r="E155" s="63"/>
      <c r="F155" s="27"/>
      <c r="G155" s="27"/>
      <c r="H155" s="27"/>
      <c r="I155" s="27"/>
      <c r="J155" s="27"/>
      <c r="K155" s="27"/>
      <c r="L155" s="27"/>
      <c r="M155" s="27"/>
      <c r="N155" s="27"/>
      <c r="O155" s="27"/>
      <c r="P155" s="27"/>
      <c r="Q155" s="3">
        <f t="shared" si="8"/>
        <v>0</v>
      </c>
      <c r="R155" s="39">
        <f>Q155/Summary!$Q$16</f>
        <v>0</v>
      </c>
      <c r="S155" s="35"/>
      <c r="T155" s="40">
        <f t="shared" si="9"/>
        <v>0</v>
      </c>
    </row>
    <row r="156" spans="1:20" s="3" customFormat="1" ht="24.95" customHeight="1">
      <c r="A156" s="3" t="s">
        <v>1013</v>
      </c>
      <c r="B156" s="3" t="s">
        <v>1016</v>
      </c>
      <c r="D156" s="26" t="s">
        <v>1014</v>
      </c>
      <c r="E156" s="63"/>
      <c r="F156" s="27"/>
      <c r="G156" s="27"/>
      <c r="H156" s="27"/>
      <c r="I156" s="27"/>
      <c r="J156" s="27"/>
      <c r="K156" s="27"/>
      <c r="L156" s="27"/>
      <c r="M156" s="27"/>
      <c r="N156" s="27"/>
      <c r="O156" s="27"/>
      <c r="P156" s="27"/>
      <c r="Q156" s="3">
        <f t="shared" si="8"/>
        <v>0</v>
      </c>
      <c r="R156" s="39">
        <f>Q156/Summary!$Q$16</f>
        <v>0</v>
      </c>
      <c r="S156" s="35"/>
      <c r="T156" s="40">
        <f t="shared" si="9"/>
        <v>0</v>
      </c>
    </row>
    <row r="157" spans="1:20" s="3" customFormat="1" ht="24.95" customHeight="1">
      <c r="A157" s="3" t="s">
        <v>611</v>
      </c>
      <c r="B157" s="3" t="s">
        <v>1016</v>
      </c>
      <c r="D157" s="26" t="s">
        <v>612</v>
      </c>
      <c r="E157" s="63"/>
      <c r="F157" s="63"/>
      <c r="G157" s="63"/>
      <c r="H157" s="63"/>
      <c r="I157" s="63"/>
      <c r="J157" s="63"/>
      <c r="K157" s="63"/>
      <c r="L157" s="63"/>
      <c r="M157" s="63"/>
      <c r="N157" s="63"/>
      <c r="O157" s="63"/>
      <c r="P157" s="63"/>
      <c r="Q157" s="3">
        <f t="shared" si="8"/>
        <v>0</v>
      </c>
      <c r="R157" s="39">
        <f>Q157/Summary!$Q$16</f>
        <v>0</v>
      </c>
      <c r="S157" s="35"/>
      <c r="T157" s="40">
        <f t="shared" si="9"/>
        <v>0</v>
      </c>
    </row>
    <row r="158" spans="1:20" s="19" customFormat="1" ht="24.95" customHeight="1">
      <c r="D158" s="21" t="s">
        <v>613</v>
      </c>
      <c r="E158" s="45">
        <f>SUM(E15:E157)</f>
        <v>11526.13</v>
      </c>
      <c r="F158" s="45">
        <f t="shared" ref="F158:Q158" si="10">SUM(F15:F157)</f>
        <v>11658.449999999999</v>
      </c>
      <c r="G158" s="45">
        <f t="shared" si="10"/>
        <v>11521.24</v>
      </c>
      <c r="H158" s="45">
        <f t="shared" si="10"/>
        <v>11669.789999999999</v>
      </c>
      <c r="I158" s="45">
        <f t="shared" si="10"/>
        <v>11688.1</v>
      </c>
      <c r="J158" s="45">
        <f t="shared" si="10"/>
        <v>11701.49</v>
      </c>
      <c r="K158" s="45">
        <f t="shared" si="10"/>
        <v>11686.74</v>
      </c>
      <c r="L158" s="45">
        <f t="shared" si="10"/>
        <v>11693.78</v>
      </c>
      <c r="M158" s="45">
        <f t="shared" si="10"/>
        <v>11785.99</v>
      </c>
      <c r="N158" s="45">
        <f t="shared" si="10"/>
        <v>11918.31</v>
      </c>
      <c r="O158" s="45">
        <f t="shared" si="10"/>
        <v>11632.51</v>
      </c>
      <c r="P158" s="45">
        <f t="shared" si="10"/>
        <v>11605.75</v>
      </c>
      <c r="Q158" s="45">
        <f t="shared" si="10"/>
        <v>140088.27999999997</v>
      </c>
      <c r="R158" s="39">
        <f>Q158/Summary!$Q$16</f>
        <v>4.2121943950648687E-3</v>
      </c>
      <c r="S158" s="35"/>
      <c r="T158" s="40" t="e">
        <f t="shared" si="9"/>
        <v>#DIV/0!</v>
      </c>
    </row>
    <row r="159" spans="1:20" s="19" customFormat="1" ht="24.95" customHeight="1">
      <c r="D159" s="21" t="s">
        <v>614</v>
      </c>
      <c r="E159" s="45">
        <f>+E12+E158</f>
        <v>113774.16</v>
      </c>
      <c r="F159" s="45">
        <f t="shared" ref="F159:P159" si="11">+F12+F158</f>
        <v>113989.09</v>
      </c>
      <c r="G159" s="45">
        <f t="shared" si="11"/>
        <v>113727.97000000002</v>
      </c>
      <c r="H159" s="45">
        <f t="shared" si="11"/>
        <v>113917.81999999999</v>
      </c>
      <c r="I159" s="45">
        <f t="shared" si="11"/>
        <v>113936.13</v>
      </c>
      <c r="J159" s="45">
        <f t="shared" si="11"/>
        <v>113949.52</v>
      </c>
      <c r="K159" s="45">
        <f t="shared" si="11"/>
        <v>113893.47000000002</v>
      </c>
      <c r="L159" s="45">
        <f t="shared" si="11"/>
        <v>113900.51000000001</v>
      </c>
      <c r="M159" s="45">
        <f t="shared" si="11"/>
        <v>114034.02</v>
      </c>
      <c r="N159" s="45">
        <f t="shared" si="11"/>
        <v>114248.95</v>
      </c>
      <c r="O159" s="45">
        <f t="shared" si="11"/>
        <v>113839.24</v>
      </c>
      <c r="P159" s="45">
        <f t="shared" si="11"/>
        <v>113812.48000000001</v>
      </c>
      <c r="Q159" s="45">
        <f t="shared" ref="Q159" si="12">+Q12+Q158</f>
        <v>1367023.36</v>
      </c>
      <c r="R159" s="39">
        <f>Q159/Summary!$Q$16</f>
        <v>4.1103853476641632E-2</v>
      </c>
      <c r="S159" s="35"/>
      <c r="T159" s="40" t="e">
        <f t="shared" si="9"/>
        <v>#DIV/0!</v>
      </c>
    </row>
    <row r="160" spans="1:20" s="3" customFormat="1" ht="24.95" hidden="1" customHeight="1">
      <c r="A160" s="84" t="s">
        <v>615</v>
      </c>
      <c r="B160" s="3" t="s">
        <v>1016</v>
      </c>
      <c r="D160" s="42" t="s">
        <v>351</v>
      </c>
      <c r="E160" s="27">
        <f>+E159</f>
        <v>113774.16</v>
      </c>
      <c r="F160" s="27">
        <f t="shared" ref="F160:Q160" si="13">+F159</f>
        <v>113989.09</v>
      </c>
      <c r="G160" s="27">
        <f t="shared" si="13"/>
        <v>113727.97000000002</v>
      </c>
      <c r="H160" s="27">
        <f t="shared" si="13"/>
        <v>113917.81999999999</v>
      </c>
      <c r="I160" s="27">
        <f t="shared" si="13"/>
        <v>113936.13</v>
      </c>
      <c r="J160" s="27">
        <f t="shared" si="13"/>
        <v>113949.52</v>
      </c>
      <c r="K160" s="27">
        <f t="shared" si="13"/>
        <v>113893.47000000002</v>
      </c>
      <c r="L160" s="27">
        <f t="shared" si="13"/>
        <v>113900.51000000001</v>
      </c>
      <c r="M160" s="27">
        <f t="shared" si="13"/>
        <v>114034.02</v>
      </c>
      <c r="N160" s="27">
        <f t="shared" si="13"/>
        <v>114248.95</v>
      </c>
      <c r="O160" s="27">
        <f t="shared" si="13"/>
        <v>113839.24</v>
      </c>
      <c r="P160" s="27">
        <f t="shared" si="13"/>
        <v>113812.48000000001</v>
      </c>
      <c r="Q160" s="3">
        <f t="shared" si="13"/>
        <v>1367023.36</v>
      </c>
      <c r="S160" s="35"/>
      <c r="T160" s="40" t="e">
        <f>IF(Q160-S160=0,0,(Q160-S160)/S160)</f>
        <v>#DIV/0!</v>
      </c>
    </row>
    <row r="161" spans="1:20" s="3" customFormat="1" ht="24.95" customHeight="1">
      <c r="D161" s="42"/>
      <c r="E161" s="74"/>
      <c r="F161" s="74"/>
      <c r="G161" s="74"/>
      <c r="H161" s="74"/>
      <c r="I161" s="74"/>
      <c r="S161" s="35"/>
      <c r="T161" s="40"/>
    </row>
    <row r="162" spans="1:20" s="3" customFormat="1" ht="24.95" customHeight="1">
      <c r="B162" s="51"/>
      <c r="D162" s="19" t="s">
        <v>618</v>
      </c>
      <c r="E162" s="48"/>
      <c r="F162" s="48"/>
      <c r="G162" s="48"/>
      <c r="H162" s="48"/>
      <c r="I162" s="48"/>
      <c r="S162" s="35"/>
      <c r="T162" s="40"/>
    </row>
    <row r="163" spans="1:20" s="3" customFormat="1" ht="24.95" customHeight="1">
      <c r="B163" s="51"/>
      <c r="D163" s="19" t="s">
        <v>444</v>
      </c>
      <c r="E163" s="48"/>
      <c r="F163" s="48"/>
      <c r="G163" s="48"/>
      <c r="H163" s="48"/>
      <c r="I163" s="48"/>
      <c r="S163" s="35"/>
      <c r="T163" s="40"/>
    </row>
    <row r="164" spans="1:20" s="3" customFormat="1" ht="24.95" customHeight="1">
      <c r="A164" s="270" t="s">
        <v>295</v>
      </c>
      <c r="B164" s="3" t="s">
        <v>1016</v>
      </c>
      <c r="D164" s="26" t="s">
        <v>297</v>
      </c>
      <c r="E164" s="63">
        <v>60578</v>
      </c>
      <c r="F164" s="63">
        <v>60578</v>
      </c>
      <c r="G164" s="63">
        <v>60578</v>
      </c>
      <c r="H164" s="63">
        <v>60578</v>
      </c>
      <c r="I164" s="63">
        <v>60578</v>
      </c>
      <c r="J164" s="63">
        <v>60578</v>
      </c>
      <c r="K164" s="63">
        <v>60578</v>
      </c>
      <c r="L164" s="63">
        <v>60578</v>
      </c>
      <c r="M164" s="63">
        <v>60578</v>
      </c>
      <c r="N164" s="63">
        <v>60578</v>
      </c>
      <c r="O164" s="63">
        <v>60578</v>
      </c>
      <c r="P164" s="63">
        <v>60578</v>
      </c>
      <c r="Q164" s="3">
        <f>SUM(E164:P164)</f>
        <v>726936</v>
      </c>
      <c r="R164" s="39">
        <f>Q164/Summary!$Q$16</f>
        <v>2.1857615389173714E-2</v>
      </c>
      <c r="S164" s="35"/>
      <c r="T164" s="40" t="e">
        <f>-IF(Q164-S164=0,0,(Q164-S164)/S164)</f>
        <v>#DIV/0!</v>
      </c>
    </row>
    <row r="165" spans="1:20" s="3" customFormat="1" ht="24.95" customHeight="1">
      <c r="A165" s="50" t="s">
        <v>298</v>
      </c>
      <c r="B165" s="3" t="s">
        <v>1016</v>
      </c>
      <c r="D165" s="26" t="s">
        <v>447</v>
      </c>
      <c r="E165" s="63">
        <v>9436</v>
      </c>
      <c r="F165" s="63">
        <v>9436</v>
      </c>
      <c r="G165" s="63">
        <v>9436</v>
      </c>
      <c r="H165" s="63">
        <v>9436</v>
      </c>
      <c r="I165" s="63">
        <v>9436</v>
      </c>
      <c r="J165" s="63">
        <v>9436</v>
      </c>
      <c r="K165" s="63">
        <v>9436</v>
      </c>
      <c r="L165" s="63">
        <v>9436</v>
      </c>
      <c r="M165" s="63">
        <v>9436</v>
      </c>
      <c r="N165" s="63">
        <v>9436</v>
      </c>
      <c r="O165" s="63">
        <v>9436</v>
      </c>
      <c r="P165" s="63">
        <v>9436</v>
      </c>
      <c r="Q165" s="3">
        <f>SUM(E165:P165)</f>
        <v>113232</v>
      </c>
      <c r="R165" s="39">
        <f>Q165/Summary!$Q$16</f>
        <v>3.4046759353600839E-3</v>
      </c>
      <c r="S165" s="35"/>
      <c r="T165" s="40"/>
    </row>
    <row r="166" spans="1:20" s="3" customFormat="1" ht="24.95" customHeight="1">
      <c r="B166" s="51"/>
      <c r="D166" s="21" t="s">
        <v>450</v>
      </c>
      <c r="E166" s="52">
        <f>SUM(E164:E165)</f>
        <v>70014</v>
      </c>
      <c r="F166" s="52">
        <f t="shared" ref="F166:P166" si="14">SUM(F164:F165)</f>
        <v>70014</v>
      </c>
      <c r="G166" s="52">
        <f t="shared" si="14"/>
        <v>70014</v>
      </c>
      <c r="H166" s="52">
        <f t="shared" si="14"/>
        <v>70014</v>
      </c>
      <c r="I166" s="52">
        <f t="shared" si="14"/>
        <v>70014</v>
      </c>
      <c r="J166" s="52">
        <f t="shared" si="14"/>
        <v>70014</v>
      </c>
      <c r="K166" s="52">
        <f t="shared" si="14"/>
        <v>70014</v>
      </c>
      <c r="L166" s="52">
        <f t="shared" si="14"/>
        <v>70014</v>
      </c>
      <c r="M166" s="52">
        <f t="shared" si="14"/>
        <v>70014</v>
      </c>
      <c r="N166" s="52">
        <f t="shared" si="14"/>
        <v>70014</v>
      </c>
      <c r="O166" s="52">
        <f t="shared" si="14"/>
        <v>70014</v>
      </c>
      <c r="P166" s="52">
        <f t="shared" si="14"/>
        <v>70014</v>
      </c>
      <c r="Q166" s="52">
        <f t="shared" ref="Q166" si="15">SUM(Q164:Q165)</f>
        <v>840168</v>
      </c>
      <c r="R166" s="39">
        <f>Q166/Summary!$Q$16</f>
        <v>2.5262291324533798E-2</v>
      </c>
      <c r="S166" s="35"/>
      <c r="T166" s="40" t="e">
        <f t="shared" ref="T166:T175" si="16">-IF(Q166-S166=0,0,(Q166-S166)/S166)</f>
        <v>#DIV/0!</v>
      </c>
    </row>
    <row r="167" spans="1:20" s="3" customFormat="1" ht="24.95" customHeight="1">
      <c r="B167" s="51"/>
      <c r="E167" s="53"/>
      <c r="F167" s="53"/>
      <c r="G167" s="53"/>
      <c r="H167" s="53"/>
      <c r="I167" s="53"/>
      <c r="S167" s="35"/>
      <c r="T167" s="40">
        <f t="shared" si="16"/>
        <v>0</v>
      </c>
    </row>
    <row r="168" spans="1:20" s="3" customFormat="1" ht="24.95" customHeight="1">
      <c r="A168" s="271" t="s">
        <v>619</v>
      </c>
      <c r="B168" s="3" t="s">
        <v>1016</v>
      </c>
      <c r="D168" s="26" t="s">
        <v>307</v>
      </c>
      <c r="E168" s="62">
        <v>0</v>
      </c>
      <c r="F168" s="27"/>
      <c r="G168" s="27"/>
      <c r="H168" s="27"/>
      <c r="I168" s="27"/>
      <c r="J168" s="27"/>
      <c r="K168" s="27"/>
      <c r="L168" s="27"/>
      <c r="M168" s="27"/>
      <c r="N168" s="27"/>
      <c r="O168" s="27"/>
      <c r="P168" s="27"/>
      <c r="Q168" s="3">
        <f>SUM(E168:P168)</f>
        <v>0</v>
      </c>
      <c r="R168" s="39">
        <f>Q168/Summary!$Q$16</f>
        <v>0</v>
      </c>
      <c r="S168" s="35"/>
      <c r="T168" s="40">
        <f t="shared" si="16"/>
        <v>0</v>
      </c>
    </row>
    <row r="169" spans="1:20" s="3" customFormat="1" ht="24.95" customHeight="1">
      <c r="A169" s="54" t="s">
        <v>308</v>
      </c>
      <c r="B169" s="3" t="s">
        <v>1016</v>
      </c>
      <c r="D169" s="26" t="s">
        <v>309</v>
      </c>
      <c r="E169" s="63">
        <f>ROUND(E166/12*1.5,2)</f>
        <v>8751.75</v>
      </c>
      <c r="F169" s="63">
        <f t="shared" ref="F169:P169" si="17">ROUND(F166/12*1.5,2)</f>
        <v>8751.75</v>
      </c>
      <c r="G169" s="63">
        <f t="shared" si="17"/>
        <v>8751.75</v>
      </c>
      <c r="H169" s="63">
        <f t="shared" si="17"/>
        <v>8751.75</v>
      </c>
      <c r="I169" s="63">
        <f t="shared" si="17"/>
        <v>8751.75</v>
      </c>
      <c r="J169" s="63">
        <f t="shared" si="17"/>
        <v>8751.75</v>
      </c>
      <c r="K169" s="63">
        <f t="shared" si="17"/>
        <v>8751.75</v>
      </c>
      <c r="L169" s="63">
        <f t="shared" si="17"/>
        <v>8751.75</v>
      </c>
      <c r="M169" s="63">
        <f t="shared" si="17"/>
        <v>8751.75</v>
      </c>
      <c r="N169" s="63">
        <f t="shared" si="17"/>
        <v>8751.75</v>
      </c>
      <c r="O169" s="63">
        <f t="shared" si="17"/>
        <v>8751.75</v>
      </c>
      <c r="P169" s="63">
        <f t="shared" si="17"/>
        <v>8751.75</v>
      </c>
      <c r="Q169" s="3">
        <f t="shared" ref="Q169:Q174" si="18">SUM(E169:P169)</f>
        <v>105021</v>
      </c>
      <c r="R169" s="39">
        <f>Q169/Summary!$Q$16</f>
        <v>3.1577864155667248E-3</v>
      </c>
      <c r="S169" s="35"/>
      <c r="T169" s="40" t="e">
        <f t="shared" si="16"/>
        <v>#DIV/0!</v>
      </c>
    </row>
    <row r="170" spans="1:20" s="3" customFormat="1" ht="24.95" customHeight="1">
      <c r="A170" s="271" t="s">
        <v>620</v>
      </c>
      <c r="B170" s="3" t="s">
        <v>1016</v>
      </c>
      <c r="D170" s="26" t="s">
        <v>311</v>
      </c>
      <c r="E170" s="63"/>
      <c r="F170" s="27"/>
      <c r="G170" s="27"/>
      <c r="H170" s="27"/>
      <c r="I170" s="27"/>
      <c r="J170" s="27"/>
      <c r="K170" s="27"/>
      <c r="L170" s="27"/>
      <c r="M170" s="27"/>
      <c r="N170" s="27"/>
      <c r="O170" s="27"/>
      <c r="P170" s="27"/>
      <c r="Q170" s="3">
        <f t="shared" si="18"/>
        <v>0</v>
      </c>
      <c r="R170" s="39">
        <f>Q170/Summary!$Q$16</f>
        <v>0</v>
      </c>
      <c r="S170" s="35"/>
      <c r="T170" s="40">
        <f t="shared" si="16"/>
        <v>0</v>
      </c>
    </row>
    <row r="171" spans="1:20" s="3" customFormat="1" ht="24.95" customHeight="1">
      <c r="A171" s="271" t="s">
        <v>621</v>
      </c>
      <c r="B171" s="3" t="s">
        <v>1016</v>
      </c>
      <c r="D171" s="26" t="s">
        <v>313</v>
      </c>
      <c r="E171" s="63"/>
      <c r="F171" s="27"/>
      <c r="G171" s="27"/>
      <c r="H171" s="27"/>
      <c r="I171" s="27"/>
      <c r="J171" s="27"/>
      <c r="K171" s="27"/>
      <c r="L171" s="27"/>
      <c r="M171" s="27"/>
      <c r="N171" s="27"/>
      <c r="O171" s="27"/>
      <c r="P171" s="27"/>
      <c r="Q171" s="3">
        <f t="shared" ref="Q171:Q172" si="19">SUM(E171:P171)</f>
        <v>0</v>
      </c>
      <c r="R171" s="39">
        <f>Q171/Summary!$Q$16</f>
        <v>0</v>
      </c>
      <c r="S171" s="35"/>
      <c r="T171" s="40">
        <f t="shared" ref="T171:T172" si="20">-IF(Q171-S171=0,0,(Q171-S171)/S171)</f>
        <v>0</v>
      </c>
    </row>
    <row r="172" spans="1:20" s="3" customFormat="1" ht="24.95" customHeight="1">
      <c r="A172" s="271" t="s">
        <v>622</v>
      </c>
      <c r="B172" s="3" t="s">
        <v>1016</v>
      </c>
      <c r="D172" s="26" t="s">
        <v>315</v>
      </c>
      <c r="E172" s="63"/>
      <c r="F172" s="27"/>
      <c r="G172" s="27"/>
      <c r="H172" s="27"/>
      <c r="I172" s="27"/>
      <c r="J172" s="27"/>
      <c r="K172" s="27"/>
      <c r="L172" s="27"/>
      <c r="M172" s="27"/>
      <c r="N172" s="27"/>
      <c r="O172" s="27"/>
      <c r="P172" s="27"/>
      <c r="Q172" s="3">
        <f t="shared" si="19"/>
        <v>0</v>
      </c>
      <c r="R172" s="39">
        <f>Q172/Summary!$Q$16</f>
        <v>0</v>
      </c>
      <c r="S172" s="35"/>
      <c r="T172" s="40">
        <f t="shared" si="20"/>
        <v>0</v>
      </c>
    </row>
    <row r="173" spans="1:20" s="3" customFormat="1" ht="24.95" customHeight="1">
      <c r="A173" s="271" t="s">
        <v>1109</v>
      </c>
      <c r="B173" s="3" t="s">
        <v>1016</v>
      </c>
      <c r="D173" s="26" t="s">
        <v>1113</v>
      </c>
      <c r="E173" s="63"/>
      <c r="F173" s="27"/>
      <c r="G173" s="27"/>
      <c r="H173" s="27"/>
      <c r="I173" s="27"/>
      <c r="J173" s="27"/>
      <c r="K173" s="27"/>
      <c r="L173" s="27"/>
      <c r="M173" s="27"/>
      <c r="N173" s="27"/>
      <c r="O173" s="27"/>
      <c r="P173" s="27"/>
      <c r="Q173" s="3">
        <f t="shared" si="18"/>
        <v>0</v>
      </c>
      <c r="R173" s="39">
        <f>Q173/Summary!$Q$16</f>
        <v>0</v>
      </c>
      <c r="S173" s="35"/>
      <c r="T173" s="40">
        <f t="shared" si="16"/>
        <v>0</v>
      </c>
    </row>
    <row r="174" spans="1:20" s="3" customFormat="1" ht="24.95" customHeight="1">
      <c r="A174" s="271" t="s">
        <v>1109</v>
      </c>
      <c r="B174" s="3" t="s">
        <v>1016</v>
      </c>
      <c r="D174" s="26" t="s">
        <v>1114</v>
      </c>
      <c r="E174" s="63"/>
      <c r="F174" s="27"/>
      <c r="G174" s="27"/>
      <c r="H174" s="27"/>
      <c r="I174" s="27"/>
      <c r="J174" s="27"/>
      <c r="K174" s="27"/>
      <c r="L174" s="27"/>
      <c r="M174" s="27"/>
      <c r="N174" s="27"/>
      <c r="O174" s="27"/>
      <c r="P174" s="27"/>
      <c r="Q174" s="3">
        <f t="shared" si="18"/>
        <v>0</v>
      </c>
      <c r="R174" s="39">
        <f>Q174/Summary!$Q$16</f>
        <v>0</v>
      </c>
      <c r="S174" s="35"/>
      <c r="T174" s="40">
        <f t="shared" si="16"/>
        <v>0</v>
      </c>
    </row>
    <row r="175" spans="1:20" s="19" customFormat="1" ht="24.95" customHeight="1">
      <c r="A175" s="54"/>
      <c r="B175" s="51"/>
      <c r="D175" s="19" t="s">
        <v>316</v>
      </c>
      <c r="E175" s="52">
        <f>SUM(E168:E174)</f>
        <v>8751.75</v>
      </c>
      <c r="F175" s="52">
        <f t="shared" ref="F175:P175" si="21">SUM(F168:F174)</f>
        <v>8751.75</v>
      </c>
      <c r="G175" s="52">
        <f t="shared" si="21"/>
        <v>8751.75</v>
      </c>
      <c r="H175" s="52">
        <f t="shared" si="21"/>
        <v>8751.75</v>
      </c>
      <c r="I175" s="52">
        <f t="shared" si="21"/>
        <v>8751.75</v>
      </c>
      <c r="J175" s="52">
        <f t="shared" si="21"/>
        <v>8751.75</v>
      </c>
      <c r="K175" s="52">
        <f t="shared" si="21"/>
        <v>8751.75</v>
      </c>
      <c r="L175" s="52">
        <f t="shared" si="21"/>
        <v>8751.75</v>
      </c>
      <c r="M175" s="52">
        <f t="shared" si="21"/>
        <v>8751.75</v>
      </c>
      <c r="N175" s="52">
        <f t="shared" si="21"/>
        <v>8751.75</v>
      </c>
      <c r="O175" s="52">
        <f t="shared" si="21"/>
        <v>8751.75</v>
      </c>
      <c r="P175" s="52">
        <f t="shared" si="21"/>
        <v>8751.75</v>
      </c>
      <c r="Q175" s="52">
        <f t="shared" ref="Q175" si="22">SUM(Q168:Q174)</f>
        <v>105021</v>
      </c>
      <c r="R175" s="39">
        <f>Q175/Summary!$Q$16</f>
        <v>3.1577864155667248E-3</v>
      </c>
      <c r="S175" s="35"/>
      <c r="T175" s="40" t="e">
        <f t="shared" si="16"/>
        <v>#DIV/0!</v>
      </c>
    </row>
    <row r="176" spans="1:20" s="3" customFormat="1" ht="24.95" customHeight="1">
      <c r="A176" s="50"/>
      <c r="D176" s="19"/>
      <c r="E176" s="53"/>
      <c r="F176" s="53"/>
      <c r="G176" s="53"/>
      <c r="H176" s="53"/>
      <c r="I176" s="53"/>
      <c r="S176" s="35"/>
      <c r="T176" s="40"/>
    </row>
    <row r="177" spans="1:20" s="3" customFormat="1" ht="24.95" customHeight="1">
      <c r="A177" s="271" t="s">
        <v>625</v>
      </c>
      <c r="B177" s="3" t="s">
        <v>1016</v>
      </c>
      <c r="D177" s="26" t="s">
        <v>318</v>
      </c>
      <c r="E177" s="63">
        <v>8597.2799999999988</v>
      </c>
      <c r="F177" s="63">
        <v>8597.2799999999988</v>
      </c>
      <c r="G177" s="63">
        <v>8597.2799999999988</v>
      </c>
      <c r="H177" s="63">
        <v>8597.2799999999988</v>
      </c>
      <c r="I177" s="63">
        <v>8597.2799999999988</v>
      </c>
      <c r="J177" s="63">
        <v>8597.2799999999988</v>
      </c>
      <c r="K177" s="63">
        <v>8597.2799999999988</v>
      </c>
      <c r="L177" s="63">
        <v>8597.2799999999988</v>
      </c>
      <c r="M177" s="63">
        <v>8597.2799999999988</v>
      </c>
      <c r="N177" s="63">
        <v>8597.2799999999988</v>
      </c>
      <c r="O177" s="63">
        <v>8597.2799999999988</v>
      </c>
      <c r="P177" s="63">
        <v>8597.2799999999988</v>
      </c>
      <c r="Q177" s="3">
        <f>SUM(E177:P177)</f>
        <v>103167.35999999999</v>
      </c>
      <c r="R177" s="39">
        <f>Q177/Summary!$Q$16</f>
        <v>3.1020509035134102E-3</v>
      </c>
      <c r="S177" s="35"/>
      <c r="T177" s="40" t="e">
        <f t="shared" ref="T177:T185" si="23">-IF(Q177-S177=0,0,(Q177-S177)/S177)</f>
        <v>#DIV/0!</v>
      </c>
    </row>
    <row r="178" spans="1:20" s="3" customFormat="1" ht="24.95" customHeight="1">
      <c r="A178" s="271" t="s">
        <v>626</v>
      </c>
      <c r="B178" s="3" t="s">
        <v>1016</v>
      </c>
      <c r="D178" s="26" t="s">
        <v>320</v>
      </c>
      <c r="E178" s="63">
        <v>3761.31</v>
      </c>
      <c r="F178" s="63">
        <v>3761.31</v>
      </c>
      <c r="G178" s="63">
        <v>3761.31</v>
      </c>
      <c r="H178" s="63">
        <v>3761.31</v>
      </c>
      <c r="I178" s="63">
        <v>3761.31</v>
      </c>
      <c r="J178" s="63">
        <v>3761.31</v>
      </c>
      <c r="K178" s="63">
        <v>3761.31</v>
      </c>
      <c r="L178" s="63">
        <v>3761.31</v>
      </c>
      <c r="M178" s="63">
        <v>3761.31</v>
      </c>
      <c r="N178" s="63">
        <v>3761.31</v>
      </c>
      <c r="O178" s="63">
        <v>3761.31</v>
      </c>
      <c r="P178" s="63">
        <v>3761.31</v>
      </c>
      <c r="Q178" s="3">
        <f t="shared" ref="Q178:Q184" si="24">SUM(E178:P178)</f>
        <v>45135.719999999994</v>
      </c>
      <c r="R178" s="39">
        <f>Q178/Summary!$Q$16</f>
        <v>1.3571472702871171E-3</v>
      </c>
      <c r="S178" s="35"/>
      <c r="T178" s="40" t="e">
        <f t="shared" si="23"/>
        <v>#DIV/0!</v>
      </c>
    </row>
    <row r="179" spans="1:20" s="3" customFormat="1" ht="24.95" customHeight="1">
      <c r="A179" s="271" t="s">
        <v>627</v>
      </c>
      <c r="B179" s="3" t="s">
        <v>1016</v>
      </c>
      <c r="D179" s="26" t="s">
        <v>322</v>
      </c>
      <c r="E179" s="63">
        <v>268.67</v>
      </c>
      <c r="F179" s="63">
        <v>268.67</v>
      </c>
      <c r="G179" s="63">
        <v>268.67</v>
      </c>
      <c r="H179" s="63">
        <v>268.67</v>
      </c>
      <c r="I179" s="63">
        <v>268.67</v>
      </c>
      <c r="J179" s="63">
        <v>268.67</v>
      </c>
      <c r="K179" s="63">
        <v>268.67</v>
      </c>
      <c r="L179" s="63">
        <v>268.67</v>
      </c>
      <c r="M179" s="63">
        <v>268.67</v>
      </c>
      <c r="N179" s="63">
        <v>268.67</v>
      </c>
      <c r="O179" s="63">
        <v>268.67</v>
      </c>
      <c r="P179" s="63">
        <v>268.67</v>
      </c>
      <c r="Q179" s="3">
        <f t="shared" si="24"/>
        <v>3224.0400000000004</v>
      </c>
      <c r="R179" s="39">
        <f>Q179/Summary!$Q$16</f>
        <v>9.6940894823356705E-5</v>
      </c>
      <c r="S179" s="35"/>
      <c r="T179" s="40" t="e">
        <f t="shared" si="23"/>
        <v>#DIV/0!</v>
      </c>
    </row>
    <row r="180" spans="1:20" s="3" customFormat="1" ht="24.95" customHeight="1">
      <c r="A180" s="271" t="s">
        <v>628</v>
      </c>
      <c r="B180" s="3" t="s">
        <v>1016</v>
      </c>
      <c r="D180" s="26" t="s">
        <v>324</v>
      </c>
      <c r="E180" s="63">
        <v>214.92999999999998</v>
      </c>
      <c r="F180" s="63">
        <v>214.92999999999998</v>
      </c>
      <c r="G180" s="63">
        <v>214.92999999999998</v>
      </c>
      <c r="H180" s="63">
        <v>214.92999999999998</v>
      </c>
      <c r="I180" s="63">
        <v>214.92999999999998</v>
      </c>
      <c r="J180" s="63">
        <v>214.92999999999998</v>
      </c>
      <c r="K180" s="63">
        <v>214.92999999999998</v>
      </c>
      <c r="L180" s="63">
        <v>214.92999999999998</v>
      </c>
      <c r="M180" s="63">
        <v>214.92999999999998</v>
      </c>
      <c r="N180" s="63">
        <v>214.92999999999998</v>
      </c>
      <c r="O180" s="63">
        <v>214.92999999999998</v>
      </c>
      <c r="P180" s="63">
        <v>214.92999999999998</v>
      </c>
      <c r="Q180" s="3">
        <f t="shared" si="24"/>
        <v>2579.16</v>
      </c>
      <c r="R180" s="39">
        <f>Q180/Summary!$Q$16</f>
        <v>7.7550550952410215E-5</v>
      </c>
      <c r="S180" s="35"/>
      <c r="T180" s="40" t="e">
        <f t="shared" si="23"/>
        <v>#DIV/0!</v>
      </c>
    </row>
    <row r="181" spans="1:20" s="3" customFormat="1" ht="24.95" customHeight="1">
      <c r="A181" s="271" t="s">
        <v>629</v>
      </c>
      <c r="B181" s="3" t="s">
        <v>1016</v>
      </c>
      <c r="D181" s="26" t="s">
        <v>326</v>
      </c>
      <c r="E181" s="63">
        <v>429.85999999999996</v>
      </c>
      <c r="F181" s="63">
        <v>429.85999999999996</v>
      </c>
      <c r="G181" s="63">
        <v>429.85999999999996</v>
      </c>
      <c r="H181" s="63">
        <v>429.85999999999996</v>
      </c>
      <c r="I181" s="63">
        <v>429.85999999999996</v>
      </c>
      <c r="J181" s="63">
        <v>429.85999999999996</v>
      </c>
      <c r="K181" s="63">
        <v>429.85999999999996</v>
      </c>
      <c r="L181" s="63">
        <v>429.85999999999996</v>
      </c>
      <c r="M181" s="63">
        <v>429.85999999999996</v>
      </c>
      <c r="N181" s="63">
        <v>429.85999999999996</v>
      </c>
      <c r="O181" s="63">
        <v>429.85999999999996</v>
      </c>
      <c r="P181" s="63">
        <v>429.85999999999996</v>
      </c>
      <c r="Q181" s="3">
        <f t="shared" si="24"/>
        <v>5158.32</v>
      </c>
      <c r="R181" s="39">
        <f>Q181/Summary!$Q$16</f>
        <v>1.5510110190482043E-4</v>
      </c>
      <c r="S181" s="35"/>
      <c r="T181" s="40" t="e">
        <f t="shared" si="23"/>
        <v>#DIV/0!</v>
      </c>
    </row>
    <row r="182" spans="1:20" s="3" customFormat="1" ht="24.95" customHeight="1">
      <c r="A182" s="271" t="s">
        <v>630</v>
      </c>
      <c r="B182" s="3" t="s">
        <v>1016</v>
      </c>
      <c r="D182" s="26" t="s">
        <v>328</v>
      </c>
      <c r="E182" s="63">
        <v>6984.3</v>
      </c>
      <c r="F182" s="63">
        <v>6984.3</v>
      </c>
      <c r="G182" s="63">
        <v>6984.3</v>
      </c>
      <c r="H182" s="63">
        <v>6984.3</v>
      </c>
      <c r="I182" s="63">
        <v>6984.3</v>
      </c>
      <c r="J182" s="63">
        <v>6984.3</v>
      </c>
      <c r="K182" s="63">
        <v>6984.3</v>
      </c>
      <c r="L182" s="63">
        <v>6984.3</v>
      </c>
      <c r="M182" s="63">
        <v>6984.3</v>
      </c>
      <c r="N182" s="63">
        <v>6984.3</v>
      </c>
      <c r="O182" s="63">
        <v>6984.3</v>
      </c>
      <c r="P182" s="63">
        <v>6984.3</v>
      </c>
      <c r="Q182" s="3">
        <f t="shared" si="24"/>
        <v>83811.60000000002</v>
      </c>
      <c r="R182" s="39">
        <f>Q182/Summary!$Q$16</f>
        <v>2.5200591495692496E-3</v>
      </c>
      <c r="S182" s="35"/>
      <c r="T182" s="40" t="e">
        <f t="shared" si="23"/>
        <v>#DIV/0!</v>
      </c>
    </row>
    <row r="183" spans="1:20" s="3" customFormat="1" ht="24.95" customHeight="1">
      <c r="A183" s="271" t="s">
        <v>631</v>
      </c>
      <c r="B183" s="3" t="s">
        <v>1016</v>
      </c>
      <c r="D183" s="26" t="s">
        <v>330</v>
      </c>
      <c r="E183" s="63">
        <f>ROUND(E166*0.02,2)</f>
        <v>1400.28</v>
      </c>
      <c r="F183" s="63">
        <f t="shared" ref="F183:P183" si="25">ROUND(F166*0.02,2)</f>
        <v>1400.28</v>
      </c>
      <c r="G183" s="63">
        <f t="shared" si="25"/>
        <v>1400.28</v>
      </c>
      <c r="H183" s="63">
        <f t="shared" si="25"/>
        <v>1400.28</v>
      </c>
      <c r="I183" s="63">
        <f t="shared" si="25"/>
        <v>1400.28</v>
      </c>
      <c r="J183" s="63">
        <f t="shared" si="25"/>
        <v>1400.28</v>
      </c>
      <c r="K183" s="63">
        <f t="shared" si="25"/>
        <v>1400.28</v>
      </c>
      <c r="L183" s="63">
        <f t="shared" si="25"/>
        <v>1400.28</v>
      </c>
      <c r="M183" s="63">
        <f t="shared" si="25"/>
        <v>1400.28</v>
      </c>
      <c r="N183" s="63">
        <f t="shared" si="25"/>
        <v>1400.28</v>
      </c>
      <c r="O183" s="63">
        <f t="shared" si="25"/>
        <v>1400.28</v>
      </c>
      <c r="P183" s="63">
        <f t="shared" si="25"/>
        <v>1400.28</v>
      </c>
      <c r="Q183" s="3">
        <f t="shared" si="24"/>
        <v>16803.360000000004</v>
      </c>
      <c r="R183" s="39">
        <f>Q183/Summary!$Q$16</f>
        <v>5.0524582649067611E-4</v>
      </c>
      <c r="S183" s="35"/>
      <c r="T183" s="40" t="e">
        <f t="shared" si="23"/>
        <v>#DIV/0!</v>
      </c>
    </row>
    <row r="184" spans="1:20" s="3" customFormat="1" ht="24.95" customHeight="1">
      <c r="A184" s="271" t="s">
        <v>632</v>
      </c>
      <c r="B184" s="3" t="s">
        <v>1016</v>
      </c>
      <c r="D184" s="26" t="s">
        <v>332</v>
      </c>
      <c r="E184" s="63"/>
      <c r="F184" s="27"/>
      <c r="G184" s="27"/>
      <c r="H184" s="27"/>
      <c r="I184" s="27"/>
      <c r="J184" s="27"/>
      <c r="K184" s="27"/>
      <c r="L184" s="27"/>
      <c r="M184" s="27"/>
      <c r="N184" s="27"/>
      <c r="O184" s="27"/>
      <c r="P184" s="27"/>
      <c r="Q184" s="3">
        <f t="shared" si="24"/>
        <v>0</v>
      </c>
      <c r="R184" s="39">
        <f>Q184/Summary!$Q$16</f>
        <v>0</v>
      </c>
      <c r="S184" s="35"/>
      <c r="T184" s="40">
        <f t="shared" si="23"/>
        <v>0</v>
      </c>
    </row>
    <row r="185" spans="1:20" s="19" customFormat="1" ht="24.95" customHeight="1">
      <c r="A185" s="54"/>
      <c r="B185" s="51"/>
      <c r="D185" s="19" t="s">
        <v>333</v>
      </c>
      <c r="E185" s="45">
        <f>SUM(E177:E184)</f>
        <v>21656.629999999997</v>
      </c>
      <c r="F185" s="45">
        <f t="shared" ref="F185:P185" si="26">SUM(F177:F184)</f>
        <v>21656.629999999997</v>
      </c>
      <c r="G185" s="45">
        <f t="shared" si="26"/>
        <v>21656.629999999997</v>
      </c>
      <c r="H185" s="45">
        <f t="shared" si="26"/>
        <v>21656.629999999997</v>
      </c>
      <c r="I185" s="45">
        <f t="shared" si="26"/>
        <v>21656.629999999997</v>
      </c>
      <c r="J185" s="45">
        <f t="shared" si="26"/>
        <v>21656.629999999997</v>
      </c>
      <c r="K185" s="45">
        <f t="shared" si="26"/>
        <v>21656.629999999997</v>
      </c>
      <c r="L185" s="45">
        <f t="shared" si="26"/>
        <v>21656.629999999997</v>
      </c>
      <c r="M185" s="45">
        <f t="shared" si="26"/>
        <v>21656.629999999997</v>
      </c>
      <c r="N185" s="45">
        <f t="shared" si="26"/>
        <v>21656.629999999997</v>
      </c>
      <c r="O185" s="45">
        <f t="shared" si="26"/>
        <v>21656.629999999997</v>
      </c>
      <c r="P185" s="45">
        <f t="shared" si="26"/>
        <v>21656.629999999997</v>
      </c>
      <c r="Q185" s="45">
        <f t="shared" ref="Q185" si="27">SUM(Q177:Q184)</f>
        <v>259879.56000000003</v>
      </c>
      <c r="R185" s="39">
        <f>Q185/Summary!$Q$16</f>
        <v>7.8140956975410406E-3</v>
      </c>
      <c r="S185" s="35"/>
      <c r="T185" s="40" t="e">
        <f t="shared" si="23"/>
        <v>#DIV/0!</v>
      </c>
    </row>
    <row r="186" spans="1:20" s="19" customFormat="1" ht="24.95" customHeight="1">
      <c r="A186" s="54"/>
      <c r="B186" s="51"/>
      <c r="D186" s="21"/>
      <c r="E186" s="55"/>
      <c r="F186" s="55"/>
      <c r="G186" s="55"/>
      <c r="H186" s="55"/>
      <c r="I186" s="55"/>
      <c r="S186" s="35"/>
      <c r="T186" s="40"/>
    </row>
    <row r="187" spans="1:20" s="3" customFormat="1" ht="24.95" hidden="1" customHeight="1">
      <c r="A187" s="271" t="s">
        <v>633</v>
      </c>
      <c r="B187" s="3" t="s">
        <v>1016</v>
      </c>
      <c r="D187" s="26" t="s">
        <v>335</v>
      </c>
      <c r="E187" s="63">
        <v>0</v>
      </c>
      <c r="F187" s="27">
        <v>0</v>
      </c>
      <c r="G187" s="27">
        <v>0</v>
      </c>
      <c r="H187" s="27">
        <v>0</v>
      </c>
      <c r="I187" s="27">
        <v>0</v>
      </c>
      <c r="J187" s="27">
        <v>0</v>
      </c>
      <c r="K187" s="27">
        <v>0</v>
      </c>
      <c r="L187" s="27">
        <v>0</v>
      </c>
      <c r="M187" s="27">
        <v>0</v>
      </c>
      <c r="N187" s="27">
        <v>0</v>
      </c>
      <c r="O187" s="27">
        <v>0</v>
      </c>
      <c r="P187" s="27">
        <v>0</v>
      </c>
      <c r="Q187" s="3">
        <f>SUM(E187:P187)</f>
        <v>0</v>
      </c>
      <c r="R187" s="39">
        <f>Q187/Summary!$Q$16</f>
        <v>0</v>
      </c>
      <c r="S187" s="35"/>
      <c r="T187" s="40">
        <f t="shared" ref="T187:T195" si="28">-IF(Q187-S187=0,0,(Q187-S187)/S187)</f>
        <v>0</v>
      </c>
    </row>
    <row r="188" spans="1:20" s="3" customFormat="1" ht="24.95" hidden="1" customHeight="1">
      <c r="A188" s="271" t="s">
        <v>634</v>
      </c>
      <c r="B188" s="3" t="s">
        <v>1016</v>
      </c>
      <c r="D188" s="3" t="s">
        <v>337</v>
      </c>
      <c r="E188" s="63">
        <v>0</v>
      </c>
      <c r="F188" s="27">
        <v>0</v>
      </c>
      <c r="G188" s="27">
        <v>0</v>
      </c>
      <c r="H188" s="27">
        <v>0</v>
      </c>
      <c r="I188" s="27">
        <v>0</v>
      </c>
      <c r="J188" s="27">
        <v>0</v>
      </c>
      <c r="K188" s="27">
        <v>0</v>
      </c>
      <c r="L188" s="27">
        <v>0</v>
      </c>
      <c r="M188" s="27">
        <v>0</v>
      </c>
      <c r="N188" s="27">
        <v>0</v>
      </c>
      <c r="O188" s="27">
        <v>0</v>
      </c>
      <c r="P188" s="27">
        <v>0</v>
      </c>
      <c r="Q188" s="3">
        <f t="shared" ref="Q188:Q193" si="29">SUM(E188:P188)</f>
        <v>0</v>
      </c>
      <c r="R188" s="39">
        <f>Q188/Summary!$Q$16</f>
        <v>0</v>
      </c>
      <c r="S188" s="35"/>
      <c r="T188" s="40">
        <f t="shared" si="28"/>
        <v>0</v>
      </c>
    </row>
    <row r="189" spans="1:20" s="3" customFormat="1" ht="24.95" hidden="1" customHeight="1">
      <c r="A189" s="271" t="s">
        <v>635</v>
      </c>
      <c r="B189" s="3" t="s">
        <v>1016</v>
      </c>
      <c r="D189" s="26" t="s">
        <v>339</v>
      </c>
      <c r="E189" s="63">
        <v>0</v>
      </c>
      <c r="F189" s="27">
        <v>0</v>
      </c>
      <c r="G189" s="27">
        <v>0</v>
      </c>
      <c r="H189" s="27">
        <v>0</v>
      </c>
      <c r="I189" s="27">
        <v>0</v>
      </c>
      <c r="J189" s="27">
        <v>0</v>
      </c>
      <c r="K189" s="27">
        <v>0</v>
      </c>
      <c r="L189" s="27">
        <v>0</v>
      </c>
      <c r="M189" s="27">
        <v>0</v>
      </c>
      <c r="N189" s="27">
        <v>0</v>
      </c>
      <c r="O189" s="27">
        <v>0</v>
      </c>
      <c r="P189" s="27">
        <v>0</v>
      </c>
      <c r="Q189" s="3">
        <f t="shared" si="29"/>
        <v>0</v>
      </c>
      <c r="R189" s="39">
        <f>Q189/Summary!$Q$16</f>
        <v>0</v>
      </c>
      <c r="S189" s="35"/>
      <c r="T189" s="40">
        <f t="shared" si="28"/>
        <v>0</v>
      </c>
    </row>
    <row r="190" spans="1:20" s="3" customFormat="1" ht="24.95" hidden="1" customHeight="1">
      <c r="A190" s="271" t="s">
        <v>636</v>
      </c>
      <c r="B190" s="3" t="s">
        <v>1016</v>
      </c>
      <c r="D190" s="26" t="s">
        <v>341</v>
      </c>
      <c r="E190" s="63">
        <v>0</v>
      </c>
      <c r="F190" s="27">
        <v>0</v>
      </c>
      <c r="G190" s="27">
        <v>0</v>
      </c>
      <c r="H190" s="27">
        <v>0</v>
      </c>
      <c r="I190" s="27">
        <v>0</v>
      </c>
      <c r="J190" s="27">
        <v>0</v>
      </c>
      <c r="K190" s="27">
        <v>0</v>
      </c>
      <c r="L190" s="27">
        <v>0</v>
      </c>
      <c r="M190" s="27">
        <v>0</v>
      </c>
      <c r="N190" s="27">
        <v>0</v>
      </c>
      <c r="O190" s="27">
        <v>0</v>
      </c>
      <c r="P190" s="27">
        <v>0</v>
      </c>
      <c r="Q190" s="3">
        <f t="shared" si="29"/>
        <v>0</v>
      </c>
      <c r="R190" s="39">
        <f>Q190/Summary!$Q$16</f>
        <v>0</v>
      </c>
      <c r="S190" s="35"/>
      <c r="T190" s="40">
        <f t="shared" si="28"/>
        <v>0</v>
      </c>
    </row>
    <row r="191" spans="1:20" s="3" customFormat="1" ht="24.95" customHeight="1">
      <c r="A191" s="271" t="s">
        <v>637</v>
      </c>
      <c r="B191" s="3" t="s">
        <v>1016</v>
      </c>
      <c r="D191" s="26" t="s">
        <v>343</v>
      </c>
      <c r="E191" s="63"/>
      <c r="F191" s="27"/>
      <c r="G191" s="27"/>
      <c r="H191" s="27"/>
      <c r="I191" s="27"/>
      <c r="J191" s="27"/>
      <c r="K191" s="27"/>
      <c r="L191" s="27"/>
      <c r="M191" s="27"/>
      <c r="N191" s="27"/>
      <c r="O191" s="27"/>
      <c r="P191" s="27"/>
      <c r="Q191" s="3">
        <f t="shared" si="29"/>
        <v>0</v>
      </c>
      <c r="R191" s="39">
        <f>Q191/Summary!$Q$16</f>
        <v>0</v>
      </c>
      <c r="S191" s="35"/>
      <c r="T191" s="40">
        <f t="shared" si="28"/>
        <v>0</v>
      </c>
    </row>
    <row r="192" spans="1:20" s="3" customFormat="1" ht="24.95" customHeight="1">
      <c r="A192" s="271" t="s">
        <v>344</v>
      </c>
      <c r="B192" s="3" t="s">
        <v>1016</v>
      </c>
      <c r="D192" s="26" t="s">
        <v>345</v>
      </c>
      <c r="E192" s="63"/>
      <c r="F192" s="27"/>
      <c r="G192" s="27"/>
      <c r="H192" s="27"/>
      <c r="I192" s="27"/>
      <c r="J192" s="27"/>
      <c r="K192" s="27"/>
      <c r="L192" s="27"/>
      <c r="M192" s="27"/>
      <c r="N192" s="27"/>
      <c r="O192" s="27"/>
      <c r="P192" s="27"/>
      <c r="Q192" s="3">
        <f t="shared" si="29"/>
        <v>0</v>
      </c>
      <c r="R192" s="39">
        <f>Q192/Summary!$Q$16</f>
        <v>0</v>
      </c>
      <c r="S192" s="35"/>
      <c r="T192" s="40">
        <f t="shared" si="28"/>
        <v>0</v>
      </c>
    </row>
    <row r="193" spans="1:20" s="3" customFormat="1" ht="24.95" customHeight="1">
      <c r="A193" s="3" t="s">
        <v>640</v>
      </c>
      <c r="B193" s="3" t="s">
        <v>1016</v>
      </c>
      <c r="D193" s="26" t="s">
        <v>347</v>
      </c>
      <c r="E193" s="63">
        <f>'Staff Canteen'!E207</f>
        <v>1825.65</v>
      </c>
      <c r="F193" s="63">
        <f>'Staff Canteen'!F207</f>
        <v>1908.26</v>
      </c>
      <c r="G193" s="63">
        <f>'Staff Canteen'!G207</f>
        <v>1784.35</v>
      </c>
      <c r="H193" s="63">
        <f>'Staff Canteen'!H207</f>
        <v>1825.65</v>
      </c>
      <c r="I193" s="63">
        <f>'Staff Canteen'!I207</f>
        <v>1825.65</v>
      </c>
      <c r="J193" s="63">
        <f>'Staff Canteen'!J207</f>
        <v>1825.65</v>
      </c>
      <c r="K193" s="63">
        <f>'Staff Canteen'!K207</f>
        <v>1784.35</v>
      </c>
      <c r="L193" s="63">
        <f>'Staff Canteen'!L207</f>
        <v>1784.35</v>
      </c>
      <c r="M193" s="63">
        <f>'Staff Canteen'!M207</f>
        <v>1825.65</v>
      </c>
      <c r="N193" s="63">
        <f>'Staff Canteen'!N207</f>
        <v>1908.26</v>
      </c>
      <c r="O193" s="63">
        <f>'Staff Canteen'!O207</f>
        <v>1784.35</v>
      </c>
      <c r="P193" s="63">
        <f>'Staff Canteen'!P207</f>
        <v>1784.35</v>
      </c>
      <c r="Q193" s="3">
        <f t="shared" si="29"/>
        <v>21866.519999999997</v>
      </c>
      <c r="R193" s="39">
        <f>Q193/Summary!$Q$16</f>
        <v>6.5748564393519474E-4</v>
      </c>
      <c r="S193" s="35"/>
      <c r="T193" s="40" t="e">
        <f t="shared" si="28"/>
        <v>#DIV/0!</v>
      </c>
    </row>
    <row r="194" spans="1:20" s="3" customFormat="1" ht="24.95" customHeight="1">
      <c r="A194" s="54"/>
      <c r="B194" s="51"/>
      <c r="D194" s="19" t="s">
        <v>348</v>
      </c>
      <c r="E194" s="52">
        <f>SUM(E187:E193)</f>
        <v>1825.65</v>
      </c>
      <c r="F194" s="52">
        <f t="shared" ref="F194:P194" si="30">SUM(F187:F193)</f>
        <v>1908.26</v>
      </c>
      <c r="G194" s="52">
        <f t="shared" si="30"/>
        <v>1784.35</v>
      </c>
      <c r="H194" s="52">
        <f t="shared" si="30"/>
        <v>1825.65</v>
      </c>
      <c r="I194" s="52">
        <f t="shared" si="30"/>
        <v>1825.65</v>
      </c>
      <c r="J194" s="52">
        <f t="shared" si="30"/>
        <v>1825.65</v>
      </c>
      <c r="K194" s="52">
        <f t="shared" si="30"/>
        <v>1784.35</v>
      </c>
      <c r="L194" s="52">
        <f t="shared" si="30"/>
        <v>1784.35</v>
      </c>
      <c r="M194" s="52">
        <f t="shared" si="30"/>
        <v>1825.65</v>
      </c>
      <c r="N194" s="52">
        <f t="shared" si="30"/>
        <v>1908.26</v>
      </c>
      <c r="O194" s="52">
        <f t="shared" si="30"/>
        <v>1784.35</v>
      </c>
      <c r="P194" s="52">
        <f t="shared" si="30"/>
        <v>1784.35</v>
      </c>
      <c r="Q194" s="52">
        <f t="shared" ref="Q194" si="31">SUM(Q187:Q193)</f>
        <v>21866.519999999997</v>
      </c>
      <c r="R194" s="39">
        <f>Q194/Summary!$Q$16</f>
        <v>6.5748564393519474E-4</v>
      </c>
      <c r="S194" s="35"/>
      <c r="T194" s="40" t="e">
        <f t="shared" si="28"/>
        <v>#DIV/0!</v>
      </c>
    </row>
    <row r="195" spans="1:20" s="3" customFormat="1" ht="24.95" customHeight="1">
      <c r="A195" s="54"/>
      <c r="B195" s="51"/>
      <c r="D195" s="19" t="s">
        <v>349</v>
      </c>
      <c r="E195" s="350">
        <f>E166+E175+E185+E194</f>
        <v>102248.03</v>
      </c>
      <c r="F195" s="350">
        <f t="shared" ref="F195:Q195" si="32">F166+F175+F185+F194</f>
        <v>102330.64</v>
      </c>
      <c r="G195" s="350">
        <f t="shared" si="32"/>
        <v>102206.73000000001</v>
      </c>
      <c r="H195" s="350">
        <f>H166+H175+H185+H194</f>
        <v>102248.03</v>
      </c>
      <c r="I195" s="350">
        <f t="shared" si="32"/>
        <v>102248.03</v>
      </c>
      <c r="J195" s="350">
        <f t="shared" si="32"/>
        <v>102248.03</v>
      </c>
      <c r="K195" s="350">
        <f t="shared" si="32"/>
        <v>102206.73000000001</v>
      </c>
      <c r="L195" s="350">
        <f t="shared" si="32"/>
        <v>102206.73000000001</v>
      </c>
      <c r="M195" s="350">
        <f t="shared" si="32"/>
        <v>102248.03</v>
      </c>
      <c r="N195" s="350">
        <f t="shared" si="32"/>
        <v>102330.64</v>
      </c>
      <c r="O195" s="350">
        <f t="shared" si="32"/>
        <v>102206.73000000001</v>
      </c>
      <c r="P195" s="350">
        <f t="shared" si="32"/>
        <v>102206.73000000001</v>
      </c>
      <c r="Q195" s="350">
        <f t="shared" si="32"/>
        <v>1226935.08</v>
      </c>
      <c r="R195" s="39">
        <f>Q195/Summary!$Q$16</f>
        <v>3.6891659081576759E-2</v>
      </c>
      <c r="S195" s="35"/>
      <c r="T195" s="40" t="e">
        <f t="shared" si="28"/>
        <v>#DIV/0!</v>
      </c>
    </row>
    <row r="196" spans="1:20" s="3" customFormat="1" ht="24.95" customHeight="1">
      <c r="A196" s="54"/>
      <c r="B196" s="51"/>
      <c r="D196" s="21"/>
      <c r="E196" s="53"/>
      <c r="F196" s="53"/>
      <c r="G196" s="53"/>
      <c r="H196" s="53"/>
      <c r="I196" s="53"/>
      <c r="S196" s="35"/>
      <c r="T196" s="40"/>
    </row>
    <row r="197" spans="1:20" s="3" customFormat="1" ht="24.95" customHeight="1">
      <c r="A197" s="50" t="s">
        <v>105</v>
      </c>
      <c r="B197" s="3" t="s">
        <v>1016</v>
      </c>
      <c r="D197" s="19" t="s">
        <v>352</v>
      </c>
      <c r="E197" s="27">
        <v>5</v>
      </c>
      <c r="F197" s="27">
        <v>5</v>
      </c>
      <c r="G197" s="27">
        <v>5</v>
      </c>
      <c r="H197" s="27">
        <v>5</v>
      </c>
      <c r="I197" s="27">
        <v>5</v>
      </c>
      <c r="J197" s="27">
        <v>5</v>
      </c>
      <c r="K197" s="27">
        <v>5</v>
      </c>
      <c r="L197" s="27">
        <v>5</v>
      </c>
      <c r="M197" s="27">
        <v>5</v>
      </c>
      <c r="N197" s="27">
        <v>5</v>
      </c>
      <c r="O197" s="27">
        <v>5</v>
      </c>
      <c r="P197" s="27">
        <v>5</v>
      </c>
      <c r="Q197" s="27">
        <v>5</v>
      </c>
      <c r="S197" s="35"/>
      <c r="T197" s="40" t="e">
        <f>-IF(Q197-S197=0,0,(Q197-S197)/S197)</f>
        <v>#DIV/0!</v>
      </c>
    </row>
    <row r="198" spans="1:20" ht="26.25" customHeight="1">
      <c r="Q198" s="27"/>
    </row>
  </sheetData>
  <phoneticPr fontId="57" type="noConversion"/>
  <dataValidations count="37">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418.5_x000d__x000a_" sqref="F50:P50">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0_x000d__x000a_" sqref="E158:Q158">
      <formula1>0</formula1>
      <formula2>300</formula2>
    </dataValidation>
    <dataValidation type="textLength" errorStyle="information" allowBlank="1" showInputMessage="1" showErrorMessage="1" error="XLBVal:6=3239.86_x000d__x000a_" sqref="E159:Q159">
      <formula1>0</formula1>
      <formula2>300</formula2>
    </dataValidation>
    <dataValidation type="textLength" errorStyle="information" allowBlank="1" showInputMessage="1" showErrorMessage="1" error="XLBVal:6=266145.85_x000d__x000a_" sqref="E160:P160">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sqref="H186:I186 E162:I163 F194:Q195 F196:I196 H167:I167 H176:I176 E194:E196">
      <formula1>0</formula1>
      <formula2>300</formula2>
    </dataValidation>
    <dataValidation type="textLength" errorStyle="information" allowBlank="1" showInputMessage="1" showErrorMessage="1" error="XLBVal:2=0_x000d__x000a_" sqref="E27:P42 E15:E25 F13:F25 Q26:Q157 Q164:Q165 Q187:Q193 F51:P69 E91:P157 E44:P49 E73:P80 G15:Q25 E168:P168 E192 E50:E69 F187:P192 E187:E190 E171:P174 E71:P71 E82:P89 E184:P184">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6=435_x000d__x000a_" sqref="F170:P170">
      <formula1>0</formula1>
      <formula2>300</formula2>
    </dataValidation>
    <dataValidation type="textLength" errorStyle="information" allowBlank="1" showInputMessage="1" showErrorMessage="1" error="XLBVal:6=3678_x000d__x000a_" sqref="F186:G186 F185:Q185 E185:E186">
      <formula1>0</formula1>
      <formula2>300</formula2>
    </dataValidation>
    <dataValidation type="textLength" errorStyle="information" allowBlank="1" showInputMessage="1" showErrorMessage="1" error="XLBVal:6=3_x000d__x000a_" sqref="E197:Q197">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69013_x000d__x000a_" sqref="Q168:Q174">
      <formula1>0</formula1>
      <formula2>300</formula2>
    </dataValidation>
    <dataValidation type="textLength" errorStyle="information" allowBlank="1" showInputMessage="1" showErrorMessage="1" error="XLBVal:6=1293444_x000d__x000a_" sqref="Q177:Q184">
      <formula1>0</formula1>
      <formula2>300</formula2>
    </dataValidation>
    <dataValidation type="textLength" errorStyle="information" allowBlank="1" showInputMessage="1" showErrorMessage="1" error="XLBVal:6=4638.36_x000d__x000a_" sqref="E90:P90">
      <formula1>0</formula1>
      <formula2>300</formula2>
    </dataValidation>
    <dataValidation type="textLength" errorStyle="information" allowBlank="1" showInputMessage="1" showErrorMessage="1" error="XLBVal:6=102.56_x000d__x000a_" sqref="E43:P43">
      <formula1>0</formula1>
      <formula2>300</formula2>
    </dataValidation>
    <dataValidation type="textLength" errorStyle="information" allowBlank="1" showInputMessage="1" showErrorMessage="1" error="XLBVal:6=1470.9_x000d__x000a_" sqref="E70:P70">
      <formula1>0</formula1>
      <formula2>300</formula2>
    </dataValidation>
    <dataValidation type="textLength" errorStyle="information" allowBlank="1" showInputMessage="1" showErrorMessage="1" error="XLBVal:6=2987.42_x000d__x000a_" sqref="E81:P81">
      <formula1>0</formula1>
      <formula2>300</formula2>
    </dataValidation>
    <dataValidation type="textLength" errorStyle="information" allowBlank="1" showInputMessage="1" showErrorMessage="1" error="XLBVal:6=4420.83_x000d__x000a_" sqref="E26:P26">
      <formula1>0</formula1>
      <formula2>300</formula2>
    </dataValidation>
    <dataValidation type="textLength" errorStyle="information" allowBlank="1" showInputMessage="1" showErrorMessage="1" error="XLBVal:6=575.29_x000d__x000a_" sqref="E72:P72">
      <formula1>0</formula1>
      <formula2>300</formula2>
    </dataValidation>
    <dataValidation type="textLength" errorStyle="information" allowBlank="1" showInputMessage="1" showErrorMessage="1" error="XLBVal:6=1880_x000d__x000a_" sqref="E183:P183">
      <formula1>0</formula1>
      <formula2>300</formula2>
    </dataValidation>
    <dataValidation type="textLength" errorStyle="information" allowBlank="1" showInputMessage="1" showErrorMessage="1" error="XLBVal:6=383.14_x000d__x000a_" sqref="E181:P181">
      <formula1>0</formula1>
      <formula2>300</formula2>
    </dataValidation>
    <dataValidation type="textLength" errorStyle="information" allowBlank="1" showInputMessage="1" showErrorMessage="1" error="XLBVal:6=4000_x000d__x000a_" sqref="E170 E165:P165">
      <formula1>0</formula1>
      <formula2>300</formula2>
    </dataValidation>
    <dataValidation type="textLength" errorStyle="information" allowBlank="1" showInputMessage="1" showErrorMessage="1" error="XLBVal:6=1768.22_x000d__x000a_" sqref="E193:P193">
      <formula1>0</formula1>
      <formula2>300</formula2>
    </dataValidation>
    <dataValidation type="textLength" errorStyle="information" allowBlank="1" showInputMessage="1" showErrorMessage="1" error="XLBVal:6=262.89_x000d__x000a_" sqref="E179:P179">
      <formula1>0</formula1>
      <formula2>300</formula2>
    </dataValidation>
    <dataValidation type="textLength" errorStyle="information" allowBlank="1" showInputMessage="1" showErrorMessage="1" error="XLBVal:6=3831.36_x000d__x000a_" sqref="E178:P178">
      <formula1>0</formula1>
      <formula2>300</formula2>
    </dataValidation>
    <dataValidation type="textLength" errorStyle="information" allowBlank="1" showInputMessage="1" showErrorMessage="1" error="XLBVal:6=8412.48_x000d__x000a_" sqref="E177:P177">
      <formula1>0</formula1>
      <formula2>300</formula2>
    </dataValidation>
    <dataValidation type="textLength" errorStyle="information" allowBlank="1" showInputMessage="1" showErrorMessage="1" error="XLBVal:6=7206_x000d__x000a_" sqref="E182:P182">
      <formula1>0</formula1>
      <formula2>300</formula2>
    </dataValidation>
    <dataValidation type="textLength" errorStyle="information" allowBlank="1" showInputMessage="1" showErrorMessage="1" error="XLBVal:6=210.32_x000d__x000a_" sqref="E180:P180">
      <formula1>0</formula1>
      <formula2>300</formula2>
    </dataValidation>
    <dataValidation type="textLength" errorStyle="information" allowBlank="1" showInputMessage="1" showErrorMessage="1" error="XLBVal:6=86000_x000d__x000a_" sqref="E164:P164">
      <formula1>0</formula1>
      <formula2>300</formula2>
    </dataValidation>
    <dataValidation type="textLength" errorStyle="information" allowBlank="1" showInputMessage="1" showErrorMessage="1" error="XLBVal:6=7500_x000d__x000a_" sqref="E169:P169">
      <formula1>0</formula1>
      <formula2>300</formula2>
    </dataValidation>
    <dataValidation type="textLength" errorStyle="information" allowBlank="1" showInputMessage="1" showErrorMessage="1" error="XLBVal:6=6202.5_x000d__x000a_" sqref="E191">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legacy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1">
    <tabColor rgb="FF00B050"/>
  </sheetPr>
  <dimension ref="A1:T197"/>
  <sheetViews>
    <sheetView zoomScale="50" zoomScaleNormal="50" zoomScaleSheetLayoutView="40" workbookViewId="0">
      <pane xSplit="4" ySplit="11" topLeftCell="E12" activePane="bottomRight" state="frozen"/>
      <selection activeCell="D1" sqref="D1"/>
      <selection pane="topRight" activeCell="E1" sqref="E1"/>
      <selection pane="bottomLeft" activeCell="D12" sqref="D12"/>
      <selection pane="bottomRight" activeCell="Z68" sqref="Z68"/>
    </sheetView>
  </sheetViews>
  <sheetFormatPr defaultColWidth="8.875" defaultRowHeight="26.25" customHeight="1" outlineLevelRow="1" outlineLevelCol="1"/>
  <cols>
    <col min="1" max="3" width="15.5" style="5" hidden="1" customWidth="1" outlineLevel="1"/>
    <col min="4" max="4" width="67" style="6" customWidth="1" collapsed="1"/>
    <col min="5" max="9" width="19.875" style="7" customWidth="1"/>
    <col min="10" max="12" width="19.875" style="5" customWidth="1"/>
    <col min="13" max="16" width="20.875" style="5" customWidth="1"/>
    <col min="17" max="17" width="27.5" style="5" customWidth="1"/>
    <col min="18" max="18" width="12" style="5" customWidth="1"/>
    <col min="19" max="19" width="22.5" style="8" hidden="1" customWidth="1"/>
    <col min="20" max="20" width="22.5" style="5" hidden="1" customWidth="1"/>
    <col min="21" max="21" width="28.375" style="5" customWidth="1"/>
    <col min="22" max="22" width="27.125" style="5" customWidth="1"/>
    <col min="23"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11"/>
      <c r="G4" s="12"/>
      <c r="H4" s="13"/>
      <c r="I4" s="13"/>
      <c r="S4" s="33"/>
    </row>
    <row r="5" spans="1:20" s="2" customFormat="1" ht="24.95" customHeight="1">
      <c r="D5" s="10" t="str">
        <f>Summary!$D$5</f>
        <v>酒店预算报表</v>
      </c>
      <c r="E5" s="11"/>
      <c r="F5" s="11"/>
      <c r="G5" s="12"/>
      <c r="H5" s="13"/>
      <c r="I5" s="13"/>
      <c r="S5" s="33"/>
    </row>
    <row r="6" spans="1:20" s="2" customFormat="1" ht="24.95" customHeight="1">
      <c r="D6" s="14" t="s">
        <v>1017</v>
      </c>
      <c r="E6" s="13"/>
      <c r="F6" s="13"/>
      <c r="G6" s="13"/>
      <c r="H6" s="13"/>
      <c r="I6" s="13"/>
      <c r="S6" s="33"/>
    </row>
    <row r="7" spans="1:20" s="2" customFormat="1" ht="24.95" customHeight="1">
      <c r="D7" s="15" t="s">
        <v>1204</v>
      </c>
      <c r="E7" s="13"/>
      <c r="F7" s="13"/>
      <c r="G7" s="13"/>
      <c r="H7" s="13"/>
      <c r="I7" s="13"/>
      <c r="S7" s="33"/>
    </row>
    <row r="8" spans="1:20" ht="24.95" customHeight="1">
      <c r="D8" s="16"/>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D11" s="21"/>
      <c r="E11" s="22"/>
      <c r="F11" s="22"/>
      <c r="G11" s="22"/>
      <c r="H11" s="23"/>
      <c r="I11" s="23"/>
      <c r="S11" s="35"/>
    </row>
    <row r="12" spans="1:20" s="3" customFormat="1" ht="24.95" customHeight="1">
      <c r="A12" s="3" t="s">
        <v>482</v>
      </c>
      <c r="B12" s="3" t="s">
        <v>1018</v>
      </c>
      <c r="D12" s="21" t="s">
        <v>137</v>
      </c>
      <c r="E12" s="43">
        <f>+E195</f>
        <v>88823.010000000009</v>
      </c>
      <c r="F12" s="43">
        <f t="shared" ref="F12:P12" si="0">+F195</f>
        <v>89180.98000000001</v>
      </c>
      <c r="G12" s="43">
        <f t="shared" si="0"/>
        <v>84836.3</v>
      </c>
      <c r="H12" s="43">
        <f t="shared" si="0"/>
        <v>85015.290000000008</v>
      </c>
      <c r="I12" s="43">
        <f t="shared" si="0"/>
        <v>88918.209999999992</v>
      </c>
      <c r="J12" s="43">
        <f t="shared" si="0"/>
        <v>85015.290000000008</v>
      </c>
      <c r="K12" s="43">
        <f t="shared" si="0"/>
        <v>84836.3</v>
      </c>
      <c r="L12" s="43">
        <f t="shared" si="0"/>
        <v>84836.3</v>
      </c>
      <c r="M12" s="43">
        <f t="shared" si="0"/>
        <v>85015.290000000008</v>
      </c>
      <c r="N12" s="43">
        <f t="shared" si="0"/>
        <v>89276.18</v>
      </c>
      <c r="O12" s="43">
        <f t="shared" si="0"/>
        <v>84836.3</v>
      </c>
      <c r="P12" s="43">
        <f t="shared" si="0"/>
        <v>84836.3</v>
      </c>
      <c r="Q12" s="43">
        <f>SUM(E12:P12)</f>
        <v>1035425.7500000002</v>
      </c>
      <c r="R12" s="39">
        <f>Q12/Summary!$Q$16</f>
        <v>3.1133329216804149E-2</v>
      </c>
      <c r="S12" s="35"/>
      <c r="T12" s="40" t="e">
        <f>-IF(Q12-S12=0,0,(Q12-S12)/S12)</f>
        <v>#DIV/0!</v>
      </c>
    </row>
    <row r="13" spans="1:20" s="3" customFormat="1" ht="24.95" customHeight="1">
      <c r="D13" s="26"/>
      <c r="E13" s="24"/>
      <c r="F13" s="24"/>
      <c r="G13" s="24"/>
      <c r="H13" s="25"/>
      <c r="I13" s="25"/>
      <c r="S13" s="35"/>
      <c r="T13" s="40"/>
    </row>
    <row r="14" spans="1:20" s="3" customFormat="1" ht="24.95" customHeight="1">
      <c r="D14" s="21" t="s">
        <v>138</v>
      </c>
      <c r="E14" s="24"/>
      <c r="F14" s="24"/>
      <c r="G14" s="24"/>
      <c r="H14" s="25"/>
      <c r="I14" s="25"/>
      <c r="S14" s="35"/>
      <c r="T14" s="40"/>
    </row>
    <row r="15" spans="1:20" s="3" customFormat="1" ht="24.95" hidden="1" customHeight="1">
      <c r="A15" s="3" t="s">
        <v>484</v>
      </c>
      <c r="B15" s="3" t="s">
        <v>1018</v>
      </c>
      <c r="D15" s="26" t="s">
        <v>485</v>
      </c>
      <c r="E15" s="27">
        <v>0</v>
      </c>
      <c r="F15" s="27">
        <v>0</v>
      </c>
      <c r="G15" s="27">
        <v>0</v>
      </c>
      <c r="H15" s="27">
        <v>0</v>
      </c>
      <c r="I15" s="27">
        <v>0</v>
      </c>
      <c r="J15" s="27">
        <v>0</v>
      </c>
      <c r="K15" s="27">
        <v>0</v>
      </c>
      <c r="L15" s="27">
        <v>0</v>
      </c>
      <c r="M15" s="27">
        <v>0</v>
      </c>
      <c r="N15" s="27">
        <v>0</v>
      </c>
      <c r="O15" s="27">
        <v>0</v>
      </c>
      <c r="P15" s="27">
        <v>0</v>
      </c>
      <c r="Q15" s="3">
        <f>SUM(E15:P15)</f>
        <v>0</v>
      </c>
      <c r="R15" s="39">
        <f>Q15/Summary!$Q$16</f>
        <v>0</v>
      </c>
      <c r="S15" s="35"/>
      <c r="T15" s="40">
        <f t="shared" ref="T15:T25" si="1">IF(Q15-S15=0,0,(Q15-S15)/S15)</f>
        <v>0</v>
      </c>
    </row>
    <row r="16" spans="1:20" s="3" customFormat="1" ht="24.95" hidden="1" customHeight="1">
      <c r="A16" s="3" t="s">
        <v>486</v>
      </c>
      <c r="B16" s="3" t="s">
        <v>1018</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R16" s="39">
        <f>Q16/Summary!$Q$16</f>
        <v>0</v>
      </c>
      <c r="S16" s="35"/>
      <c r="T16" s="40">
        <f t="shared" si="1"/>
        <v>0</v>
      </c>
    </row>
    <row r="17" spans="1:20" s="3" customFormat="1" ht="24.95" hidden="1" customHeight="1">
      <c r="A17" s="3" t="s">
        <v>488</v>
      </c>
      <c r="B17" s="3" t="s">
        <v>1018</v>
      </c>
      <c r="D17" s="26" t="s">
        <v>489</v>
      </c>
      <c r="E17" s="27">
        <v>0</v>
      </c>
      <c r="F17" s="27">
        <v>0</v>
      </c>
      <c r="G17" s="27">
        <v>0</v>
      </c>
      <c r="H17" s="27">
        <v>0</v>
      </c>
      <c r="I17" s="27">
        <v>0</v>
      </c>
      <c r="J17" s="27">
        <v>0</v>
      </c>
      <c r="K17" s="27">
        <v>0</v>
      </c>
      <c r="L17" s="27">
        <v>0</v>
      </c>
      <c r="M17" s="27">
        <v>0</v>
      </c>
      <c r="N17" s="27">
        <v>0</v>
      </c>
      <c r="O17" s="27">
        <v>0</v>
      </c>
      <c r="P17" s="27">
        <v>0</v>
      </c>
      <c r="Q17" s="3">
        <f t="shared" si="2"/>
        <v>0</v>
      </c>
      <c r="R17" s="39">
        <f>Q17/Summary!$Q$16</f>
        <v>0</v>
      </c>
      <c r="S17" s="35"/>
      <c r="T17" s="40">
        <f t="shared" si="1"/>
        <v>0</v>
      </c>
    </row>
    <row r="18" spans="1:20" s="3" customFormat="1" ht="24.95" hidden="1" customHeight="1">
      <c r="A18" s="3" t="s">
        <v>490</v>
      </c>
      <c r="B18" s="3" t="s">
        <v>1018</v>
      </c>
      <c r="D18" s="26" t="s">
        <v>491</v>
      </c>
      <c r="E18" s="27">
        <v>0</v>
      </c>
      <c r="F18" s="27">
        <v>0</v>
      </c>
      <c r="G18" s="27">
        <v>0</v>
      </c>
      <c r="H18" s="27">
        <v>0</v>
      </c>
      <c r="I18" s="27">
        <v>0</v>
      </c>
      <c r="J18" s="27">
        <v>0</v>
      </c>
      <c r="K18" s="27">
        <v>0</v>
      </c>
      <c r="L18" s="27">
        <v>0</v>
      </c>
      <c r="M18" s="27">
        <v>0</v>
      </c>
      <c r="N18" s="27">
        <v>0</v>
      </c>
      <c r="O18" s="27">
        <v>0</v>
      </c>
      <c r="P18" s="27">
        <v>0</v>
      </c>
      <c r="Q18" s="3">
        <f t="shared" si="2"/>
        <v>0</v>
      </c>
      <c r="R18" s="39">
        <f>Q18/Summary!$Q$16</f>
        <v>0</v>
      </c>
      <c r="S18" s="35"/>
      <c r="T18" s="40">
        <f t="shared" si="1"/>
        <v>0</v>
      </c>
    </row>
    <row r="19" spans="1:20" s="3" customFormat="1" ht="24.95" hidden="1" customHeight="1">
      <c r="A19" s="3" t="s">
        <v>492</v>
      </c>
      <c r="B19" s="3" t="s">
        <v>1018</v>
      </c>
      <c r="D19" s="29" t="s">
        <v>493</v>
      </c>
      <c r="E19" s="27">
        <v>0</v>
      </c>
      <c r="F19" s="27">
        <v>0</v>
      </c>
      <c r="G19" s="27">
        <v>0</v>
      </c>
      <c r="H19" s="27">
        <v>0</v>
      </c>
      <c r="I19" s="27">
        <v>0</v>
      </c>
      <c r="J19" s="27">
        <v>0</v>
      </c>
      <c r="K19" s="27">
        <v>0</v>
      </c>
      <c r="L19" s="27">
        <v>0</v>
      </c>
      <c r="M19" s="27">
        <v>0</v>
      </c>
      <c r="N19" s="27">
        <v>0</v>
      </c>
      <c r="O19" s="27">
        <v>0</v>
      </c>
      <c r="P19" s="27">
        <v>0</v>
      </c>
      <c r="Q19" s="3">
        <f t="shared" si="2"/>
        <v>0</v>
      </c>
      <c r="R19" s="39">
        <f>Q19/Summary!$Q$16</f>
        <v>0</v>
      </c>
      <c r="S19" s="35"/>
      <c r="T19" s="40">
        <f t="shared" si="1"/>
        <v>0</v>
      </c>
    </row>
    <row r="20" spans="1:20" s="3" customFormat="1" ht="24.95" hidden="1" customHeight="1">
      <c r="A20" s="3" t="s">
        <v>494</v>
      </c>
      <c r="B20" s="3" t="s">
        <v>1018</v>
      </c>
      <c r="D20" s="29" t="s">
        <v>495</v>
      </c>
      <c r="E20" s="27">
        <v>0</v>
      </c>
      <c r="F20" s="27">
        <v>0</v>
      </c>
      <c r="G20" s="27">
        <v>0</v>
      </c>
      <c r="H20" s="27">
        <v>0</v>
      </c>
      <c r="I20" s="27">
        <v>0</v>
      </c>
      <c r="J20" s="27">
        <v>0</v>
      </c>
      <c r="K20" s="27">
        <v>0</v>
      </c>
      <c r="L20" s="27">
        <v>0</v>
      </c>
      <c r="M20" s="27">
        <v>0</v>
      </c>
      <c r="N20" s="27">
        <v>0</v>
      </c>
      <c r="O20" s="27">
        <v>0</v>
      </c>
      <c r="P20" s="27">
        <v>0</v>
      </c>
      <c r="Q20" s="3">
        <f t="shared" si="2"/>
        <v>0</v>
      </c>
      <c r="R20" s="39">
        <f>Q20/Summary!$Q$16</f>
        <v>0</v>
      </c>
      <c r="S20" s="35"/>
      <c r="T20" s="40">
        <f t="shared" si="1"/>
        <v>0</v>
      </c>
    </row>
    <row r="21" spans="1:20" s="3" customFormat="1" ht="24.95" hidden="1" customHeight="1">
      <c r="A21" s="3" t="s">
        <v>496</v>
      </c>
      <c r="B21" s="3" t="s">
        <v>1018</v>
      </c>
      <c r="D21" s="26" t="s">
        <v>497</v>
      </c>
      <c r="E21" s="27">
        <v>0</v>
      </c>
      <c r="F21" s="27">
        <v>0</v>
      </c>
      <c r="G21" s="27">
        <v>0</v>
      </c>
      <c r="H21" s="27">
        <v>0</v>
      </c>
      <c r="I21" s="27">
        <v>0</v>
      </c>
      <c r="J21" s="27">
        <v>0</v>
      </c>
      <c r="K21" s="27">
        <v>0</v>
      </c>
      <c r="L21" s="27">
        <v>0</v>
      </c>
      <c r="M21" s="27">
        <v>0</v>
      </c>
      <c r="N21" s="27">
        <v>0</v>
      </c>
      <c r="O21" s="27">
        <v>0</v>
      </c>
      <c r="P21" s="27">
        <v>0</v>
      </c>
      <c r="Q21" s="3">
        <f t="shared" si="2"/>
        <v>0</v>
      </c>
      <c r="R21" s="39">
        <f>Q21/Summary!$Q$16</f>
        <v>0</v>
      </c>
      <c r="S21" s="35"/>
      <c r="T21" s="40">
        <f t="shared" si="1"/>
        <v>0</v>
      </c>
    </row>
    <row r="22" spans="1:20" s="3" customFormat="1" ht="24.95" hidden="1" customHeight="1">
      <c r="A22" s="3" t="s">
        <v>498</v>
      </c>
      <c r="B22" s="3" t="s">
        <v>1018</v>
      </c>
      <c r="D22" s="29" t="s">
        <v>499</v>
      </c>
      <c r="E22" s="27">
        <v>0</v>
      </c>
      <c r="F22" s="27">
        <v>0</v>
      </c>
      <c r="G22" s="27">
        <v>0</v>
      </c>
      <c r="H22" s="27">
        <v>0</v>
      </c>
      <c r="I22" s="27">
        <v>0</v>
      </c>
      <c r="J22" s="27">
        <v>0</v>
      </c>
      <c r="K22" s="27">
        <v>0</v>
      </c>
      <c r="L22" s="27">
        <v>0</v>
      </c>
      <c r="M22" s="27">
        <v>0</v>
      </c>
      <c r="N22" s="27">
        <v>0</v>
      </c>
      <c r="O22" s="27">
        <v>0</v>
      </c>
      <c r="P22" s="27">
        <v>0</v>
      </c>
      <c r="Q22" s="3">
        <f t="shared" si="2"/>
        <v>0</v>
      </c>
      <c r="R22" s="39">
        <f>Q22/Summary!$Q$16</f>
        <v>0</v>
      </c>
      <c r="S22" s="35"/>
      <c r="T22" s="40">
        <f t="shared" si="1"/>
        <v>0</v>
      </c>
    </row>
    <row r="23" spans="1:20" s="3" customFormat="1" ht="24.95" hidden="1" customHeight="1">
      <c r="A23" s="3" t="s">
        <v>500</v>
      </c>
      <c r="B23" s="3" t="s">
        <v>1018</v>
      </c>
      <c r="D23" s="26" t="s">
        <v>501</v>
      </c>
      <c r="E23" s="27">
        <v>0</v>
      </c>
      <c r="F23" s="27">
        <v>0</v>
      </c>
      <c r="G23" s="27">
        <v>0</v>
      </c>
      <c r="H23" s="27">
        <v>0</v>
      </c>
      <c r="I23" s="27">
        <v>0</v>
      </c>
      <c r="J23" s="27">
        <v>0</v>
      </c>
      <c r="K23" s="27">
        <v>0</v>
      </c>
      <c r="L23" s="27">
        <v>0</v>
      </c>
      <c r="M23" s="27">
        <v>0</v>
      </c>
      <c r="N23" s="27">
        <v>0</v>
      </c>
      <c r="O23" s="27">
        <v>0</v>
      </c>
      <c r="P23" s="27">
        <v>0</v>
      </c>
      <c r="Q23" s="3">
        <f t="shared" si="2"/>
        <v>0</v>
      </c>
      <c r="R23" s="39">
        <f>Q23/Summary!$Q$16</f>
        <v>0</v>
      </c>
      <c r="S23" s="35"/>
      <c r="T23" s="40">
        <f t="shared" si="1"/>
        <v>0</v>
      </c>
    </row>
    <row r="24" spans="1:20" s="3" customFormat="1" ht="24.95" hidden="1" customHeight="1">
      <c r="A24" s="3" t="s">
        <v>502</v>
      </c>
      <c r="B24" s="3" t="s">
        <v>1018</v>
      </c>
      <c r="D24" s="26" t="s">
        <v>503</v>
      </c>
      <c r="E24" s="27">
        <v>0</v>
      </c>
      <c r="F24" s="27">
        <v>0</v>
      </c>
      <c r="G24" s="27">
        <v>0</v>
      </c>
      <c r="H24" s="27">
        <v>0</v>
      </c>
      <c r="I24" s="27">
        <v>0</v>
      </c>
      <c r="J24" s="27">
        <v>0</v>
      </c>
      <c r="K24" s="27">
        <v>0</v>
      </c>
      <c r="L24" s="27">
        <v>0</v>
      </c>
      <c r="M24" s="27">
        <v>0</v>
      </c>
      <c r="N24" s="27">
        <v>0</v>
      </c>
      <c r="O24" s="27">
        <v>0</v>
      </c>
      <c r="P24" s="27">
        <v>0</v>
      </c>
      <c r="Q24" s="3">
        <f t="shared" si="2"/>
        <v>0</v>
      </c>
      <c r="R24" s="39">
        <f>Q24/Summary!$Q$16</f>
        <v>0</v>
      </c>
      <c r="S24" s="35"/>
      <c r="T24" s="40">
        <f t="shared" si="1"/>
        <v>0</v>
      </c>
    </row>
    <row r="25" spans="1:20" s="3" customFormat="1" ht="24.95" hidden="1" customHeight="1">
      <c r="A25" s="3" t="s">
        <v>504</v>
      </c>
      <c r="B25" s="3" t="s">
        <v>1018</v>
      </c>
      <c r="D25" s="26" t="s">
        <v>505</v>
      </c>
      <c r="E25" s="27">
        <v>0</v>
      </c>
      <c r="F25" s="27">
        <v>0</v>
      </c>
      <c r="G25" s="27">
        <v>0</v>
      </c>
      <c r="H25" s="27">
        <v>0</v>
      </c>
      <c r="I25" s="27">
        <v>0</v>
      </c>
      <c r="J25" s="27">
        <v>0</v>
      </c>
      <c r="K25" s="27">
        <v>0</v>
      </c>
      <c r="L25" s="27">
        <v>0</v>
      </c>
      <c r="M25" s="27">
        <v>0</v>
      </c>
      <c r="N25" s="27">
        <v>0</v>
      </c>
      <c r="O25" s="27">
        <v>0</v>
      </c>
      <c r="P25" s="27">
        <v>0</v>
      </c>
      <c r="Q25" s="3">
        <f t="shared" si="2"/>
        <v>0</v>
      </c>
      <c r="R25" s="39">
        <f>Q25/Summary!$Q$16</f>
        <v>0</v>
      </c>
      <c r="S25" s="35"/>
      <c r="T25" s="40">
        <f t="shared" si="1"/>
        <v>0</v>
      </c>
    </row>
    <row r="26" spans="1:20" s="3" customFormat="1" ht="24.95" customHeight="1">
      <c r="A26" s="3" t="s">
        <v>506</v>
      </c>
      <c r="B26" s="3" t="s">
        <v>1018</v>
      </c>
      <c r="D26" s="26" t="s">
        <v>507</v>
      </c>
      <c r="E26" s="63">
        <v>150</v>
      </c>
      <c r="F26" s="63">
        <v>150</v>
      </c>
      <c r="G26" s="63">
        <v>150</v>
      </c>
      <c r="H26" s="63">
        <v>150</v>
      </c>
      <c r="I26" s="63">
        <v>150</v>
      </c>
      <c r="J26" s="63">
        <v>150</v>
      </c>
      <c r="K26" s="63">
        <v>150</v>
      </c>
      <c r="L26" s="63">
        <v>150</v>
      </c>
      <c r="M26" s="63">
        <v>150</v>
      </c>
      <c r="N26" s="63">
        <v>150</v>
      </c>
      <c r="O26" s="63">
        <v>150</v>
      </c>
      <c r="P26" s="63">
        <v>150</v>
      </c>
      <c r="Q26" s="3">
        <f t="shared" si="2"/>
        <v>1800</v>
      </c>
      <c r="R26" s="39">
        <f>Q26/Summary!$Q$16</f>
        <v>5.4122656878339613E-5</v>
      </c>
      <c r="S26" s="35"/>
      <c r="T26" s="40" t="e">
        <f t="shared" ref="T26:T70" si="3">-IF(Q26-S26=0,0,(Q26-S26)/S26)</f>
        <v>#DIV/0!</v>
      </c>
    </row>
    <row r="27" spans="1:20" s="3" customFormat="1" ht="24.95" hidden="1" customHeight="1">
      <c r="A27" s="3" t="s">
        <v>508</v>
      </c>
      <c r="B27" s="3" t="s">
        <v>1018</v>
      </c>
      <c r="D27" s="26" t="s">
        <v>509</v>
      </c>
      <c r="E27" s="63"/>
      <c r="F27" s="27"/>
      <c r="G27" s="27"/>
      <c r="H27" s="27"/>
      <c r="I27" s="27"/>
      <c r="J27" s="27"/>
      <c r="K27" s="27"/>
      <c r="L27" s="27"/>
      <c r="M27" s="27"/>
      <c r="N27" s="27"/>
      <c r="O27" s="27"/>
      <c r="P27" s="27"/>
      <c r="Q27" s="3">
        <f t="shared" si="2"/>
        <v>0</v>
      </c>
      <c r="R27" s="39">
        <f>Q27/Summary!$Q$16</f>
        <v>0</v>
      </c>
      <c r="S27" s="35"/>
      <c r="T27" s="40">
        <f t="shared" si="3"/>
        <v>0</v>
      </c>
    </row>
    <row r="28" spans="1:20" s="3" customFormat="1" ht="24.95" hidden="1" customHeight="1">
      <c r="A28" s="3" t="s">
        <v>510</v>
      </c>
      <c r="B28" s="3" t="s">
        <v>1018</v>
      </c>
      <c r="D28" s="26" t="s">
        <v>511</v>
      </c>
      <c r="E28" s="63"/>
      <c r="F28" s="27"/>
      <c r="G28" s="27"/>
      <c r="H28" s="27"/>
      <c r="I28" s="27"/>
      <c r="J28" s="27"/>
      <c r="K28" s="27"/>
      <c r="L28" s="27"/>
      <c r="M28" s="27"/>
      <c r="N28" s="27"/>
      <c r="O28" s="27"/>
      <c r="P28" s="27"/>
      <c r="Q28" s="3">
        <f t="shared" si="2"/>
        <v>0</v>
      </c>
      <c r="R28" s="39">
        <f>Q28/Summary!$Q$16</f>
        <v>0</v>
      </c>
      <c r="S28" s="35"/>
      <c r="T28" s="40">
        <f t="shared" si="3"/>
        <v>0</v>
      </c>
    </row>
    <row r="29" spans="1:20" s="3" customFormat="1" ht="24.95" hidden="1" customHeight="1">
      <c r="A29" s="3" t="s">
        <v>512</v>
      </c>
      <c r="B29" s="3" t="s">
        <v>1018</v>
      </c>
      <c r="D29" s="26" t="s">
        <v>169</v>
      </c>
      <c r="E29" s="63"/>
      <c r="F29" s="27"/>
      <c r="G29" s="27"/>
      <c r="H29" s="27"/>
      <c r="I29" s="27"/>
      <c r="J29" s="27"/>
      <c r="K29" s="27"/>
      <c r="L29" s="27"/>
      <c r="M29" s="27"/>
      <c r="N29" s="27"/>
      <c r="O29" s="27"/>
      <c r="P29" s="27"/>
      <c r="Q29" s="3">
        <f t="shared" si="2"/>
        <v>0</v>
      </c>
      <c r="R29" s="39">
        <f>Q29/Summary!$Q$16</f>
        <v>0</v>
      </c>
      <c r="S29" s="35"/>
      <c r="T29" s="40">
        <f t="shared" si="3"/>
        <v>0</v>
      </c>
    </row>
    <row r="30" spans="1:20" s="3" customFormat="1" ht="24.95" hidden="1" customHeight="1">
      <c r="A30" s="3" t="s">
        <v>513</v>
      </c>
      <c r="B30" s="3" t="s">
        <v>1018</v>
      </c>
      <c r="D30" s="26" t="s">
        <v>171</v>
      </c>
      <c r="E30" s="63"/>
      <c r="F30" s="27"/>
      <c r="G30" s="27"/>
      <c r="H30" s="27"/>
      <c r="I30" s="27"/>
      <c r="J30" s="27"/>
      <c r="K30" s="27"/>
      <c r="L30" s="27"/>
      <c r="M30" s="27"/>
      <c r="N30" s="27"/>
      <c r="O30" s="27"/>
      <c r="P30" s="27"/>
      <c r="Q30" s="3">
        <f t="shared" si="2"/>
        <v>0</v>
      </c>
      <c r="R30" s="39">
        <f>Q30/Summary!$Q$16</f>
        <v>0</v>
      </c>
      <c r="S30" s="35"/>
      <c r="T30" s="40">
        <f t="shared" si="3"/>
        <v>0</v>
      </c>
    </row>
    <row r="31" spans="1:20" s="3" customFormat="1" ht="24.95" hidden="1" customHeight="1">
      <c r="A31" s="3" t="s">
        <v>514</v>
      </c>
      <c r="B31" s="3" t="s">
        <v>1018</v>
      </c>
      <c r="D31" s="26" t="s">
        <v>515</v>
      </c>
      <c r="E31" s="63"/>
      <c r="F31" s="27"/>
      <c r="G31" s="27"/>
      <c r="H31" s="27"/>
      <c r="I31" s="27"/>
      <c r="J31" s="27"/>
      <c r="K31" s="27"/>
      <c r="L31" s="27"/>
      <c r="M31" s="27"/>
      <c r="N31" s="27"/>
      <c r="O31" s="27"/>
      <c r="P31" s="27"/>
      <c r="Q31" s="3">
        <f t="shared" si="2"/>
        <v>0</v>
      </c>
      <c r="R31" s="39">
        <f>Q31/Summary!$Q$16</f>
        <v>0</v>
      </c>
      <c r="S31" s="35"/>
      <c r="T31" s="40">
        <f t="shared" si="3"/>
        <v>0</v>
      </c>
    </row>
    <row r="32" spans="1:20" s="3" customFormat="1" ht="24.95" hidden="1" customHeight="1">
      <c r="A32" s="3" t="s">
        <v>516</v>
      </c>
      <c r="B32" s="3" t="s">
        <v>1018</v>
      </c>
      <c r="D32" s="26" t="s">
        <v>517</v>
      </c>
      <c r="E32" s="63"/>
      <c r="F32" s="27"/>
      <c r="G32" s="27"/>
      <c r="H32" s="27"/>
      <c r="I32" s="27"/>
      <c r="J32" s="27"/>
      <c r="K32" s="27"/>
      <c r="L32" s="27"/>
      <c r="M32" s="27"/>
      <c r="N32" s="27"/>
      <c r="O32" s="27"/>
      <c r="P32" s="27"/>
      <c r="Q32" s="3">
        <f t="shared" si="2"/>
        <v>0</v>
      </c>
      <c r="R32" s="39">
        <f>Q32/Summary!$Q$16</f>
        <v>0</v>
      </c>
      <c r="S32" s="35"/>
      <c r="T32" s="40">
        <f t="shared" si="3"/>
        <v>0</v>
      </c>
    </row>
    <row r="33" spans="1:20" s="3" customFormat="1" ht="24.95" hidden="1" customHeight="1">
      <c r="A33" s="3" t="s">
        <v>518</v>
      </c>
      <c r="B33" s="3" t="s">
        <v>1018</v>
      </c>
      <c r="D33" s="26" t="s">
        <v>519</v>
      </c>
      <c r="E33" s="63"/>
      <c r="F33" s="27"/>
      <c r="G33" s="27"/>
      <c r="H33" s="27"/>
      <c r="I33" s="27"/>
      <c r="J33" s="27"/>
      <c r="K33" s="27"/>
      <c r="L33" s="27"/>
      <c r="M33" s="27"/>
      <c r="N33" s="27"/>
      <c r="O33" s="27"/>
      <c r="P33" s="27"/>
      <c r="Q33" s="3">
        <f t="shared" si="2"/>
        <v>0</v>
      </c>
      <c r="R33" s="39">
        <f>Q33/Summary!$Q$16</f>
        <v>0</v>
      </c>
      <c r="S33" s="35"/>
      <c r="T33" s="40">
        <f t="shared" si="3"/>
        <v>0</v>
      </c>
    </row>
    <row r="34" spans="1:20" s="3" customFormat="1" ht="24.95" hidden="1" customHeight="1">
      <c r="A34" s="3" t="s">
        <v>520</v>
      </c>
      <c r="B34" s="3" t="s">
        <v>1018</v>
      </c>
      <c r="D34" s="26" t="s">
        <v>521</v>
      </c>
      <c r="E34" s="63"/>
      <c r="F34" s="27"/>
      <c r="G34" s="27"/>
      <c r="H34" s="27"/>
      <c r="I34" s="27"/>
      <c r="J34" s="27"/>
      <c r="K34" s="27"/>
      <c r="L34" s="27"/>
      <c r="M34" s="27"/>
      <c r="N34" s="27"/>
      <c r="O34" s="27"/>
      <c r="P34" s="27"/>
      <c r="Q34" s="3">
        <f t="shared" si="2"/>
        <v>0</v>
      </c>
      <c r="R34" s="39">
        <f>Q34/Summary!$Q$16</f>
        <v>0</v>
      </c>
      <c r="S34" s="35"/>
      <c r="T34" s="40">
        <f t="shared" si="3"/>
        <v>0</v>
      </c>
    </row>
    <row r="35" spans="1:20" s="3" customFormat="1" ht="24.95" hidden="1" customHeight="1">
      <c r="A35" s="3" t="s">
        <v>522</v>
      </c>
      <c r="B35" s="3" t="s">
        <v>1018</v>
      </c>
      <c r="D35" s="26" t="s">
        <v>523</v>
      </c>
      <c r="E35" s="63"/>
      <c r="F35" s="27"/>
      <c r="G35" s="27"/>
      <c r="H35" s="27"/>
      <c r="I35" s="27"/>
      <c r="J35" s="27"/>
      <c r="K35" s="27"/>
      <c r="L35" s="27"/>
      <c r="M35" s="27"/>
      <c r="N35" s="27"/>
      <c r="O35" s="27"/>
      <c r="P35" s="27"/>
      <c r="Q35" s="3">
        <f t="shared" si="2"/>
        <v>0</v>
      </c>
      <c r="R35" s="39">
        <f>Q35/Summary!$Q$16</f>
        <v>0</v>
      </c>
      <c r="S35" s="35"/>
      <c r="T35" s="40">
        <f t="shared" si="3"/>
        <v>0</v>
      </c>
    </row>
    <row r="36" spans="1:20" s="3" customFormat="1" ht="24.95" hidden="1" customHeight="1">
      <c r="A36" s="3" t="s">
        <v>524</v>
      </c>
      <c r="B36" s="3" t="s">
        <v>1018</v>
      </c>
      <c r="D36" s="26" t="s">
        <v>525</v>
      </c>
      <c r="E36" s="63"/>
      <c r="F36" s="27"/>
      <c r="G36" s="27"/>
      <c r="H36" s="27"/>
      <c r="I36" s="27"/>
      <c r="J36" s="27"/>
      <c r="K36" s="27"/>
      <c r="L36" s="27"/>
      <c r="M36" s="27"/>
      <c r="N36" s="27"/>
      <c r="O36" s="27"/>
      <c r="P36" s="27"/>
      <c r="Q36" s="3">
        <f t="shared" si="2"/>
        <v>0</v>
      </c>
      <c r="R36" s="39">
        <f>Q36/Summary!$Q$16</f>
        <v>0</v>
      </c>
      <c r="S36" s="35"/>
      <c r="T36" s="40">
        <f t="shared" si="3"/>
        <v>0</v>
      </c>
    </row>
    <row r="37" spans="1:20" s="3" customFormat="1" ht="24.95" hidden="1" customHeight="1">
      <c r="A37" s="3" t="s">
        <v>526</v>
      </c>
      <c r="B37" s="3" t="s">
        <v>1018</v>
      </c>
      <c r="D37" s="26" t="s">
        <v>527</v>
      </c>
      <c r="E37" s="63"/>
      <c r="F37" s="27"/>
      <c r="G37" s="27"/>
      <c r="H37" s="27"/>
      <c r="I37" s="27"/>
      <c r="J37" s="27"/>
      <c r="K37" s="27"/>
      <c r="L37" s="27"/>
      <c r="M37" s="27"/>
      <c r="N37" s="27"/>
      <c r="O37" s="27"/>
      <c r="P37" s="27"/>
      <c r="Q37" s="3">
        <f t="shared" si="2"/>
        <v>0</v>
      </c>
      <c r="R37" s="39">
        <f>Q37/Summary!$Q$16</f>
        <v>0</v>
      </c>
      <c r="S37" s="35"/>
      <c r="T37" s="40">
        <f t="shared" si="3"/>
        <v>0</v>
      </c>
    </row>
    <row r="38" spans="1:20" s="3" customFormat="1" ht="24.95" hidden="1" customHeight="1">
      <c r="A38" s="3" t="s">
        <v>528</v>
      </c>
      <c r="B38" s="3" t="s">
        <v>1018</v>
      </c>
      <c r="D38" s="26" t="s">
        <v>529</v>
      </c>
      <c r="E38" s="63"/>
      <c r="F38" s="27"/>
      <c r="G38" s="27"/>
      <c r="H38" s="27"/>
      <c r="I38" s="27"/>
      <c r="J38" s="27"/>
      <c r="K38" s="27"/>
      <c r="L38" s="27"/>
      <c r="M38" s="27"/>
      <c r="N38" s="27"/>
      <c r="O38" s="27"/>
      <c r="P38" s="27"/>
      <c r="Q38" s="3">
        <f t="shared" si="2"/>
        <v>0</v>
      </c>
      <c r="R38" s="39">
        <f>Q38/Summary!$Q$16</f>
        <v>0</v>
      </c>
      <c r="S38" s="35"/>
      <c r="T38" s="40">
        <f t="shared" si="3"/>
        <v>0</v>
      </c>
    </row>
    <row r="39" spans="1:20" s="3" customFormat="1" ht="24.95" hidden="1" customHeight="1">
      <c r="A39" s="3" t="s">
        <v>530</v>
      </c>
      <c r="B39" s="3" t="s">
        <v>1018</v>
      </c>
      <c r="D39" s="26" t="s">
        <v>531</v>
      </c>
      <c r="E39" s="63"/>
      <c r="F39" s="27"/>
      <c r="G39" s="27"/>
      <c r="H39" s="27"/>
      <c r="I39" s="27"/>
      <c r="J39" s="27"/>
      <c r="K39" s="27"/>
      <c r="L39" s="27"/>
      <c r="M39" s="27"/>
      <c r="N39" s="27"/>
      <c r="O39" s="27"/>
      <c r="P39" s="27"/>
      <c r="Q39" s="3">
        <f t="shared" si="2"/>
        <v>0</v>
      </c>
      <c r="R39" s="39">
        <f>Q39/Summary!$Q$16</f>
        <v>0</v>
      </c>
      <c r="S39" s="35"/>
      <c r="T39" s="40">
        <f t="shared" si="3"/>
        <v>0</v>
      </c>
    </row>
    <row r="40" spans="1:20" s="3" customFormat="1" ht="24.95" hidden="1" customHeight="1">
      <c r="A40" s="3" t="s">
        <v>532</v>
      </c>
      <c r="B40" s="3" t="s">
        <v>1018</v>
      </c>
      <c r="D40" s="26" t="s">
        <v>1182</v>
      </c>
      <c r="E40" s="63"/>
      <c r="F40" s="27"/>
      <c r="G40" s="27"/>
      <c r="H40" s="27"/>
      <c r="I40" s="27"/>
      <c r="J40" s="27"/>
      <c r="K40" s="27"/>
      <c r="L40" s="27"/>
      <c r="M40" s="27"/>
      <c r="N40" s="27"/>
      <c r="O40" s="27"/>
      <c r="P40" s="27"/>
      <c r="Q40" s="3">
        <f t="shared" si="2"/>
        <v>0</v>
      </c>
      <c r="R40" s="39">
        <f>Q40/Summary!$Q$16</f>
        <v>0</v>
      </c>
      <c r="S40" s="35"/>
      <c r="T40" s="40">
        <f t="shared" si="3"/>
        <v>0</v>
      </c>
    </row>
    <row r="41" spans="1:20" s="3" customFormat="1" ht="24.95" hidden="1" customHeight="1">
      <c r="A41" s="3" t="s">
        <v>534</v>
      </c>
      <c r="B41" s="3" t="s">
        <v>1018</v>
      </c>
      <c r="D41" s="26" t="s">
        <v>535</v>
      </c>
      <c r="E41" s="63"/>
      <c r="F41" s="27"/>
      <c r="G41" s="27"/>
      <c r="H41" s="27"/>
      <c r="I41" s="27"/>
      <c r="J41" s="27"/>
      <c r="K41" s="27"/>
      <c r="L41" s="27"/>
      <c r="M41" s="27"/>
      <c r="N41" s="27"/>
      <c r="O41" s="27"/>
      <c r="P41" s="27"/>
      <c r="Q41" s="3">
        <f t="shared" si="2"/>
        <v>0</v>
      </c>
      <c r="R41" s="39">
        <f>Q41/Summary!$Q$16</f>
        <v>0</v>
      </c>
      <c r="S41" s="35"/>
      <c r="T41" s="40">
        <f t="shared" si="3"/>
        <v>0</v>
      </c>
    </row>
    <row r="42" spans="1:20" s="3" customFormat="1" ht="24.95" hidden="1" customHeight="1">
      <c r="A42" s="3" t="s">
        <v>536</v>
      </c>
      <c r="B42" s="3" t="s">
        <v>1018</v>
      </c>
      <c r="D42" s="26" t="s">
        <v>537</v>
      </c>
      <c r="E42" s="63"/>
      <c r="F42" s="27"/>
      <c r="G42" s="27"/>
      <c r="H42" s="27"/>
      <c r="I42" s="27"/>
      <c r="J42" s="27"/>
      <c r="K42" s="27"/>
      <c r="L42" s="27"/>
      <c r="M42" s="27"/>
      <c r="N42" s="27"/>
      <c r="O42" s="27"/>
      <c r="P42" s="27"/>
      <c r="Q42" s="3">
        <f t="shared" si="2"/>
        <v>0</v>
      </c>
      <c r="R42" s="39">
        <f>Q42/Summary!$Q$16</f>
        <v>0</v>
      </c>
      <c r="S42" s="35"/>
      <c r="T42" s="40">
        <f t="shared" si="3"/>
        <v>0</v>
      </c>
    </row>
    <row r="43" spans="1:20" s="3" customFormat="1" ht="24.95" customHeight="1">
      <c r="A43" s="3" t="s">
        <v>538</v>
      </c>
      <c r="B43" s="3" t="s">
        <v>1018</v>
      </c>
      <c r="D43" s="26" t="s">
        <v>539</v>
      </c>
      <c r="E43" s="63">
        <v>230</v>
      </c>
      <c r="F43" s="63">
        <v>230</v>
      </c>
      <c r="G43" s="63">
        <v>230</v>
      </c>
      <c r="H43" s="63">
        <v>230</v>
      </c>
      <c r="I43" s="63">
        <v>230</v>
      </c>
      <c r="J43" s="63">
        <v>230</v>
      </c>
      <c r="K43" s="63">
        <v>230</v>
      </c>
      <c r="L43" s="63">
        <v>230</v>
      </c>
      <c r="M43" s="63">
        <v>230</v>
      </c>
      <c r="N43" s="63">
        <v>230</v>
      </c>
      <c r="O43" s="63">
        <v>230</v>
      </c>
      <c r="P43" s="63">
        <v>230</v>
      </c>
      <c r="Q43" s="3">
        <f t="shared" si="2"/>
        <v>2760</v>
      </c>
      <c r="R43" s="39">
        <f>Q43/Summary!$Q$16</f>
        <v>8.2988073880120743E-5</v>
      </c>
      <c r="S43" s="35"/>
      <c r="T43" s="40" t="e">
        <f t="shared" si="3"/>
        <v>#DIV/0!</v>
      </c>
    </row>
    <row r="44" spans="1:20" s="3" customFormat="1" ht="24.95" hidden="1" customHeight="1">
      <c r="A44" s="3" t="s">
        <v>540</v>
      </c>
      <c r="B44" s="3" t="s">
        <v>1018</v>
      </c>
      <c r="D44" s="26" t="s">
        <v>541</v>
      </c>
      <c r="E44" s="63"/>
      <c r="F44" s="27"/>
      <c r="G44" s="27"/>
      <c r="H44" s="27"/>
      <c r="I44" s="27"/>
      <c r="J44" s="27"/>
      <c r="K44" s="27"/>
      <c r="L44" s="27"/>
      <c r="M44" s="27"/>
      <c r="N44" s="27"/>
      <c r="O44" s="27"/>
      <c r="P44" s="27"/>
      <c r="Q44" s="3">
        <f t="shared" si="2"/>
        <v>0</v>
      </c>
      <c r="R44" s="39">
        <f>Q44/Summary!$Q$16</f>
        <v>0</v>
      </c>
      <c r="S44" s="35"/>
      <c r="T44" s="40">
        <f t="shared" si="3"/>
        <v>0</v>
      </c>
    </row>
    <row r="45" spans="1:20" s="3" customFormat="1" ht="24.95" hidden="1" customHeight="1">
      <c r="A45" s="3" t="s">
        <v>542</v>
      </c>
      <c r="B45" s="3" t="s">
        <v>1018</v>
      </c>
      <c r="D45" s="26" t="s">
        <v>543</v>
      </c>
      <c r="E45" s="63"/>
      <c r="F45" s="27"/>
      <c r="G45" s="27"/>
      <c r="H45" s="27"/>
      <c r="I45" s="27"/>
      <c r="J45" s="27"/>
      <c r="K45" s="27"/>
      <c r="L45" s="27"/>
      <c r="M45" s="27"/>
      <c r="N45" s="27"/>
      <c r="O45" s="27"/>
      <c r="P45" s="27"/>
      <c r="Q45" s="3">
        <f t="shared" si="2"/>
        <v>0</v>
      </c>
      <c r="R45" s="39">
        <f>Q45/Summary!$Q$16</f>
        <v>0</v>
      </c>
      <c r="S45" s="35"/>
      <c r="T45" s="40">
        <f t="shared" si="3"/>
        <v>0</v>
      </c>
    </row>
    <row r="46" spans="1:20" s="3" customFormat="1" ht="24.95" hidden="1" customHeight="1">
      <c r="A46" s="3" t="s">
        <v>544</v>
      </c>
      <c r="B46" s="3" t="s">
        <v>1018</v>
      </c>
      <c r="D46" s="29" t="s">
        <v>545</v>
      </c>
      <c r="E46" s="63"/>
      <c r="F46" s="27"/>
      <c r="G46" s="27"/>
      <c r="H46" s="27"/>
      <c r="I46" s="27"/>
      <c r="J46" s="27"/>
      <c r="K46" s="27"/>
      <c r="L46" s="27"/>
      <c r="M46" s="27"/>
      <c r="N46" s="27"/>
      <c r="O46" s="27"/>
      <c r="P46" s="27"/>
      <c r="Q46" s="3">
        <f t="shared" si="2"/>
        <v>0</v>
      </c>
      <c r="R46" s="39">
        <f>Q46/Summary!$Q$16</f>
        <v>0</v>
      </c>
      <c r="S46" s="35"/>
      <c r="T46" s="40">
        <f t="shared" si="3"/>
        <v>0</v>
      </c>
    </row>
    <row r="47" spans="1:20" s="3" customFormat="1" ht="24.95" hidden="1" customHeight="1">
      <c r="A47" s="3" t="s">
        <v>546</v>
      </c>
      <c r="B47" s="3" t="s">
        <v>1018</v>
      </c>
      <c r="D47" s="26" t="s">
        <v>547</v>
      </c>
      <c r="E47" s="63"/>
      <c r="F47" s="27"/>
      <c r="G47" s="27"/>
      <c r="H47" s="27"/>
      <c r="I47" s="27"/>
      <c r="J47" s="27"/>
      <c r="K47" s="27"/>
      <c r="L47" s="27"/>
      <c r="M47" s="27"/>
      <c r="N47" s="27"/>
      <c r="O47" s="27"/>
      <c r="P47" s="27"/>
      <c r="Q47" s="3">
        <f t="shared" si="2"/>
        <v>0</v>
      </c>
      <c r="R47" s="39">
        <f>Q47/Summary!$Q$16</f>
        <v>0</v>
      </c>
      <c r="S47" s="35"/>
      <c r="T47" s="40">
        <f t="shared" si="3"/>
        <v>0</v>
      </c>
    </row>
    <row r="48" spans="1:20" s="3" customFormat="1" ht="24.95" hidden="1" customHeight="1">
      <c r="A48" s="3" t="s">
        <v>548</v>
      </c>
      <c r="B48" s="3" t="s">
        <v>1018</v>
      </c>
      <c r="D48" s="26" t="s">
        <v>549</v>
      </c>
      <c r="E48" s="63"/>
      <c r="F48" s="27"/>
      <c r="G48" s="27"/>
      <c r="H48" s="27"/>
      <c r="I48" s="27"/>
      <c r="J48" s="27"/>
      <c r="K48" s="27"/>
      <c r="L48" s="27"/>
      <c r="M48" s="27"/>
      <c r="N48" s="27"/>
      <c r="O48" s="27"/>
      <c r="P48" s="27"/>
      <c r="Q48" s="3">
        <f t="shared" si="2"/>
        <v>0</v>
      </c>
      <c r="R48" s="39">
        <f>Q48/Summary!$Q$16</f>
        <v>0</v>
      </c>
      <c r="S48" s="35"/>
      <c r="T48" s="40">
        <f t="shared" si="3"/>
        <v>0</v>
      </c>
    </row>
    <row r="49" spans="1:20" s="3" customFormat="1" ht="24.95" hidden="1" customHeight="1">
      <c r="A49" s="3" t="s">
        <v>550</v>
      </c>
      <c r="B49" s="3" t="s">
        <v>1018</v>
      </c>
      <c r="D49" s="26" t="s">
        <v>551</v>
      </c>
      <c r="E49" s="63"/>
      <c r="F49" s="27"/>
      <c r="G49" s="27"/>
      <c r="H49" s="27"/>
      <c r="I49" s="27"/>
      <c r="J49" s="27"/>
      <c r="K49" s="27"/>
      <c r="L49" s="27"/>
      <c r="M49" s="27"/>
      <c r="N49" s="27"/>
      <c r="O49" s="27"/>
      <c r="P49" s="27"/>
      <c r="Q49" s="3">
        <f t="shared" si="2"/>
        <v>0</v>
      </c>
      <c r="R49" s="39">
        <f>Q49/Summary!$Q$16</f>
        <v>0</v>
      </c>
      <c r="S49" s="35"/>
      <c r="T49" s="40">
        <f t="shared" si="3"/>
        <v>0</v>
      </c>
    </row>
    <row r="50" spans="1:20" s="3" customFormat="1" ht="24.95" customHeight="1">
      <c r="A50" s="3" t="s">
        <v>552</v>
      </c>
      <c r="B50" s="3" t="s">
        <v>1018</v>
      </c>
      <c r="D50" s="26" t="s">
        <v>553</v>
      </c>
      <c r="E50" s="63"/>
      <c r="F50" s="27"/>
      <c r="G50" s="27"/>
      <c r="H50" s="27"/>
      <c r="I50" s="27"/>
      <c r="J50" s="27"/>
      <c r="K50" s="27"/>
      <c r="L50" s="27"/>
      <c r="M50" s="27"/>
      <c r="N50" s="27"/>
      <c r="O50" s="27"/>
      <c r="P50" s="27"/>
      <c r="Q50" s="3">
        <f t="shared" si="2"/>
        <v>0</v>
      </c>
      <c r="R50" s="39">
        <f>Q50/Summary!$Q$16</f>
        <v>0</v>
      </c>
      <c r="S50" s="35"/>
      <c r="T50" s="40">
        <f t="shared" si="3"/>
        <v>0</v>
      </c>
    </row>
    <row r="51" spans="1:20" s="3" customFormat="1" ht="24.95" hidden="1" customHeight="1">
      <c r="A51" s="3" t="s">
        <v>554</v>
      </c>
      <c r="B51" s="3" t="s">
        <v>1018</v>
      </c>
      <c r="D51" s="26" t="s">
        <v>555</v>
      </c>
      <c r="E51" s="63"/>
      <c r="F51" s="27"/>
      <c r="G51" s="27"/>
      <c r="H51" s="27"/>
      <c r="I51" s="27"/>
      <c r="J51" s="27"/>
      <c r="K51" s="27"/>
      <c r="L51" s="27"/>
      <c r="M51" s="27"/>
      <c r="N51" s="27"/>
      <c r="O51" s="27"/>
      <c r="P51" s="27"/>
      <c r="Q51" s="3">
        <f t="shared" si="2"/>
        <v>0</v>
      </c>
      <c r="R51" s="39">
        <f>Q51/Summary!$Q$16</f>
        <v>0</v>
      </c>
      <c r="S51" s="35"/>
      <c r="T51" s="40">
        <f t="shared" si="3"/>
        <v>0</v>
      </c>
    </row>
    <row r="52" spans="1:20" s="3" customFormat="1" ht="24.95" hidden="1" customHeight="1">
      <c r="A52" s="3" t="s">
        <v>556</v>
      </c>
      <c r="B52" s="3" t="s">
        <v>1018</v>
      </c>
      <c r="D52" s="26" t="s">
        <v>557</v>
      </c>
      <c r="E52" s="63"/>
      <c r="F52" s="27"/>
      <c r="G52" s="27"/>
      <c r="H52" s="27"/>
      <c r="I52" s="27"/>
      <c r="J52" s="27"/>
      <c r="K52" s="27"/>
      <c r="L52" s="27"/>
      <c r="M52" s="27"/>
      <c r="N52" s="27"/>
      <c r="O52" s="27"/>
      <c r="P52" s="27"/>
      <c r="Q52" s="3">
        <f t="shared" si="2"/>
        <v>0</v>
      </c>
      <c r="R52" s="39">
        <f>Q52/Summary!$Q$16</f>
        <v>0</v>
      </c>
      <c r="S52" s="35"/>
      <c r="T52" s="40">
        <f t="shared" si="3"/>
        <v>0</v>
      </c>
    </row>
    <row r="53" spans="1:20" s="3" customFormat="1" ht="24.95" hidden="1" customHeight="1">
      <c r="A53" s="3" t="s">
        <v>558</v>
      </c>
      <c r="B53" s="3" t="s">
        <v>1018</v>
      </c>
      <c r="D53" s="29" t="s">
        <v>559</v>
      </c>
      <c r="E53" s="63"/>
      <c r="F53" s="27"/>
      <c r="G53" s="27"/>
      <c r="H53" s="27"/>
      <c r="I53" s="27"/>
      <c r="J53" s="27"/>
      <c r="K53" s="27"/>
      <c r="L53" s="27"/>
      <c r="M53" s="27"/>
      <c r="N53" s="27"/>
      <c r="O53" s="27"/>
      <c r="P53" s="27"/>
      <c r="Q53" s="3">
        <f t="shared" si="2"/>
        <v>0</v>
      </c>
      <c r="R53" s="39">
        <f>Q53/Summary!$Q$16</f>
        <v>0</v>
      </c>
      <c r="S53" s="35"/>
      <c r="T53" s="40">
        <f t="shared" si="3"/>
        <v>0</v>
      </c>
    </row>
    <row r="54" spans="1:20" s="3" customFormat="1" ht="24.95" hidden="1" customHeight="1">
      <c r="A54" s="3" t="s">
        <v>560</v>
      </c>
      <c r="B54" s="3" t="s">
        <v>1018</v>
      </c>
      <c r="D54" s="26" t="s">
        <v>561</v>
      </c>
      <c r="E54" s="63"/>
      <c r="F54" s="27"/>
      <c r="G54" s="27"/>
      <c r="H54" s="27"/>
      <c r="I54" s="27"/>
      <c r="J54" s="27"/>
      <c r="K54" s="27"/>
      <c r="L54" s="27"/>
      <c r="M54" s="27"/>
      <c r="N54" s="27"/>
      <c r="O54" s="27"/>
      <c r="P54" s="27"/>
      <c r="Q54" s="3">
        <f t="shared" si="2"/>
        <v>0</v>
      </c>
      <c r="R54" s="39">
        <f>Q54/Summary!$Q$16</f>
        <v>0</v>
      </c>
      <c r="S54" s="35"/>
      <c r="T54" s="40">
        <f t="shared" si="3"/>
        <v>0</v>
      </c>
    </row>
    <row r="55" spans="1:20" s="3" customFormat="1" ht="24.95" hidden="1" customHeight="1">
      <c r="A55" s="3" t="s">
        <v>562</v>
      </c>
      <c r="B55" s="3" t="s">
        <v>1018</v>
      </c>
      <c r="D55" s="29" t="s">
        <v>563</v>
      </c>
      <c r="E55" s="63"/>
      <c r="F55" s="27"/>
      <c r="G55" s="27"/>
      <c r="H55" s="27"/>
      <c r="I55" s="27"/>
      <c r="J55" s="27"/>
      <c r="K55" s="27"/>
      <c r="L55" s="27"/>
      <c r="M55" s="27"/>
      <c r="N55" s="27"/>
      <c r="O55" s="27"/>
      <c r="P55" s="27"/>
      <c r="Q55" s="3">
        <f t="shared" si="2"/>
        <v>0</v>
      </c>
      <c r="R55" s="39">
        <f>Q55/Summary!$Q$16</f>
        <v>0</v>
      </c>
      <c r="S55" s="35"/>
      <c r="T55" s="40">
        <f t="shared" si="3"/>
        <v>0</v>
      </c>
    </row>
    <row r="56" spans="1:20" s="3" customFormat="1" ht="24.95" hidden="1" customHeight="1">
      <c r="A56" s="3" t="s">
        <v>564</v>
      </c>
      <c r="B56" s="3" t="s">
        <v>1018</v>
      </c>
      <c r="D56" s="26" t="s">
        <v>565</v>
      </c>
      <c r="E56" s="63"/>
      <c r="F56" s="27"/>
      <c r="G56" s="27"/>
      <c r="H56" s="27"/>
      <c r="I56" s="27"/>
      <c r="J56" s="27"/>
      <c r="K56" s="27"/>
      <c r="L56" s="27"/>
      <c r="M56" s="27"/>
      <c r="N56" s="27"/>
      <c r="O56" s="27"/>
      <c r="P56" s="27"/>
      <c r="Q56" s="3">
        <f t="shared" si="2"/>
        <v>0</v>
      </c>
      <c r="R56" s="39">
        <f>Q56/Summary!$Q$16</f>
        <v>0</v>
      </c>
      <c r="S56" s="35"/>
      <c r="T56" s="40">
        <f t="shared" si="3"/>
        <v>0</v>
      </c>
    </row>
    <row r="57" spans="1:20" s="3" customFormat="1" ht="24.95" hidden="1" customHeight="1">
      <c r="A57" s="3" t="s">
        <v>566</v>
      </c>
      <c r="B57" s="3" t="s">
        <v>1018</v>
      </c>
      <c r="D57" s="26" t="s">
        <v>567</v>
      </c>
      <c r="E57" s="63"/>
      <c r="F57" s="27"/>
      <c r="G57" s="27"/>
      <c r="H57" s="27"/>
      <c r="I57" s="27"/>
      <c r="J57" s="27"/>
      <c r="K57" s="27"/>
      <c r="L57" s="27"/>
      <c r="M57" s="27"/>
      <c r="N57" s="27"/>
      <c r="O57" s="27"/>
      <c r="P57" s="27"/>
      <c r="Q57" s="3">
        <f t="shared" si="2"/>
        <v>0</v>
      </c>
      <c r="R57" s="39">
        <f>Q57/Summary!$Q$16</f>
        <v>0</v>
      </c>
      <c r="S57" s="35"/>
      <c r="T57" s="40">
        <f t="shared" si="3"/>
        <v>0</v>
      </c>
    </row>
    <row r="58" spans="1:20" s="3" customFormat="1" ht="24.95" hidden="1" customHeight="1">
      <c r="A58" s="3" t="s">
        <v>568</v>
      </c>
      <c r="B58" s="3" t="s">
        <v>1018</v>
      </c>
      <c r="D58" s="26" t="s">
        <v>569</v>
      </c>
      <c r="E58" s="63"/>
      <c r="F58" s="27"/>
      <c r="G58" s="27"/>
      <c r="H58" s="27"/>
      <c r="I58" s="27"/>
      <c r="J58" s="27"/>
      <c r="K58" s="27"/>
      <c r="L58" s="27"/>
      <c r="M58" s="27"/>
      <c r="N58" s="27"/>
      <c r="O58" s="27"/>
      <c r="P58" s="27"/>
      <c r="Q58" s="3">
        <f t="shared" si="2"/>
        <v>0</v>
      </c>
      <c r="R58" s="39">
        <f>Q58/Summary!$Q$16</f>
        <v>0</v>
      </c>
      <c r="S58" s="35"/>
      <c r="T58" s="40">
        <f t="shared" si="3"/>
        <v>0</v>
      </c>
    </row>
    <row r="59" spans="1:20" s="3" customFormat="1" ht="24.95" hidden="1" customHeight="1">
      <c r="A59" s="3" t="s">
        <v>570</v>
      </c>
      <c r="B59" s="3" t="s">
        <v>1018</v>
      </c>
      <c r="D59" s="26" t="s">
        <v>571</v>
      </c>
      <c r="E59" s="63"/>
      <c r="F59" s="27"/>
      <c r="G59" s="27"/>
      <c r="H59" s="27"/>
      <c r="I59" s="27"/>
      <c r="J59" s="27"/>
      <c r="K59" s="27"/>
      <c r="L59" s="27"/>
      <c r="M59" s="27"/>
      <c r="N59" s="27"/>
      <c r="O59" s="27"/>
      <c r="P59" s="27"/>
      <c r="Q59" s="3">
        <f t="shared" si="2"/>
        <v>0</v>
      </c>
      <c r="R59" s="39">
        <f>Q59/Summary!$Q$16</f>
        <v>0</v>
      </c>
      <c r="S59" s="35"/>
      <c r="T59" s="40">
        <f t="shared" si="3"/>
        <v>0</v>
      </c>
    </row>
    <row r="60" spans="1:20" s="3" customFormat="1" ht="24.95" hidden="1" customHeight="1">
      <c r="A60" s="3" t="s">
        <v>572</v>
      </c>
      <c r="B60" s="3" t="s">
        <v>1018</v>
      </c>
      <c r="D60" s="26" t="s">
        <v>573</v>
      </c>
      <c r="E60" s="63"/>
      <c r="F60" s="27"/>
      <c r="G60" s="27"/>
      <c r="H60" s="27"/>
      <c r="I60" s="27"/>
      <c r="J60" s="27"/>
      <c r="K60" s="27"/>
      <c r="L60" s="27"/>
      <c r="M60" s="27"/>
      <c r="N60" s="27"/>
      <c r="O60" s="27"/>
      <c r="P60" s="27"/>
      <c r="Q60" s="3">
        <f t="shared" si="2"/>
        <v>0</v>
      </c>
      <c r="R60" s="39">
        <f>Q60/Summary!$Q$16</f>
        <v>0</v>
      </c>
      <c r="S60" s="35"/>
      <c r="T60" s="40">
        <f t="shared" si="3"/>
        <v>0</v>
      </c>
    </row>
    <row r="61" spans="1:20" s="3" customFormat="1" ht="24.95" hidden="1" customHeight="1">
      <c r="A61" s="3" t="s">
        <v>574</v>
      </c>
      <c r="B61" s="3" t="s">
        <v>1018</v>
      </c>
      <c r="D61" s="26" t="s">
        <v>575</v>
      </c>
      <c r="E61" s="63"/>
      <c r="F61" s="27"/>
      <c r="G61" s="27"/>
      <c r="H61" s="27"/>
      <c r="I61" s="27"/>
      <c r="J61" s="27"/>
      <c r="K61" s="27"/>
      <c r="L61" s="27"/>
      <c r="M61" s="27"/>
      <c r="N61" s="27"/>
      <c r="O61" s="27"/>
      <c r="P61" s="27"/>
      <c r="Q61" s="3">
        <f t="shared" si="2"/>
        <v>0</v>
      </c>
      <c r="R61" s="39">
        <f>Q61/Summary!$Q$16</f>
        <v>0</v>
      </c>
      <c r="S61" s="35"/>
      <c r="T61" s="40">
        <f t="shared" si="3"/>
        <v>0</v>
      </c>
    </row>
    <row r="62" spans="1:20" s="3" customFormat="1" ht="24.95" hidden="1" customHeight="1">
      <c r="A62" s="3" t="s">
        <v>576</v>
      </c>
      <c r="B62" s="3" t="s">
        <v>1018</v>
      </c>
      <c r="D62" s="26" t="s">
        <v>577</v>
      </c>
      <c r="E62" s="63"/>
      <c r="F62" s="27"/>
      <c r="G62" s="27"/>
      <c r="H62" s="27"/>
      <c r="I62" s="27"/>
      <c r="J62" s="27"/>
      <c r="K62" s="27"/>
      <c r="L62" s="27"/>
      <c r="M62" s="27"/>
      <c r="N62" s="27"/>
      <c r="O62" s="27"/>
      <c r="P62" s="27"/>
      <c r="Q62" s="3">
        <f t="shared" si="2"/>
        <v>0</v>
      </c>
      <c r="R62" s="39">
        <f>Q62/Summary!$Q$16</f>
        <v>0</v>
      </c>
      <c r="S62" s="35"/>
      <c r="T62" s="40">
        <f t="shared" si="3"/>
        <v>0</v>
      </c>
    </row>
    <row r="63" spans="1:20" s="3" customFormat="1" ht="24.95" hidden="1" customHeight="1">
      <c r="A63" s="3" t="s">
        <v>578</v>
      </c>
      <c r="B63" s="3" t="s">
        <v>1018</v>
      </c>
      <c r="D63" s="26" t="s">
        <v>579</v>
      </c>
      <c r="E63" s="63"/>
      <c r="F63" s="27"/>
      <c r="G63" s="27"/>
      <c r="H63" s="27"/>
      <c r="I63" s="27"/>
      <c r="J63" s="27"/>
      <c r="K63" s="27"/>
      <c r="L63" s="27"/>
      <c r="M63" s="27"/>
      <c r="N63" s="27"/>
      <c r="O63" s="27"/>
      <c r="P63" s="27"/>
      <c r="Q63" s="3">
        <f t="shared" si="2"/>
        <v>0</v>
      </c>
      <c r="R63" s="39">
        <f>Q63/Summary!$Q$16</f>
        <v>0</v>
      </c>
      <c r="S63" s="35"/>
      <c r="T63" s="40">
        <f t="shared" si="3"/>
        <v>0</v>
      </c>
    </row>
    <row r="64" spans="1:20" s="3" customFormat="1" ht="24.95" hidden="1" customHeight="1">
      <c r="A64" s="3" t="s">
        <v>580</v>
      </c>
      <c r="B64" s="3" t="s">
        <v>1018</v>
      </c>
      <c r="D64" s="26" t="s">
        <v>581</v>
      </c>
      <c r="E64" s="63"/>
      <c r="F64" s="27"/>
      <c r="G64" s="27"/>
      <c r="H64" s="27"/>
      <c r="I64" s="27"/>
      <c r="J64" s="27"/>
      <c r="K64" s="27"/>
      <c r="L64" s="27"/>
      <c r="M64" s="27"/>
      <c r="N64" s="27"/>
      <c r="O64" s="27"/>
      <c r="P64" s="27"/>
      <c r="Q64" s="3">
        <f t="shared" si="2"/>
        <v>0</v>
      </c>
      <c r="R64" s="39">
        <f>Q64/Summary!$Q$16</f>
        <v>0</v>
      </c>
      <c r="S64" s="35"/>
      <c r="T64" s="40">
        <f t="shared" si="3"/>
        <v>0</v>
      </c>
    </row>
    <row r="65" spans="1:20" s="3" customFormat="1" ht="24.95" hidden="1" customHeight="1">
      <c r="A65" s="3" t="s">
        <v>582</v>
      </c>
      <c r="B65" s="3" t="s">
        <v>1018</v>
      </c>
      <c r="D65" s="26" t="s">
        <v>583</v>
      </c>
      <c r="E65" s="63"/>
      <c r="F65" s="27"/>
      <c r="G65" s="27"/>
      <c r="H65" s="27"/>
      <c r="I65" s="27"/>
      <c r="J65" s="27"/>
      <c r="K65" s="27"/>
      <c r="L65" s="27"/>
      <c r="M65" s="27"/>
      <c r="N65" s="27"/>
      <c r="O65" s="27"/>
      <c r="P65" s="27"/>
      <c r="Q65" s="3">
        <f t="shared" si="2"/>
        <v>0</v>
      </c>
      <c r="R65" s="39">
        <f>Q65/Summary!$Q$16</f>
        <v>0</v>
      </c>
      <c r="S65" s="35"/>
      <c r="T65" s="40">
        <f t="shared" si="3"/>
        <v>0</v>
      </c>
    </row>
    <row r="66" spans="1:20" s="3" customFormat="1" ht="24.95" hidden="1" customHeight="1">
      <c r="A66" s="3" t="s">
        <v>584</v>
      </c>
      <c r="B66" s="3" t="s">
        <v>1018</v>
      </c>
      <c r="D66" s="26" t="s">
        <v>585</v>
      </c>
      <c r="E66" s="63"/>
      <c r="F66" s="27"/>
      <c r="G66" s="27"/>
      <c r="H66" s="27"/>
      <c r="I66" s="27"/>
      <c r="J66" s="27"/>
      <c r="K66" s="27"/>
      <c r="L66" s="27"/>
      <c r="M66" s="27"/>
      <c r="N66" s="27"/>
      <c r="O66" s="27"/>
      <c r="P66" s="27"/>
      <c r="Q66" s="3">
        <f t="shared" si="2"/>
        <v>0</v>
      </c>
      <c r="R66" s="39">
        <f>Q66/Summary!$Q$16</f>
        <v>0</v>
      </c>
      <c r="S66" s="35"/>
      <c r="T66" s="40">
        <f t="shared" si="3"/>
        <v>0</v>
      </c>
    </row>
    <row r="67" spans="1:20" s="3" customFormat="1" ht="24.95" hidden="1" customHeight="1">
      <c r="A67" s="3" t="s">
        <v>586</v>
      </c>
      <c r="B67" s="3" t="s">
        <v>1018</v>
      </c>
      <c r="D67" s="26" t="s">
        <v>587</v>
      </c>
      <c r="E67" s="63"/>
      <c r="F67" s="27"/>
      <c r="G67" s="27"/>
      <c r="H67" s="27"/>
      <c r="I67" s="27"/>
      <c r="J67" s="27"/>
      <c r="K67" s="27"/>
      <c r="L67" s="27"/>
      <c r="M67" s="27"/>
      <c r="N67" s="27"/>
      <c r="O67" s="27"/>
      <c r="P67" s="27"/>
      <c r="Q67" s="3">
        <f t="shared" si="2"/>
        <v>0</v>
      </c>
      <c r="R67" s="39">
        <f>Q67/Summary!$Q$16</f>
        <v>0</v>
      </c>
      <c r="S67" s="35"/>
      <c r="T67" s="40">
        <f t="shared" si="3"/>
        <v>0</v>
      </c>
    </row>
    <row r="68" spans="1:20" s="3" customFormat="1" ht="24.95" customHeight="1">
      <c r="A68" s="3" t="s">
        <v>588</v>
      </c>
      <c r="B68" s="3" t="s">
        <v>1018</v>
      </c>
      <c r="D68" s="26" t="s">
        <v>589</v>
      </c>
      <c r="E68" s="63">
        <v>40</v>
      </c>
      <c r="F68" s="63">
        <v>40</v>
      </c>
      <c r="G68" s="63">
        <v>40</v>
      </c>
      <c r="H68" s="63">
        <v>40</v>
      </c>
      <c r="I68" s="63">
        <v>40</v>
      </c>
      <c r="J68" s="63">
        <v>40</v>
      </c>
      <c r="K68" s="63">
        <v>40</v>
      </c>
      <c r="L68" s="63">
        <v>40</v>
      </c>
      <c r="M68" s="63">
        <v>40</v>
      </c>
      <c r="N68" s="63">
        <v>40</v>
      </c>
      <c r="O68" s="63">
        <v>40</v>
      </c>
      <c r="P68" s="63">
        <v>40</v>
      </c>
      <c r="Q68" s="3">
        <f t="shared" si="2"/>
        <v>480</v>
      </c>
      <c r="R68" s="39">
        <f>Q68/Summary!$Q$16</f>
        <v>1.4432708500890563E-5</v>
      </c>
      <c r="S68" s="35"/>
      <c r="T68" s="40" t="e">
        <f t="shared" si="3"/>
        <v>#DIV/0!</v>
      </c>
    </row>
    <row r="69" spans="1:20" s="3" customFormat="1" ht="24.75" customHeight="1">
      <c r="A69" s="3" t="s">
        <v>590</v>
      </c>
      <c r="B69" s="3" t="s">
        <v>1018</v>
      </c>
      <c r="D69" s="26" t="s">
        <v>591</v>
      </c>
      <c r="E69" s="63">
        <v>300</v>
      </c>
      <c r="F69" s="63">
        <v>300</v>
      </c>
      <c r="G69" s="63">
        <v>300</v>
      </c>
      <c r="H69" s="63">
        <v>300</v>
      </c>
      <c r="I69" s="63">
        <v>300</v>
      </c>
      <c r="J69" s="63">
        <v>300</v>
      </c>
      <c r="K69" s="63">
        <v>300</v>
      </c>
      <c r="L69" s="63">
        <v>300</v>
      </c>
      <c r="M69" s="63">
        <v>300</v>
      </c>
      <c r="N69" s="63">
        <v>300</v>
      </c>
      <c r="O69" s="63">
        <v>300</v>
      </c>
      <c r="P69" s="63">
        <v>300</v>
      </c>
      <c r="Q69" s="3">
        <f t="shared" si="2"/>
        <v>3600</v>
      </c>
      <c r="R69" s="39">
        <f>Q69/Summary!$Q$16</f>
        <v>1.0824531375667923E-4</v>
      </c>
      <c r="S69" s="35"/>
      <c r="T69" s="40" t="e">
        <f t="shared" si="3"/>
        <v>#DIV/0!</v>
      </c>
    </row>
    <row r="70" spans="1:20" s="3" customFormat="1" ht="24.95" customHeight="1">
      <c r="A70" s="3" t="s">
        <v>592</v>
      </c>
      <c r="B70" s="3" t="s">
        <v>1018</v>
      </c>
      <c r="D70" s="26" t="s">
        <v>593</v>
      </c>
      <c r="E70" s="63">
        <f>Laundry!E209</f>
        <v>2552.89</v>
      </c>
      <c r="F70" s="63">
        <f>Laundry!F209</f>
        <v>2738.13</v>
      </c>
      <c r="G70" s="63">
        <f>Laundry!G209</f>
        <v>2546.04</v>
      </c>
      <c r="H70" s="63">
        <f>Laundry!H209</f>
        <v>2754.02</v>
      </c>
      <c r="I70" s="63">
        <f>Laundry!I209</f>
        <v>2779.65</v>
      </c>
      <c r="J70" s="63">
        <f>Laundry!J209</f>
        <v>2798.38</v>
      </c>
      <c r="K70" s="63">
        <f>Laundry!K209</f>
        <v>2777.73</v>
      </c>
      <c r="L70" s="63">
        <f>Laundry!L209</f>
        <v>2787.59</v>
      </c>
      <c r="M70" s="63">
        <f>Laundry!M209</f>
        <v>2916.69</v>
      </c>
      <c r="N70" s="63">
        <f>Laundry!N209</f>
        <v>3101.93</v>
      </c>
      <c r="O70" s="63">
        <f>Laundry!O209</f>
        <v>2701.82</v>
      </c>
      <c r="P70" s="63">
        <f>Laundry!P209</f>
        <v>2664.35</v>
      </c>
      <c r="Q70" s="3">
        <f t="shared" si="2"/>
        <v>33119.22</v>
      </c>
      <c r="R70" s="39">
        <f>Q70/Summary!$Q$16</f>
        <v>9.9583343341013504E-4</v>
      </c>
      <c r="S70" s="35"/>
      <c r="T70" s="40" t="e">
        <f t="shared" si="3"/>
        <v>#DIV/0!</v>
      </c>
    </row>
    <row r="71" spans="1:20" s="3" customFormat="1" ht="24.75" customHeight="1">
      <c r="A71" s="3" t="s">
        <v>594</v>
      </c>
      <c r="B71" s="3" t="s">
        <v>1018</v>
      </c>
      <c r="D71" s="26" t="s">
        <v>595</v>
      </c>
      <c r="E71" s="63"/>
      <c r="F71" s="27"/>
      <c r="G71" s="27"/>
      <c r="H71" s="27"/>
      <c r="I71" s="27"/>
      <c r="J71" s="27"/>
      <c r="K71" s="27"/>
      <c r="L71" s="27"/>
      <c r="M71" s="27"/>
      <c r="N71" s="27"/>
      <c r="O71" s="27"/>
      <c r="P71" s="27"/>
      <c r="Q71" s="3">
        <f t="shared" si="2"/>
        <v>0</v>
      </c>
      <c r="R71" s="39">
        <f>Q71/Summary!$Q$16</f>
        <v>0</v>
      </c>
      <c r="S71" s="35"/>
      <c r="T71" s="40"/>
    </row>
    <row r="72" spans="1:20" s="3" customFormat="1" ht="24.95" customHeight="1">
      <c r="A72" s="3" t="s">
        <v>596</v>
      </c>
      <c r="B72" s="3" t="s">
        <v>1018</v>
      </c>
      <c r="D72" s="26" t="s">
        <v>597</v>
      </c>
      <c r="E72" s="63">
        <v>500</v>
      </c>
      <c r="F72" s="63">
        <v>500</v>
      </c>
      <c r="G72" s="63">
        <v>500</v>
      </c>
      <c r="H72" s="63">
        <v>500</v>
      </c>
      <c r="I72" s="63">
        <v>500</v>
      </c>
      <c r="J72" s="63">
        <v>500</v>
      </c>
      <c r="K72" s="63">
        <v>500</v>
      </c>
      <c r="L72" s="63">
        <v>500</v>
      </c>
      <c r="M72" s="63">
        <v>500</v>
      </c>
      <c r="N72" s="63">
        <v>500</v>
      </c>
      <c r="O72" s="63">
        <v>500</v>
      </c>
      <c r="P72" s="63">
        <v>500</v>
      </c>
      <c r="Q72" s="3">
        <f t="shared" si="2"/>
        <v>6000</v>
      </c>
      <c r="R72" s="39">
        <f>Q72/Summary!$Q$16</f>
        <v>1.8040885626113205E-4</v>
      </c>
      <c r="S72" s="35"/>
      <c r="T72" s="40" t="e">
        <f t="shared" ref="T72:T85" si="4">-IF(Q72-S72=0,0,(Q72-S72)/S72)</f>
        <v>#DIV/0!</v>
      </c>
    </row>
    <row r="73" spans="1:20" s="3" customFormat="1" ht="24.95" hidden="1" customHeight="1">
      <c r="A73" s="3" t="s">
        <v>598</v>
      </c>
      <c r="B73" s="3" t="s">
        <v>1018</v>
      </c>
      <c r="D73" s="26" t="s">
        <v>599</v>
      </c>
      <c r="E73" s="63"/>
      <c r="F73" s="27"/>
      <c r="G73" s="27"/>
      <c r="H73" s="27"/>
      <c r="I73" s="27"/>
      <c r="J73" s="27"/>
      <c r="K73" s="27"/>
      <c r="L73" s="27"/>
      <c r="M73" s="27"/>
      <c r="N73" s="27"/>
      <c r="O73" s="27"/>
      <c r="P73" s="27"/>
      <c r="Q73" s="3">
        <f t="shared" si="2"/>
        <v>0</v>
      </c>
      <c r="R73" s="39">
        <f>Q73/Summary!$Q$16</f>
        <v>0</v>
      </c>
      <c r="S73" s="35"/>
      <c r="T73" s="40">
        <f t="shared" si="4"/>
        <v>0</v>
      </c>
    </row>
    <row r="74" spans="1:20" s="3" customFormat="1" ht="24.95" customHeight="1">
      <c r="A74" s="3" t="s">
        <v>600</v>
      </c>
      <c r="B74" s="3" t="s">
        <v>1018</v>
      </c>
      <c r="D74" s="26" t="s">
        <v>601</v>
      </c>
      <c r="E74" s="63">
        <v>200</v>
      </c>
      <c r="F74" s="63">
        <v>200</v>
      </c>
      <c r="G74" s="63">
        <v>200</v>
      </c>
      <c r="H74" s="63">
        <v>200</v>
      </c>
      <c r="I74" s="63">
        <v>200</v>
      </c>
      <c r="J74" s="63">
        <v>200</v>
      </c>
      <c r="K74" s="63">
        <v>200</v>
      </c>
      <c r="L74" s="63">
        <v>200</v>
      </c>
      <c r="M74" s="63">
        <v>200</v>
      </c>
      <c r="N74" s="63">
        <v>200</v>
      </c>
      <c r="O74" s="63">
        <v>200</v>
      </c>
      <c r="P74" s="63">
        <v>200</v>
      </c>
      <c r="Q74" s="3">
        <f t="shared" si="2"/>
        <v>2400</v>
      </c>
      <c r="R74" s="39">
        <f>Q74/Summary!$Q$16</f>
        <v>7.2163542504452826E-5</v>
      </c>
      <c r="S74" s="35"/>
      <c r="T74" s="40" t="e">
        <f t="shared" si="4"/>
        <v>#DIV/0!</v>
      </c>
    </row>
    <row r="75" spans="1:20" s="3" customFormat="1" ht="24.95" customHeight="1">
      <c r="A75" s="3" t="s">
        <v>602</v>
      </c>
      <c r="B75" s="3" t="s">
        <v>1018</v>
      </c>
      <c r="D75" s="26" t="s">
        <v>603</v>
      </c>
      <c r="E75" s="63"/>
      <c r="F75" s="63"/>
      <c r="G75" s="63">
        <v>7500</v>
      </c>
      <c r="H75" s="63">
        <v>7500</v>
      </c>
      <c r="I75" s="63"/>
      <c r="J75" s="63"/>
      <c r="K75" s="63"/>
      <c r="L75" s="63"/>
      <c r="M75" s="63"/>
      <c r="N75" s="63"/>
      <c r="O75" s="63"/>
      <c r="P75" s="63"/>
      <c r="Q75" s="3">
        <f t="shared" si="2"/>
        <v>15000</v>
      </c>
      <c r="R75" s="39">
        <f>Q75/Summary!$Q$16</f>
        <v>4.5102214065283013E-4</v>
      </c>
      <c r="S75" s="35"/>
      <c r="T75" s="40" t="e">
        <f t="shared" si="4"/>
        <v>#DIV/0!</v>
      </c>
    </row>
    <row r="76" spans="1:20" s="3" customFormat="1" ht="24.95" customHeight="1">
      <c r="A76" s="3" t="s">
        <v>604</v>
      </c>
      <c r="B76" s="3" t="s">
        <v>1018</v>
      </c>
      <c r="D76" s="26" t="s">
        <v>605</v>
      </c>
      <c r="E76" s="63"/>
      <c r="F76" s="27"/>
      <c r="G76" s="27"/>
      <c r="H76" s="27"/>
      <c r="I76" s="27"/>
      <c r="J76" s="27"/>
      <c r="K76" s="27"/>
      <c r="L76" s="27"/>
      <c r="M76" s="27"/>
      <c r="N76" s="27"/>
      <c r="O76" s="27"/>
      <c r="P76" s="27"/>
      <c r="Q76" s="3">
        <f t="shared" si="2"/>
        <v>0</v>
      </c>
      <c r="R76" s="39">
        <f>Q76/Summary!$Q$16</f>
        <v>0</v>
      </c>
      <c r="S76" s="35"/>
      <c r="T76" s="40">
        <f t="shared" si="4"/>
        <v>0</v>
      </c>
    </row>
    <row r="77" spans="1:20" s="3" customFormat="1" ht="24.95" customHeight="1">
      <c r="A77" s="3" t="s">
        <v>606</v>
      </c>
      <c r="B77" s="3" t="s">
        <v>1018</v>
      </c>
      <c r="D77" s="26" t="s">
        <v>607</v>
      </c>
      <c r="E77" s="63"/>
      <c r="F77" s="27"/>
      <c r="G77" s="27"/>
      <c r="H77" s="27"/>
      <c r="I77" s="27"/>
      <c r="J77" s="27"/>
      <c r="K77" s="27"/>
      <c r="L77" s="27"/>
      <c r="M77" s="27"/>
      <c r="N77" s="27"/>
      <c r="O77" s="27"/>
      <c r="P77" s="27"/>
      <c r="Q77" s="3">
        <f t="shared" si="2"/>
        <v>0</v>
      </c>
      <c r="R77" s="39">
        <f>Q77/Summary!$Q$16</f>
        <v>0</v>
      </c>
      <c r="S77" s="35"/>
      <c r="T77" s="40">
        <f t="shared" si="4"/>
        <v>0</v>
      </c>
    </row>
    <row r="78" spans="1:20" s="3" customFormat="1" ht="24.95" customHeight="1">
      <c r="A78" s="270" t="s">
        <v>863</v>
      </c>
      <c r="B78" s="3" t="s">
        <v>1018</v>
      </c>
      <c r="D78" s="26" t="s">
        <v>1019</v>
      </c>
      <c r="E78" s="63">
        <v>4567.6000000000004</v>
      </c>
      <c r="F78" s="63">
        <v>4567.6000000000004</v>
      </c>
      <c r="G78" s="63">
        <v>4567.6000000000004</v>
      </c>
      <c r="H78" s="63">
        <v>4567.6000000000004</v>
      </c>
      <c r="I78" s="63">
        <v>4567.6000000000004</v>
      </c>
      <c r="J78" s="63">
        <v>4567.6000000000004</v>
      </c>
      <c r="K78" s="63">
        <v>4567.6000000000004</v>
      </c>
      <c r="L78" s="63">
        <v>4567.6000000000004</v>
      </c>
      <c r="M78" s="63">
        <v>4567.6000000000004</v>
      </c>
      <c r="N78" s="63">
        <v>4567.6000000000004</v>
      </c>
      <c r="O78" s="63">
        <v>4567.6000000000004</v>
      </c>
      <c r="P78" s="63">
        <v>4567.6000000000004</v>
      </c>
      <c r="Q78" s="3">
        <f t="shared" si="2"/>
        <v>54811.19999999999</v>
      </c>
      <c r="R78" s="39">
        <f>Q78/Summary!$Q$16</f>
        <v>1.6480709837166931E-3</v>
      </c>
      <c r="S78" s="35"/>
      <c r="T78" s="40" t="e">
        <f t="shared" si="4"/>
        <v>#DIV/0!</v>
      </c>
    </row>
    <row r="79" spans="1:20" s="3" customFormat="1" ht="24.95" customHeight="1">
      <c r="A79" s="3" t="s">
        <v>608</v>
      </c>
      <c r="B79" s="3" t="s">
        <v>1018</v>
      </c>
      <c r="D79" s="26" t="s">
        <v>609</v>
      </c>
      <c r="E79" s="63"/>
      <c r="F79" s="27"/>
      <c r="G79" s="27"/>
      <c r="H79" s="27"/>
      <c r="I79" s="27"/>
      <c r="J79" s="27"/>
      <c r="K79" s="27"/>
      <c r="L79" s="27"/>
      <c r="M79" s="27"/>
      <c r="N79" s="27"/>
      <c r="O79" s="27"/>
      <c r="P79" s="27"/>
      <c r="Q79" s="3">
        <f t="shared" si="2"/>
        <v>0</v>
      </c>
      <c r="R79" s="39">
        <f>Q79/Summary!$Q$16</f>
        <v>0</v>
      </c>
      <c r="S79" s="35"/>
      <c r="T79" s="40">
        <f t="shared" si="4"/>
        <v>0</v>
      </c>
    </row>
    <row r="80" spans="1:20" s="3" customFormat="1" ht="24.95" hidden="1" customHeight="1">
      <c r="A80" s="3" t="s">
        <v>865</v>
      </c>
      <c r="B80" s="3" t="s">
        <v>1018</v>
      </c>
      <c r="D80" s="26" t="s">
        <v>866</v>
      </c>
      <c r="E80" s="63"/>
      <c r="F80" s="27"/>
      <c r="G80" s="27"/>
      <c r="H80" s="27"/>
      <c r="I80" s="27"/>
      <c r="J80" s="27"/>
      <c r="K80" s="27"/>
      <c r="L80" s="27"/>
      <c r="M80" s="27"/>
      <c r="N80" s="27"/>
      <c r="O80" s="27"/>
      <c r="P80" s="27"/>
      <c r="Q80" s="3">
        <f t="shared" ref="Q80:Q143" si="5">SUM(E80:P80)</f>
        <v>0</v>
      </c>
      <c r="R80" s="39">
        <f>Q80/Summary!$Q$16</f>
        <v>0</v>
      </c>
      <c r="S80" s="35"/>
      <c r="T80" s="40">
        <f t="shared" si="4"/>
        <v>0</v>
      </c>
    </row>
    <row r="81" spans="1:20" s="3" customFormat="1" ht="24.95" hidden="1" customHeight="1">
      <c r="A81" s="3" t="s">
        <v>867</v>
      </c>
      <c r="B81" s="3" t="s">
        <v>1018</v>
      </c>
      <c r="D81" s="26" t="s">
        <v>868</v>
      </c>
      <c r="E81" s="63"/>
      <c r="F81" s="27"/>
      <c r="G81" s="27"/>
      <c r="H81" s="27"/>
      <c r="I81" s="27"/>
      <c r="J81" s="27"/>
      <c r="K81" s="27"/>
      <c r="L81" s="27"/>
      <c r="M81" s="27"/>
      <c r="N81" s="27"/>
      <c r="O81" s="27"/>
      <c r="P81" s="27"/>
      <c r="Q81" s="3">
        <f t="shared" si="5"/>
        <v>0</v>
      </c>
      <c r="R81" s="39">
        <f>Q81/Summary!$Q$16</f>
        <v>0</v>
      </c>
      <c r="S81" s="35"/>
      <c r="T81" s="40">
        <f t="shared" si="4"/>
        <v>0</v>
      </c>
    </row>
    <row r="82" spans="1:20" s="3" customFormat="1" ht="24.95" customHeight="1">
      <c r="A82" s="3" t="s">
        <v>869</v>
      </c>
      <c r="B82" s="3" t="s">
        <v>1018</v>
      </c>
      <c r="D82" s="26" t="s">
        <v>870</v>
      </c>
      <c r="E82" s="63"/>
      <c r="F82" s="27"/>
      <c r="G82" s="27"/>
      <c r="H82" s="27"/>
      <c r="I82" s="27"/>
      <c r="J82" s="27"/>
      <c r="K82" s="27"/>
      <c r="L82" s="27"/>
      <c r="M82" s="27"/>
      <c r="N82" s="27"/>
      <c r="O82" s="27"/>
      <c r="P82" s="27"/>
      <c r="Q82" s="3">
        <f t="shared" si="5"/>
        <v>0</v>
      </c>
      <c r="R82" s="39">
        <f>Q82/Summary!$Q$16</f>
        <v>0</v>
      </c>
      <c r="S82" s="35"/>
      <c r="T82" s="40">
        <f t="shared" si="4"/>
        <v>0</v>
      </c>
    </row>
    <row r="83" spans="1:20" s="3" customFormat="1" ht="24.95" customHeight="1">
      <c r="A83" s="3" t="s">
        <v>871</v>
      </c>
      <c r="B83" s="3" t="s">
        <v>1018</v>
      </c>
      <c r="D83" s="26" t="s">
        <v>872</v>
      </c>
      <c r="E83" s="63"/>
      <c r="F83" s="63"/>
      <c r="G83" s="63"/>
      <c r="H83" s="63"/>
      <c r="I83" s="63"/>
      <c r="J83" s="63"/>
      <c r="K83" s="63"/>
      <c r="L83" s="63"/>
      <c r="M83" s="63"/>
      <c r="N83" s="63"/>
      <c r="O83" s="63"/>
      <c r="P83" s="63"/>
      <c r="Q83" s="3">
        <f t="shared" si="5"/>
        <v>0</v>
      </c>
      <c r="R83" s="39">
        <f>Q83/Summary!$Q$16</f>
        <v>0</v>
      </c>
      <c r="S83" s="35"/>
      <c r="T83" s="40">
        <f t="shared" si="4"/>
        <v>0</v>
      </c>
    </row>
    <row r="84" spans="1:20" s="3" customFormat="1" ht="24.95" customHeight="1">
      <c r="A84" s="3" t="s">
        <v>873</v>
      </c>
      <c r="B84" s="3" t="s">
        <v>1018</v>
      </c>
      <c r="D84" s="26" t="s">
        <v>874</v>
      </c>
      <c r="E84" s="63"/>
      <c r="F84" s="27"/>
      <c r="G84" s="27"/>
      <c r="H84" s="27"/>
      <c r="I84" s="27"/>
      <c r="J84" s="27"/>
      <c r="K84" s="27"/>
      <c r="L84" s="27"/>
      <c r="M84" s="27"/>
      <c r="N84" s="27"/>
      <c r="O84" s="27"/>
      <c r="P84" s="27"/>
      <c r="Q84" s="3">
        <f t="shared" si="5"/>
        <v>0</v>
      </c>
      <c r="R84" s="39">
        <f>Q84/Summary!$Q$16</f>
        <v>0</v>
      </c>
      <c r="S84" s="35"/>
      <c r="T84" s="40">
        <f t="shared" si="4"/>
        <v>0</v>
      </c>
    </row>
    <row r="85" spans="1:20" s="3" customFormat="1" ht="24.95" customHeight="1">
      <c r="A85" s="3" t="s">
        <v>875</v>
      </c>
      <c r="B85" s="3" t="s">
        <v>1018</v>
      </c>
      <c r="D85" s="26" t="s">
        <v>876</v>
      </c>
      <c r="E85" s="63"/>
      <c r="F85" s="27"/>
      <c r="G85" s="27"/>
      <c r="H85" s="27"/>
      <c r="I85" s="27"/>
      <c r="J85" s="27"/>
      <c r="K85" s="27"/>
      <c r="L85" s="27"/>
      <c r="M85" s="27"/>
      <c r="N85" s="27"/>
      <c r="O85" s="27"/>
      <c r="P85" s="27"/>
      <c r="Q85" s="3">
        <f t="shared" si="5"/>
        <v>0</v>
      </c>
      <c r="R85" s="39">
        <f>Q85/Summary!$Q$16</f>
        <v>0</v>
      </c>
      <c r="S85" s="35"/>
      <c r="T85" s="40">
        <f t="shared" si="4"/>
        <v>0</v>
      </c>
    </row>
    <row r="86" spans="1:20" s="3" customFormat="1" ht="24.95" customHeight="1">
      <c r="A86" s="3" t="s">
        <v>877</v>
      </c>
      <c r="B86" s="3" t="s">
        <v>1018</v>
      </c>
      <c r="D86" s="26" t="s">
        <v>878</v>
      </c>
      <c r="E86" s="63"/>
      <c r="F86" s="27"/>
      <c r="G86" s="27"/>
      <c r="H86" s="27"/>
      <c r="I86" s="27"/>
      <c r="J86" s="27"/>
      <c r="K86" s="27"/>
      <c r="L86" s="27"/>
      <c r="M86" s="27"/>
      <c r="N86" s="27"/>
      <c r="O86" s="27"/>
      <c r="P86" s="27"/>
      <c r="Q86" s="3">
        <f t="shared" si="5"/>
        <v>0</v>
      </c>
      <c r="R86" s="39">
        <f>Q86/Summary!$Q$16</f>
        <v>0</v>
      </c>
      <c r="S86" s="35"/>
      <c r="T86" s="40"/>
    </row>
    <row r="87" spans="1:20" s="3" customFormat="1" ht="24.95" customHeight="1">
      <c r="A87" s="3" t="s">
        <v>879</v>
      </c>
      <c r="B87" s="3" t="s">
        <v>1018</v>
      </c>
      <c r="D87" s="26" t="s">
        <v>880</v>
      </c>
      <c r="E87" s="27">
        <f>ROUND(Summary!E16*45%*0.4%,2)</f>
        <v>4067.72</v>
      </c>
      <c r="F87" s="27">
        <f>ROUND(Summary!F16*45%*0.4%,2)</f>
        <v>3269.42</v>
      </c>
      <c r="G87" s="27">
        <f>ROUND(Summary!G16*45%*0.4%,2)</f>
        <v>4213.7299999999996</v>
      </c>
      <c r="H87" s="27">
        <f>ROUND(Summary!H16*45%*0.4%,2)</f>
        <v>4987.8500000000004</v>
      </c>
      <c r="I87" s="27">
        <f>ROUND(Summary!I16*45%*0.4%,2)</f>
        <v>5573.45</v>
      </c>
      <c r="J87" s="27">
        <f>ROUND(Summary!J16*45%*0.4%,2)</f>
        <v>4713.88</v>
      </c>
      <c r="K87" s="27">
        <f>ROUND(Summary!K16*45%*0.4%,2)</f>
        <v>5352.93</v>
      </c>
      <c r="L87" s="27">
        <f>ROUND(Summary!L16*45%*0.4%,2)</f>
        <v>5484.77</v>
      </c>
      <c r="M87" s="27">
        <f>ROUND(Summary!M16*45%*0.4%,2)</f>
        <v>5591.2</v>
      </c>
      <c r="N87" s="27">
        <f>ROUND(Summary!N16*45%*0.4%,2)</f>
        <v>6242.61</v>
      </c>
      <c r="O87" s="27">
        <f>ROUND(Summary!O16*45%*0.4%,2)</f>
        <v>5305.65</v>
      </c>
      <c r="P87" s="27">
        <f>ROUND(Summary!P16*45%*0.4%,2)</f>
        <v>5060.8100000000004</v>
      </c>
      <c r="Q87" s="3">
        <f t="shared" si="5"/>
        <v>59864.02</v>
      </c>
      <c r="R87" s="39">
        <f>Q87/Summary!$Q$16</f>
        <v>1.799999896565589E-3</v>
      </c>
      <c r="S87" s="35"/>
      <c r="T87" s="40" t="e">
        <f>-IF(Q87-S87=0,0,(Q87-S87)/S87)</f>
        <v>#DIV/0!</v>
      </c>
    </row>
    <row r="88" spans="1:20" s="3" customFormat="1" ht="24.75" hidden="1" customHeight="1">
      <c r="A88" s="3" t="s">
        <v>881</v>
      </c>
      <c r="B88" s="3" t="s">
        <v>1018</v>
      </c>
      <c r="D88" s="26" t="s">
        <v>882</v>
      </c>
      <c r="E88" s="63"/>
      <c r="F88" s="27"/>
      <c r="G88" s="27"/>
      <c r="H88" s="27"/>
      <c r="I88" s="27"/>
      <c r="J88" s="27"/>
      <c r="K88" s="27"/>
      <c r="L88" s="27"/>
      <c r="M88" s="27"/>
      <c r="N88" s="27"/>
      <c r="O88" s="27"/>
      <c r="P88" s="27"/>
      <c r="Q88" s="3">
        <f t="shared" si="5"/>
        <v>0</v>
      </c>
      <c r="R88" s="39">
        <f>Q88/Summary!$Q$16</f>
        <v>0</v>
      </c>
      <c r="S88" s="35"/>
      <c r="T88" s="40">
        <f>-IF(Q88-S88=0,0,(Q88-S88)/S88)</f>
        <v>0</v>
      </c>
    </row>
    <row r="89" spans="1:20" s="3" customFormat="1" ht="24.95" hidden="1" customHeight="1">
      <c r="A89" s="3" t="s">
        <v>268</v>
      </c>
      <c r="B89" s="3" t="s">
        <v>1018</v>
      </c>
      <c r="D89" s="26" t="s">
        <v>610</v>
      </c>
      <c r="E89" s="63"/>
      <c r="F89" s="27"/>
      <c r="G89" s="27"/>
      <c r="H89" s="27"/>
      <c r="I89" s="27"/>
      <c r="J89" s="27"/>
      <c r="K89" s="27"/>
      <c r="L89" s="27"/>
      <c r="M89" s="27"/>
      <c r="N89" s="27"/>
      <c r="O89" s="27"/>
      <c r="P89" s="27"/>
      <c r="Q89" s="3">
        <f t="shared" si="5"/>
        <v>0</v>
      </c>
      <c r="R89" s="39">
        <f>Q89/Summary!$Q$16</f>
        <v>0</v>
      </c>
      <c r="S89" s="35"/>
      <c r="T89" s="40">
        <f>-IF(Q89-S89=0,0,(Q89-S89)/S89)</f>
        <v>0</v>
      </c>
    </row>
    <row r="90" spans="1:20" s="3" customFormat="1" ht="24.95" hidden="1" customHeight="1">
      <c r="A90" s="3" t="s">
        <v>883</v>
      </c>
      <c r="B90" s="3" t="s">
        <v>1018</v>
      </c>
      <c r="D90" s="26" t="s">
        <v>884</v>
      </c>
      <c r="E90" s="63"/>
      <c r="F90" s="27"/>
      <c r="G90" s="27"/>
      <c r="H90" s="27"/>
      <c r="I90" s="27"/>
      <c r="J90" s="27"/>
      <c r="K90" s="27"/>
      <c r="L90" s="27"/>
      <c r="M90" s="27"/>
      <c r="N90" s="27"/>
      <c r="O90" s="27"/>
      <c r="P90" s="27"/>
      <c r="Q90" s="3">
        <f t="shared" si="5"/>
        <v>0</v>
      </c>
      <c r="R90" s="39">
        <f>Q90/Summary!$Q$16</f>
        <v>0</v>
      </c>
      <c r="S90" s="35"/>
      <c r="T90" s="40">
        <f>-IF(Q90-S90=0,0,(Q90-S90)/S90)</f>
        <v>0</v>
      </c>
    </row>
    <row r="91" spans="1:20" s="3" customFormat="1" ht="24.95" hidden="1" customHeight="1">
      <c r="A91" s="3" t="s">
        <v>270</v>
      </c>
      <c r="B91" s="3" t="s">
        <v>1018</v>
      </c>
      <c r="D91" s="26" t="s">
        <v>271</v>
      </c>
      <c r="E91" s="63"/>
      <c r="F91" s="27"/>
      <c r="G91" s="27"/>
      <c r="H91" s="27"/>
      <c r="I91" s="27"/>
      <c r="J91" s="27"/>
      <c r="K91" s="27"/>
      <c r="L91" s="27"/>
      <c r="M91" s="27"/>
      <c r="N91" s="27"/>
      <c r="O91" s="27"/>
      <c r="P91" s="27"/>
      <c r="Q91" s="3">
        <f t="shared" si="5"/>
        <v>0</v>
      </c>
      <c r="R91" s="39">
        <f>Q91/Summary!$Q$16</f>
        <v>0</v>
      </c>
      <c r="S91" s="35"/>
      <c r="T91" s="40">
        <f>-IF(Q91-S91=0,0,(Q91-S91)/S91)</f>
        <v>0</v>
      </c>
    </row>
    <row r="92" spans="1:20" s="3" customFormat="1" ht="24.95" customHeight="1">
      <c r="A92" s="3" t="s">
        <v>885</v>
      </c>
      <c r="B92" s="3" t="s">
        <v>1018</v>
      </c>
      <c r="D92" s="26" t="s">
        <v>886</v>
      </c>
      <c r="E92" s="63"/>
      <c r="F92" s="27"/>
      <c r="G92" s="27"/>
      <c r="H92" s="27"/>
      <c r="I92" s="27"/>
      <c r="J92" s="27"/>
      <c r="K92" s="27"/>
      <c r="L92" s="27"/>
      <c r="M92" s="27"/>
      <c r="N92" s="27"/>
      <c r="O92" s="27"/>
      <c r="P92" s="27"/>
      <c r="Q92" s="3">
        <f t="shared" si="5"/>
        <v>0</v>
      </c>
      <c r="R92" s="39">
        <f>Q92/Summary!$Q$16</f>
        <v>0</v>
      </c>
      <c r="S92" s="35"/>
      <c r="T92" s="40"/>
    </row>
    <row r="93" spans="1:20" s="3" customFormat="1" ht="24.95" customHeight="1">
      <c r="A93" s="3" t="s">
        <v>887</v>
      </c>
      <c r="B93" s="3" t="s">
        <v>1018</v>
      </c>
      <c r="D93" s="26" t="s">
        <v>888</v>
      </c>
      <c r="E93" s="63"/>
      <c r="F93" s="63"/>
      <c r="G93" s="63"/>
      <c r="H93" s="63"/>
      <c r="I93" s="63"/>
      <c r="J93" s="63"/>
      <c r="K93" s="63"/>
      <c r="L93" s="63"/>
      <c r="M93" s="63"/>
      <c r="N93" s="63"/>
      <c r="O93" s="63"/>
      <c r="P93" s="63"/>
      <c r="Q93" s="3">
        <f t="shared" si="5"/>
        <v>0</v>
      </c>
      <c r="R93" s="39">
        <f>Q93/Summary!$Q$16</f>
        <v>0</v>
      </c>
      <c r="S93" s="35"/>
      <c r="T93" s="40">
        <f t="shared" ref="T93:T124" si="6">-IF(Q93-S93=0,0,(Q93-S93)/S93)</f>
        <v>0</v>
      </c>
    </row>
    <row r="94" spans="1:20" s="3" customFormat="1" ht="24.95" hidden="1" customHeight="1">
      <c r="A94" s="3" t="s">
        <v>889</v>
      </c>
      <c r="B94" s="3" t="s">
        <v>1018</v>
      </c>
      <c r="D94" s="26" t="s">
        <v>890</v>
      </c>
      <c r="E94" s="63"/>
      <c r="F94" s="27"/>
      <c r="G94" s="27"/>
      <c r="H94" s="27"/>
      <c r="I94" s="27"/>
      <c r="J94" s="27"/>
      <c r="K94" s="27"/>
      <c r="L94" s="27"/>
      <c r="M94" s="27"/>
      <c r="N94" s="27"/>
      <c r="O94" s="27"/>
      <c r="P94" s="27"/>
      <c r="Q94" s="3">
        <f t="shared" si="5"/>
        <v>0</v>
      </c>
      <c r="R94" s="39">
        <f>Q94/Summary!$Q$16</f>
        <v>0</v>
      </c>
      <c r="S94" s="35"/>
      <c r="T94" s="40">
        <f t="shared" si="6"/>
        <v>0</v>
      </c>
    </row>
    <row r="95" spans="1:20" s="3" customFormat="1" ht="24.95" hidden="1" customHeight="1">
      <c r="A95" s="3" t="s">
        <v>891</v>
      </c>
      <c r="B95" s="3" t="s">
        <v>1018</v>
      </c>
      <c r="D95" s="26" t="s">
        <v>892</v>
      </c>
      <c r="E95" s="63"/>
      <c r="F95" s="27"/>
      <c r="G95" s="27"/>
      <c r="H95" s="27"/>
      <c r="I95" s="27"/>
      <c r="J95" s="27"/>
      <c r="K95" s="27"/>
      <c r="L95" s="27"/>
      <c r="M95" s="27"/>
      <c r="N95" s="27"/>
      <c r="O95" s="27"/>
      <c r="P95" s="27"/>
      <c r="Q95" s="3">
        <f t="shared" si="5"/>
        <v>0</v>
      </c>
      <c r="R95" s="39">
        <f>Q95/Summary!$Q$16</f>
        <v>0</v>
      </c>
      <c r="S95" s="35"/>
      <c r="T95" s="40">
        <f t="shared" si="6"/>
        <v>0</v>
      </c>
    </row>
    <row r="96" spans="1:20" s="3" customFormat="1" ht="24.95" hidden="1" customHeight="1">
      <c r="A96" s="3" t="s">
        <v>893</v>
      </c>
      <c r="B96" s="3" t="s">
        <v>1018</v>
      </c>
      <c r="D96" s="26" t="s">
        <v>894</v>
      </c>
      <c r="E96" s="63"/>
      <c r="F96" s="27"/>
      <c r="G96" s="27"/>
      <c r="H96" s="27"/>
      <c r="I96" s="27"/>
      <c r="J96" s="27"/>
      <c r="K96" s="27"/>
      <c r="L96" s="27"/>
      <c r="M96" s="27"/>
      <c r="N96" s="27"/>
      <c r="O96" s="27"/>
      <c r="P96" s="27"/>
      <c r="Q96" s="3">
        <f t="shared" si="5"/>
        <v>0</v>
      </c>
      <c r="R96" s="39">
        <f>Q96/Summary!$Q$16</f>
        <v>0</v>
      </c>
      <c r="S96" s="35"/>
      <c r="T96" s="40">
        <f t="shared" si="6"/>
        <v>0</v>
      </c>
    </row>
    <row r="97" spans="1:20" s="3" customFormat="1" ht="24.95" hidden="1" customHeight="1">
      <c r="A97" s="3" t="s">
        <v>895</v>
      </c>
      <c r="B97" s="3" t="s">
        <v>1018</v>
      </c>
      <c r="D97" s="26" t="s">
        <v>896</v>
      </c>
      <c r="E97" s="63"/>
      <c r="F97" s="27"/>
      <c r="G97" s="27"/>
      <c r="H97" s="27"/>
      <c r="I97" s="27"/>
      <c r="J97" s="27"/>
      <c r="K97" s="27"/>
      <c r="L97" s="27"/>
      <c r="M97" s="27"/>
      <c r="N97" s="27"/>
      <c r="O97" s="27"/>
      <c r="P97" s="27"/>
      <c r="Q97" s="3">
        <f t="shared" si="5"/>
        <v>0</v>
      </c>
      <c r="R97" s="39">
        <f>Q97/Summary!$Q$16</f>
        <v>0</v>
      </c>
      <c r="S97" s="35"/>
      <c r="T97" s="40">
        <f t="shared" si="6"/>
        <v>0</v>
      </c>
    </row>
    <row r="98" spans="1:20" s="3" customFormat="1" ht="24.95" hidden="1" customHeight="1">
      <c r="A98" s="3" t="s">
        <v>897</v>
      </c>
      <c r="B98" s="3" t="s">
        <v>1018</v>
      </c>
      <c r="D98" s="26" t="s">
        <v>898</v>
      </c>
      <c r="E98" s="63"/>
      <c r="F98" s="27"/>
      <c r="G98" s="27"/>
      <c r="H98" s="27"/>
      <c r="I98" s="27"/>
      <c r="J98" s="27"/>
      <c r="K98" s="27"/>
      <c r="L98" s="27"/>
      <c r="M98" s="27"/>
      <c r="N98" s="27"/>
      <c r="O98" s="27"/>
      <c r="P98" s="27"/>
      <c r="Q98" s="3">
        <f t="shared" si="5"/>
        <v>0</v>
      </c>
      <c r="R98" s="39">
        <f>Q98/Summary!$Q$16</f>
        <v>0</v>
      </c>
      <c r="S98" s="35"/>
      <c r="T98" s="40">
        <f t="shared" si="6"/>
        <v>0</v>
      </c>
    </row>
    <row r="99" spans="1:20" s="3" customFormat="1" ht="24.95" hidden="1" customHeight="1">
      <c r="A99" s="3" t="s">
        <v>899</v>
      </c>
      <c r="B99" s="3" t="s">
        <v>1018</v>
      </c>
      <c r="D99" s="26" t="s">
        <v>900</v>
      </c>
      <c r="E99" s="63"/>
      <c r="F99" s="27"/>
      <c r="G99" s="27"/>
      <c r="H99" s="27"/>
      <c r="I99" s="27"/>
      <c r="J99" s="27"/>
      <c r="K99" s="27"/>
      <c r="L99" s="27"/>
      <c r="M99" s="27"/>
      <c r="N99" s="27"/>
      <c r="O99" s="27"/>
      <c r="P99" s="27"/>
      <c r="Q99" s="3">
        <f t="shared" si="5"/>
        <v>0</v>
      </c>
      <c r="R99" s="39">
        <f>Q99/Summary!$Q$16</f>
        <v>0</v>
      </c>
      <c r="S99" s="35"/>
      <c r="T99" s="40">
        <f t="shared" si="6"/>
        <v>0</v>
      </c>
    </row>
    <row r="100" spans="1:20" s="3" customFormat="1" ht="24.75" hidden="1" customHeight="1">
      <c r="A100" s="3" t="s">
        <v>901</v>
      </c>
      <c r="B100" s="3" t="s">
        <v>1018</v>
      </c>
      <c r="D100" s="26" t="s">
        <v>902</v>
      </c>
      <c r="E100" s="63"/>
      <c r="F100" s="27"/>
      <c r="G100" s="27"/>
      <c r="H100" s="27"/>
      <c r="I100" s="27"/>
      <c r="J100" s="27"/>
      <c r="K100" s="27"/>
      <c r="L100" s="27"/>
      <c r="M100" s="27"/>
      <c r="N100" s="27"/>
      <c r="O100" s="27"/>
      <c r="P100" s="27"/>
      <c r="Q100" s="3">
        <f t="shared" si="5"/>
        <v>0</v>
      </c>
      <c r="R100" s="39">
        <f>Q100/Summary!$Q$16</f>
        <v>0</v>
      </c>
      <c r="S100" s="35"/>
      <c r="T100" s="40">
        <f t="shared" si="6"/>
        <v>0</v>
      </c>
    </row>
    <row r="101" spans="1:20" s="3" customFormat="1" ht="24.95" hidden="1" customHeight="1">
      <c r="A101" s="3" t="s">
        <v>903</v>
      </c>
      <c r="B101" s="3" t="s">
        <v>1018</v>
      </c>
      <c r="D101" s="26" t="s">
        <v>904</v>
      </c>
      <c r="E101" s="63"/>
      <c r="F101" s="27"/>
      <c r="G101" s="27"/>
      <c r="H101" s="27"/>
      <c r="I101" s="27"/>
      <c r="J101" s="27"/>
      <c r="K101" s="27"/>
      <c r="L101" s="27"/>
      <c r="M101" s="27"/>
      <c r="N101" s="27"/>
      <c r="O101" s="27"/>
      <c r="P101" s="27"/>
      <c r="Q101" s="3">
        <f t="shared" si="5"/>
        <v>0</v>
      </c>
      <c r="R101" s="39">
        <f>Q101/Summary!$Q$16</f>
        <v>0</v>
      </c>
      <c r="S101" s="35"/>
      <c r="T101" s="40">
        <f t="shared" si="6"/>
        <v>0</v>
      </c>
    </row>
    <row r="102" spans="1:20" s="3" customFormat="1" ht="24.95" hidden="1" customHeight="1">
      <c r="A102" s="3" t="s">
        <v>905</v>
      </c>
      <c r="B102" s="3" t="s">
        <v>1018</v>
      </c>
      <c r="D102" s="26" t="s">
        <v>906</v>
      </c>
      <c r="E102" s="63"/>
      <c r="F102" s="27"/>
      <c r="G102" s="27"/>
      <c r="H102" s="27"/>
      <c r="I102" s="27"/>
      <c r="J102" s="27"/>
      <c r="K102" s="27"/>
      <c r="L102" s="27"/>
      <c r="M102" s="27"/>
      <c r="N102" s="27"/>
      <c r="O102" s="27"/>
      <c r="P102" s="27"/>
      <c r="Q102" s="3">
        <f t="shared" si="5"/>
        <v>0</v>
      </c>
      <c r="R102" s="39">
        <f>Q102/Summary!$Q$16</f>
        <v>0</v>
      </c>
      <c r="S102" s="35"/>
      <c r="T102" s="40">
        <f t="shared" si="6"/>
        <v>0</v>
      </c>
    </row>
    <row r="103" spans="1:20" s="3" customFormat="1" ht="24.95" hidden="1" customHeight="1">
      <c r="A103" s="3" t="s">
        <v>907</v>
      </c>
      <c r="B103" s="3" t="s">
        <v>1018</v>
      </c>
      <c r="D103" s="26" t="s">
        <v>908</v>
      </c>
      <c r="E103" s="63"/>
      <c r="F103" s="27"/>
      <c r="G103" s="27"/>
      <c r="H103" s="27"/>
      <c r="I103" s="27"/>
      <c r="J103" s="27"/>
      <c r="K103" s="27"/>
      <c r="L103" s="27"/>
      <c r="M103" s="27"/>
      <c r="N103" s="27"/>
      <c r="O103" s="27"/>
      <c r="P103" s="27"/>
      <c r="Q103" s="3">
        <f t="shared" si="5"/>
        <v>0</v>
      </c>
      <c r="R103" s="39">
        <f>Q103/Summary!$Q$16</f>
        <v>0</v>
      </c>
      <c r="S103" s="35"/>
      <c r="T103" s="40">
        <f t="shared" si="6"/>
        <v>0</v>
      </c>
    </row>
    <row r="104" spans="1:20" s="3" customFormat="1" ht="24.95" hidden="1" customHeight="1">
      <c r="A104" s="3" t="s">
        <v>909</v>
      </c>
      <c r="B104" s="3" t="s">
        <v>1018</v>
      </c>
      <c r="D104" s="26" t="s">
        <v>910</v>
      </c>
      <c r="E104" s="63"/>
      <c r="F104" s="27"/>
      <c r="G104" s="27"/>
      <c r="H104" s="27"/>
      <c r="I104" s="27"/>
      <c r="J104" s="27"/>
      <c r="K104" s="27"/>
      <c r="L104" s="27"/>
      <c r="M104" s="27"/>
      <c r="N104" s="27"/>
      <c r="O104" s="27"/>
      <c r="P104" s="27"/>
      <c r="Q104" s="3">
        <f t="shared" si="5"/>
        <v>0</v>
      </c>
      <c r="R104" s="39">
        <f>Q104/Summary!$Q$16</f>
        <v>0</v>
      </c>
      <c r="S104" s="35"/>
      <c r="T104" s="40">
        <f t="shared" si="6"/>
        <v>0</v>
      </c>
    </row>
    <row r="105" spans="1:20" s="3" customFormat="1" ht="24.95" hidden="1" customHeight="1">
      <c r="A105" s="3" t="s">
        <v>911</v>
      </c>
      <c r="B105" s="3" t="s">
        <v>1018</v>
      </c>
      <c r="D105" s="26" t="s">
        <v>912</v>
      </c>
      <c r="E105" s="63"/>
      <c r="F105" s="27"/>
      <c r="G105" s="27"/>
      <c r="H105" s="27"/>
      <c r="I105" s="27"/>
      <c r="J105" s="27"/>
      <c r="K105" s="27"/>
      <c r="L105" s="27"/>
      <c r="M105" s="27"/>
      <c r="N105" s="27"/>
      <c r="O105" s="27"/>
      <c r="P105" s="27"/>
      <c r="Q105" s="3">
        <f t="shared" si="5"/>
        <v>0</v>
      </c>
      <c r="R105" s="39">
        <f>Q105/Summary!$Q$16</f>
        <v>0</v>
      </c>
      <c r="S105" s="35"/>
      <c r="T105" s="40">
        <f t="shared" si="6"/>
        <v>0</v>
      </c>
    </row>
    <row r="106" spans="1:20" s="3" customFormat="1" ht="24.95" hidden="1" customHeight="1">
      <c r="A106" s="3" t="s">
        <v>913</v>
      </c>
      <c r="B106" s="3" t="s">
        <v>1018</v>
      </c>
      <c r="D106" s="26" t="s">
        <v>914</v>
      </c>
      <c r="E106" s="63"/>
      <c r="F106" s="27"/>
      <c r="G106" s="27"/>
      <c r="H106" s="27"/>
      <c r="I106" s="27"/>
      <c r="J106" s="27"/>
      <c r="K106" s="27"/>
      <c r="L106" s="27"/>
      <c r="M106" s="27"/>
      <c r="N106" s="27"/>
      <c r="O106" s="27"/>
      <c r="P106" s="27"/>
      <c r="Q106" s="3">
        <f t="shared" si="5"/>
        <v>0</v>
      </c>
      <c r="R106" s="39">
        <f>Q106/Summary!$Q$16</f>
        <v>0</v>
      </c>
      <c r="S106" s="35"/>
      <c r="T106" s="40">
        <f t="shared" si="6"/>
        <v>0</v>
      </c>
    </row>
    <row r="107" spans="1:20" s="3" customFormat="1" ht="24.95" hidden="1" customHeight="1">
      <c r="A107" s="3" t="s">
        <v>915</v>
      </c>
      <c r="B107" s="3" t="s">
        <v>1018</v>
      </c>
      <c r="D107" s="26" t="s">
        <v>916</v>
      </c>
      <c r="E107" s="63"/>
      <c r="F107" s="27"/>
      <c r="G107" s="27"/>
      <c r="H107" s="27"/>
      <c r="I107" s="27"/>
      <c r="J107" s="27"/>
      <c r="K107" s="27"/>
      <c r="L107" s="27"/>
      <c r="M107" s="27"/>
      <c r="N107" s="27"/>
      <c r="O107" s="27"/>
      <c r="P107" s="27"/>
      <c r="Q107" s="3">
        <f t="shared" si="5"/>
        <v>0</v>
      </c>
      <c r="R107" s="39">
        <f>Q107/Summary!$Q$16</f>
        <v>0</v>
      </c>
      <c r="S107" s="35"/>
      <c r="T107" s="40">
        <f t="shared" si="6"/>
        <v>0</v>
      </c>
    </row>
    <row r="108" spans="1:20" s="3" customFormat="1" ht="24.95" hidden="1" customHeight="1">
      <c r="A108" s="3" t="s">
        <v>917</v>
      </c>
      <c r="B108" s="3" t="s">
        <v>1018</v>
      </c>
      <c r="D108" s="26" t="s">
        <v>918</v>
      </c>
      <c r="E108" s="63"/>
      <c r="F108" s="27"/>
      <c r="G108" s="27"/>
      <c r="H108" s="27"/>
      <c r="I108" s="27"/>
      <c r="J108" s="27"/>
      <c r="K108" s="27"/>
      <c r="L108" s="27"/>
      <c r="M108" s="27"/>
      <c r="N108" s="27"/>
      <c r="O108" s="27"/>
      <c r="P108" s="27"/>
      <c r="Q108" s="3">
        <f t="shared" si="5"/>
        <v>0</v>
      </c>
      <c r="R108" s="39">
        <f>Q108/Summary!$Q$16</f>
        <v>0</v>
      </c>
      <c r="S108" s="35"/>
      <c r="T108" s="40">
        <f t="shared" si="6"/>
        <v>0</v>
      </c>
    </row>
    <row r="109" spans="1:20" s="3" customFormat="1" ht="24.95" hidden="1" customHeight="1">
      <c r="A109" s="3" t="s">
        <v>919</v>
      </c>
      <c r="B109" s="3" t="s">
        <v>1018</v>
      </c>
      <c r="D109" s="26" t="s">
        <v>920</v>
      </c>
      <c r="E109" s="63"/>
      <c r="F109" s="27"/>
      <c r="G109" s="27"/>
      <c r="H109" s="27"/>
      <c r="I109" s="27"/>
      <c r="J109" s="27"/>
      <c r="K109" s="27"/>
      <c r="L109" s="27"/>
      <c r="M109" s="27"/>
      <c r="N109" s="27"/>
      <c r="O109" s="27"/>
      <c r="P109" s="27"/>
      <c r="Q109" s="3">
        <f t="shared" si="5"/>
        <v>0</v>
      </c>
      <c r="R109" s="39">
        <f>Q109/Summary!$Q$16</f>
        <v>0</v>
      </c>
      <c r="S109" s="35"/>
      <c r="T109" s="40">
        <f t="shared" si="6"/>
        <v>0</v>
      </c>
    </row>
    <row r="110" spans="1:20" s="3" customFormat="1" ht="24.95" hidden="1" customHeight="1">
      <c r="A110" s="3" t="s">
        <v>921</v>
      </c>
      <c r="B110" s="3" t="s">
        <v>1018</v>
      </c>
      <c r="D110" s="26" t="s">
        <v>922</v>
      </c>
      <c r="E110" s="63"/>
      <c r="F110" s="27"/>
      <c r="G110" s="27"/>
      <c r="H110" s="27"/>
      <c r="I110" s="27"/>
      <c r="J110" s="27"/>
      <c r="K110" s="27"/>
      <c r="L110" s="27"/>
      <c r="M110" s="27"/>
      <c r="N110" s="27"/>
      <c r="O110" s="27"/>
      <c r="P110" s="27"/>
      <c r="Q110" s="3">
        <f t="shared" si="5"/>
        <v>0</v>
      </c>
      <c r="R110" s="39">
        <f>Q110/Summary!$Q$16</f>
        <v>0</v>
      </c>
      <c r="S110" s="35"/>
      <c r="T110" s="40">
        <f t="shared" si="6"/>
        <v>0</v>
      </c>
    </row>
    <row r="111" spans="1:20" s="3" customFormat="1" ht="24.95" hidden="1" customHeight="1">
      <c r="A111" s="3" t="s">
        <v>923</v>
      </c>
      <c r="B111" s="3" t="s">
        <v>1018</v>
      </c>
      <c r="D111" s="26" t="s">
        <v>924</v>
      </c>
      <c r="E111" s="63"/>
      <c r="F111" s="27"/>
      <c r="G111" s="27"/>
      <c r="H111" s="27"/>
      <c r="I111" s="27"/>
      <c r="J111" s="27"/>
      <c r="K111" s="27"/>
      <c r="L111" s="27"/>
      <c r="M111" s="27"/>
      <c r="N111" s="27"/>
      <c r="O111" s="27"/>
      <c r="P111" s="27"/>
      <c r="Q111" s="3">
        <f t="shared" si="5"/>
        <v>0</v>
      </c>
      <c r="R111" s="39">
        <f>Q111/Summary!$Q$16</f>
        <v>0</v>
      </c>
      <c r="S111" s="35"/>
      <c r="T111" s="40">
        <f t="shared" si="6"/>
        <v>0</v>
      </c>
    </row>
    <row r="112" spans="1:20" s="3" customFormat="1" ht="24.95" hidden="1" customHeight="1">
      <c r="A112" s="3" t="s">
        <v>925</v>
      </c>
      <c r="B112" s="3" t="s">
        <v>1018</v>
      </c>
      <c r="D112" s="26" t="s">
        <v>926</v>
      </c>
      <c r="E112" s="63"/>
      <c r="F112" s="27"/>
      <c r="G112" s="27"/>
      <c r="H112" s="27"/>
      <c r="I112" s="27"/>
      <c r="J112" s="27"/>
      <c r="K112" s="27"/>
      <c r="L112" s="27"/>
      <c r="M112" s="27"/>
      <c r="N112" s="27"/>
      <c r="O112" s="27"/>
      <c r="P112" s="27"/>
      <c r="Q112" s="3">
        <f t="shared" si="5"/>
        <v>0</v>
      </c>
      <c r="R112" s="39">
        <f>Q112/Summary!$Q$16</f>
        <v>0</v>
      </c>
      <c r="S112" s="35"/>
      <c r="T112" s="40">
        <f t="shared" si="6"/>
        <v>0</v>
      </c>
    </row>
    <row r="113" spans="1:20" s="3" customFormat="1" ht="24.95" hidden="1" customHeight="1">
      <c r="A113" s="3" t="s">
        <v>927</v>
      </c>
      <c r="B113" s="3" t="s">
        <v>1018</v>
      </c>
      <c r="D113" s="26" t="s">
        <v>928</v>
      </c>
      <c r="E113" s="63"/>
      <c r="F113" s="27"/>
      <c r="G113" s="27"/>
      <c r="H113" s="27"/>
      <c r="I113" s="27"/>
      <c r="J113" s="27"/>
      <c r="K113" s="27"/>
      <c r="L113" s="27"/>
      <c r="M113" s="27"/>
      <c r="N113" s="27"/>
      <c r="O113" s="27"/>
      <c r="P113" s="27"/>
      <c r="Q113" s="3">
        <f t="shared" si="5"/>
        <v>0</v>
      </c>
      <c r="R113" s="39">
        <f>Q113/Summary!$Q$16</f>
        <v>0</v>
      </c>
      <c r="S113" s="35"/>
      <c r="T113" s="40">
        <f t="shared" si="6"/>
        <v>0</v>
      </c>
    </row>
    <row r="114" spans="1:20" s="3" customFormat="1" ht="24.95" hidden="1" customHeight="1">
      <c r="A114" s="3" t="s">
        <v>929</v>
      </c>
      <c r="B114" s="3" t="s">
        <v>1018</v>
      </c>
      <c r="D114" s="26" t="s">
        <v>930</v>
      </c>
      <c r="E114" s="63"/>
      <c r="F114" s="27"/>
      <c r="G114" s="27"/>
      <c r="H114" s="27"/>
      <c r="I114" s="27"/>
      <c r="J114" s="27"/>
      <c r="K114" s="27"/>
      <c r="L114" s="27"/>
      <c r="M114" s="27"/>
      <c r="N114" s="27"/>
      <c r="O114" s="27"/>
      <c r="P114" s="27"/>
      <c r="Q114" s="3">
        <f t="shared" si="5"/>
        <v>0</v>
      </c>
      <c r="R114" s="39">
        <f>Q114/Summary!$Q$16</f>
        <v>0</v>
      </c>
      <c r="S114" s="35"/>
      <c r="T114" s="40">
        <f t="shared" si="6"/>
        <v>0</v>
      </c>
    </row>
    <row r="115" spans="1:20" s="3" customFormat="1" ht="24.95" hidden="1" customHeight="1">
      <c r="A115" s="3" t="s">
        <v>931</v>
      </c>
      <c r="B115" s="3" t="s">
        <v>1018</v>
      </c>
      <c r="D115" s="26" t="s">
        <v>932</v>
      </c>
      <c r="E115" s="63"/>
      <c r="F115" s="27"/>
      <c r="G115" s="27"/>
      <c r="H115" s="27"/>
      <c r="I115" s="27"/>
      <c r="J115" s="27"/>
      <c r="K115" s="27"/>
      <c r="L115" s="27"/>
      <c r="M115" s="27"/>
      <c r="N115" s="27"/>
      <c r="O115" s="27"/>
      <c r="P115" s="27"/>
      <c r="Q115" s="3">
        <f t="shared" si="5"/>
        <v>0</v>
      </c>
      <c r="R115" s="39">
        <f>Q115/Summary!$Q$16</f>
        <v>0</v>
      </c>
      <c r="S115" s="35"/>
      <c r="T115" s="40">
        <f t="shared" si="6"/>
        <v>0</v>
      </c>
    </row>
    <row r="116" spans="1:20" s="3" customFormat="1" ht="24.95" hidden="1" customHeight="1">
      <c r="A116" s="3" t="s">
        <v>933</v>
      </c>
      <c r="B116" s="3" t="s">
        <v>1018</v>
      </c>
      <c r="D116" s="26" t="s">
        <v>934</v>
      </c>
      <c r="E116" s="63"/>
      <c r="F116" s="27"/>
      <c r="G116" s="27"/>
      <c r="H116" s="27"/>
      <c r="I116" s="27"/>
      <c r="J116" s="27"/>
      <c r="K116" s="27"/>
      <c r="L116" s="27"/>
      <c r="M116" s="27"/>
      <c r="N116" s="27"/>
      <c r="O116" s="27"/>
      <c r="P116" s="27"/>
      <c r="Q116" s="3">
        <f t="shared" si="5"/>
        <v>0</v>
      </c>
      <c r="R116" s="39">
        <f>Q116/Summary!$Q$16</f>
        <v>0</v>
      </c>
      <c r="S116" s="35"/>
      <c r="T116" s="40">
        <f t="shared" si="6"/>
        <v>0</v>
      </c>
    </row>
    <row r="117" spans="1:20" s="3" customFormat="1" ht="24.95" hidden="1" customHeight="1">
      <c r="A117" s="3" t="s">
        <v>935</v>
      </c>
      <c r="B117" s="3" t="s">
        <v>1018</v>
      </c>
      <c r="D117" s="26" t="s">
        <v>936</v>
      </c>
      <c r="E117" s="63"/>
      <c r="F117" s="27"/>
      <c r="G117" s="27"/>
      <c r="H117" s="27"/>
      <c r="I117" s="27"/>
      <c r="J117" s="27"/>
      <c r="K117" s="27"/>
      <c r="L117" s="27"/>
      <c r="M117" s="27"/>
      <c r="N117" s="27"/>
      <c r="O117" s="27"/>
      <c r="P117" s="27"/>
      <c r="Q117" s="3">
        <f t="shared" si="5"/>
        <v>0</v>
      </c>
      <c r="R117" s="39">
        <f>Q117/Summary!$Q$16</f>
        <v>0</v>
      </c>
      <c r="S117" s="35"/>
      <c r="T117" s="40">
        <f t="shared" si="6"/>
        <v>0</v>
      </c>
    </row>
    <row r="118" spans="1:20" s="3" customFormat="1" ht="24.95" hidden="1" customHeight="1">
      <c r="A118" s="3" t="s">
        <v>937</v>
      </c>
      <c r="B118" s="3" t="s">
        <v>1018</v>
      </c>
      <c r="D118" s="26" t="s">
        <v>938</v>
      </c>
      <c r="E118" s="63"/>
      <c r="F118" s="27"/>
      <c r="G118" s="27"/>
      <c r="H118" s="27"/>
      <c r="I118" s="27"/>
      <c r="J118" s="27"/>
      <c r="K118" s="27"/>
      <c r="L118" s="27"/>
      <c r="M118" s="27"/>
      <c r="N118" s="27"/>
      <c r="O118" s="27"/>
      <c r="P118" s="27"/>
      <c r="Q118" s="3">
        <f t="shared" si="5"/>
        <v>0</v>
      </c>
      <c r="R118" s="39">
        <f>Q118/Summary!$Q$16</f>
        <v>0</v>
      </c>
      <c r="S118" s="35"/>
      <c r="T118" s="40">
        <f t="shared" si="6"/>
        <v>0</v>
      </c>
    </row>
    <row r="119" spans="1:20" s="3" customFormat="1" ht="24.95" hidden="1" customHeight="1">
      <c r="A119" s="3" t="s">
        <v>939</v>
      </c>
      <c r="B119" s="3" t="s">
        <v>1018</v>
      </c>
      <c r="D119" s="26" t="s">
        <v>940</v>
      </c>
      <c r="E119" s="63"/>
      <c r="F119" s="27"/>
      <c r="G119" s="27"/>
      <c r="H119" s="27"/>
      <c r="I119" s="27"/>
      <c r="J119" s="27"/>
      <c r="K119" s="27"/>
      <c r="L119" s="27"/>
      <c r="M119" s="27"/>
      <c r="N119" s="27"/>
      <c r="O119" s="27"/>
      <c r="P119" s="27"/>
      <c r="Q119" s="3">
        <f t="shared" si="5"/>
        <v>0</v>
      </c>
      <c r="R119" s="39">
        <f>Q119/Summary!$Q$16</f>
        <v>0</v>
      </c>
      <c r="S119" s="35"/>
      <c r="T119" s="40">
        <f t="shared" si="6"/>
        <v>0</v>
      </c>
    </row>
    <row r="120" spans="1:20" s="3" customFormat="1" ht="24.95" hidden="1" customHeight="1">
      <c r="A120" s="3" t="s">
        <v>941</v>
      </c>
      <c r="B120" s="3" t="s">
        <v>1018</v>
      </c>
      <c r="D120" s="26" t="s">
        <v>942</v>
      </c>
      <c r="E120" s="63"/>
      <c r="F120" s="27"/>
      <c r="G120" s="27"/>
      <c r="H120" s="27"/>
      <c r="I120" s="27"/>
      <c r="J120" s="27"/>
      <c r="K120" s="27"/>
      <c r="L120" s="27"/>
      <c r="M120" s="27"/>
      <c r="N120" s="27"/>
      <c r="O120" s="27"/>
      <c r="P120" s="27"/>
      <c r="Q120" s="3">
        <f t="shared" si="5"/>
        <v>0</v>
      </c>
      <c r="R120" s="39">
        <f>Q120/Summary!$Q$16</f>
        <v>0</v>
      </c>
      <c r="S120" s="35"/>
      <c r="T120" s="40">
        <f t="shared" si="6"/>
        <v>0</v>
      </c>
    </row>
    <row r="121" spans="1:20" s="3" customFormat="1" ht="24.95" hidden="1" customHeight="1">
      <c r="A121" s="3" t="s">
        <v>943</v>
      </c>
      <c r="B121" s="3" t="s">
        <v>1018</v>
      </c>
      <c r="D121" s="26" t="s">
        <v>944</v>
      </c>
      <c r="E121" s="63"/>
      <c r="F121" s="27"/>
      <c r="G121" s="27"/>
      <c r="H121" s="27"/>
      <c r="I121" s="27"/>
      <c r="J121" s="27"/>
      <c r="K121" s="27"/>
      <c r="L121" s="27"/>
      <c r="M121" s="27"/>
      <c r="N121" s="27"/>
      <c r="O121" s="27"/>
      <c r="P121" s="27"/>
      <c r="Q121" s="3">
        <f t="shared" si="5"/>
        <v>0</v>
      </c>
      <c r="R121" s="39">
        <f>Q121/Summary!$Q$16</f>
        <v>0</v>
      </c>
      <c r="S121" s="35"/>
      <c r="T121" s="40">
        <f t="shared" si="6"/>
        <v>0</v>
      </c>
    </row>
    <row r="122" spans="1:20" s="3" customFormat="1" ht="24.95" hidden="1" customHeight="1">
      <c r="A122" s="3" t="s">
        <v>945</v>
      </c>
      <c r="B122" s="3" t="s">
        <v>1018</v>
      </c>
      <c r="D122" s="26" t="s">
        <v>946</v>
      </c>
      <c r="E122" s="63"/>
      <c r="F122" s="27"/>
      <c r="G122" s="27"/>
      <c r="H122" s="27"/>
      <c r="I122" s="27"/>
      <c r="J122" s="27"/>
      <c r="K122" s="27"/>
      <c r="L122" s="27"/>
      <c r="M122" s="27"/>
      <c r="N122" s="27"/>
      <c r="O122" s="27"/>
      <c r="P122" s="27"/>
      <c r="Q122" s="3">
        <f t="shared" si="5"/>
        <v>0</v>
      </c>
      <c r="R122" s="39">
        <f>Q122/Summary!$Q$16</f>
        <v>0</v>
      </c>
      <c r="S122" s="35"/>
      <c r="T122" s="40">
        <f t="shared" si="6"/>
        <v>0</v>
      </c>
    </row>
    <row r="123" spans="1:20" s="3" customFormat="1" ht="24.95" hidden="1" customHeight="1">
      <c r="A123" s="3" t="s">
        <v>947</v>
      </c>
      <c r="B123" s="3" t="s">
        <v>1018</v>
      </c>
      <c r="D123" s="26" t="s">
        <v>948</v>
      </c>
      <c r="E123" s="63"/>
      <c r="F123" s="27"/>
      <c r="G123" s="27"/>
      <c r="H123" s="27"/>
      <c r="I123" s="27"/>
      <c r="J123" s="27"/>
      <c r="K123" s="27"/>
      <c r="L123" s="27"/>
      <c r="M123" s="27"/>
      <c r="N123" s="27"/>
      <c r="O123" s="27"/>
      <c r="P123" s="27"/>
      <c r="Q123" s="3">
        <f t="shared" si="5"/>
        <v>0</v>
      </c>
      <c r="R123" s="39">
        <f>Q123/Summary!$Q$16</f>
        <v>0</v>
      </c>
      <c r="S123" s="35"/>
      <c r="T123" s="40">
        <f t="shared" si="6"/>
        <v>0</v>
      </c>
    </row>
    <row r="124" spans="1:20" s="3" customFormat="1" ht="24.95" hidden="1" customHeight="1">
      <c r="A124" s="3" t="s">
        <v>949</v>
      </c>
      <c r="B124" s="3" t="s">
        <v>1018</v>
      </c>
      <c r="D124" s="26" t="s">
        <v>950</v>
      </c>
      <c r="E124" s="63"/>
      <c r="F124" s="27"/>
      <c r="G124" s="27"/>
      <c r="H124" s="27"/>
      <c r="I124" s="27"/>
      <c r="J124" s="27"/>
      <c r="K124" s="27"/>
      <c r="L124" s="27"/>
      <c r="M124" s="27"/>
      <c r="N124" s="27"/>
      <c r="O124" s="27"/>
      <c r="P124" s="27"/>
      <c r="Q124" s="3">
        <f t="shared" si="5"/>
        <v>0</v>
      </c>
      <c r="R124" s="39">
        <f>Q124/Summary!$Q$16</f>
        <v>0</v>
      </c>
      <c r="S124" s="35"/>
      <c r="T124" s="40">
        <f t="shared" si="6"/>
        <v>0</v>
      </c>
    </row>
    <row r="125" spans="1:20" s="3" customFormat="1" ht="24.95" hidden="1" customHeight="1">
      <c r="A125" s="3" t="s">
        <v>951</v>
      </c>
      <c r="B125" s="3" t="s">
        <v>1018</v>
      </c>
      <c r="D125" s="26" t="s">
        <v>952</v>
      </c>
      <c r="E125" s="63"/>
      <c r="F125" s="27"/>
      <c r="G125" s="27"/>
      <c r="H125" s="27"/>
      <c r="I125" s="27"/>
      <c r="J125" s="27"/>
      <c r="K125" s="27"/>
      <c r="L125" s="27"/>
      <c r="M125" s="27"/>
      <c r="N125" s="27"/>
      <c r="O125" s="27"/>
      <c r="P125" s="27"/>
      <c r="Q125" s="3">
        <f t="shared" si="5"/>
        <v>0</v>
      </c>
      <c r="R125" s="39">
        <f>Q125/Summary!$Q$16</f>
        <v>0</v>
      </c>
      <c r="S125" s="35"/>
      <c r="T125" s="40">
        <f t="shared" ref="T125:T156" si="7">-IF(Q125-S125=0,0,(Q125-S125)/S125)</f>
        <v>0</v>
      </c>
    </row>
    <row r="126" spans="1:20" s="3" customFormat="1" ht="24.95" hidden="1" customHeight="1">
      <c r="A126" s="3" t="s">
        <v>953</v>
      </c>
      <c r="B126" s="3" t="s">
        <v>1018</v>
      </c>
      <c r="D126" s="26" t="s">
        <v>954</v>
      </c>
      <c r="E126" s="63"/>
      <c r="F126" s="27"/>
      <c r="G126" s="27"/>
      <c r="H126" s="27"/>
      <c r="I126" s="27"/>
      <c r="J126" s="27"/>
      <c r="K126" s="27"/>
      <c r="L126" s="27"/>
      <c r="M126" s="27"/>
      <c r="N126" s="27"/>
      <c r="O126" s="27"/>
      <c r="P126" s="27"/>
      <c r="Q126" s="3">
        <f t="shared" si="5"/>
        <v>0</v>
      </c>
      <c r="R126" s="39">
        <f>Q126/Summary!$Q$16</f>
        <v>0</v>
      </c>
      <c r="S126" s="35"/>
      <c r="T126" s="40">
        <f t="shared" si="7"/>
        <v>0</v>
      </c>
    </row>
    <row r="127" spans="1:20" s="3" customFormat="1" ht="24.95" hidden="1" customHeight="1">
      <c r="A127" s="3" t="s">
        <v>955</v>
      </c>
      <c r="B127" s="3" t="s">
        <v>1018</v>
      </c>
      <c r="D127" s="26" t="s">
        <v>956</v>
      </c>
      <c r="E127" s="63"/>
      <c r="F127" s="27"/>
      <c r="G127" s="27"/>
      <c r="H127" s="27"/>
      <c r="I127" s="27"/>
      <c r="J127" s="27"/>
      <c r="K127" s="27"/>
      <c r="L127" s="27"/>
      <c r="M127" s="27"/>
      <c r="N127" s="27"/>
      <c r="O127" s="27"/>
      <c r="P127" s="27"/>
      <c r="Q127" s="3">
        <f t="shared" si="5"/>
        <v>0</v>
      </c>
      <c r="R127" s="39">
        <f>Q127/Summary!$Q$16</f>
        <v>0</v>
      </c>
      <c r="S127" s="35"/>
      <c r="T127" s="40">
        <f t="shared" si="7"/>
        <v>0</v>
      </c>
    </row>
    <row r="128" spans="1:20" s="3" customFormat="1" ht="24.95" hidden="1" customHeight="1">
      <c r="A128" s="3" t="s">
        <v>957</v>
      </c>
      <c r="B128" s="3" t="s">
        <v>1018</v>
      </c>
      <c r="D128" s="26" t="s">
        <v>958</v>
      </c>
      <c r="E128" s="63"/>
      <c r="F128" s="27"/>
      <c r="G128" s="27"/>
      <c r="H128" s="27"/>
      <c r="I128" s="27"/>
      <c r="J128" s="27"/>
      <c r="K128" s="27"/>
      <c r="L128" s="27"/>
      <c r="M128" s="27"/>
      <c r="N128" s="27"/>
      <c r="O128" s="27"/>
      <c r="P128" s="27"/>
      <c r="Q128" s="3">
        <f t="shared" si="5"/>
        <v>0</v>
      </c>
      <c r="R128" s="39">
        <f>Q128/Summary!$Q$16</f>
        <v>0</v>
      </c>
      <c r="S128" s="35"/>
      <c r="T128" s="40">
        <f t="shared" si="7"/>
        <v>0</v>
      </c>
    </row>
    <row r="129" spans="1:20" s="3" customFormat="1" ht="24.95" hidden="1" customHeight="1">
      <c r="A129" s="3" t="s">
        <v>959</v>
      </c>
      <c r="B129" s="3" t="s">
        <v>1018</v>
      </c>
      <c r="D129" s="26" t="s">
        <v>960</v>
      </c>
      <c r="E129" s="63"/>
      <c r="F129" s="27"/>
      <c r="G129" s="27"/>
      <c r="H129" s="27"/>
      <c r="I129" s="27"/>
      <c r="J129" s="27"/>
      <c r="K129" s="27"/>
      <c r="L129" s="27"/>
      <c r="M129" s="27"/>
      <c r="N129" s="27"/>
      <c r="O129" s="27"/>
      <c r="P129" s="27"/>
      <c r="Q129" s="3">
        <f t="shared" si="5"/>
        <v>0</v>
      </c>
      <c r="R129" s="39">
        <f>Q129/Summary!$Q$16</f>
        <v>0</v>
      </c>
      <c r="S129" s="35"/>
      <c r="T129" s="40">
        <f t="shared" si="7"/>
        <v>0</v>
      </c>
    </row>
    <row r="130" spans="1:20" s="3" customFormat="1" ht="24.95" hidden="1" customHeight="1">
      <c r="A130" s="3" t="s">
        <v>961</v>
      </c>
      <c r="B130" s="3" t="s">
        <v>1018</v>
      </c>
      <c r="D130" s="26" t="s">
        <v>962</v>
      </c>
      <c r="E130" s="63"/>
      <c r="F130" s="27"/>
      <c r="G130" s="27"/>
      <c r="H130" s="27"/>
      <c r="I130" s="27"/>
      <c r="J130" s="27"/>
      <c r="K130" s="27"/>
      <c r="L130" s="27"/>
      <c r="M130" s="27"/>
      <c r="N130" s="27"/>
      <c r="O130" s="27"/>
      <c r="P130" s="27"/>
      <c r="Q130" s="3">
        <f t="shared" si="5"/>
        <v>0</v>
      </c>
      <c r="R130" s="39">
        <f>Q130/Summary!$Q$16</f>
        <v>0</v>
      </c>
      <c r="S130" s="35"/>
      <c r="T130" s="40">
        <f t="shared" si="7"/>
        <v>0</v>
      </c>
    </row>
    <row r="131" spans="1:20" s="3" customFormat="1" ht="24.95" hidden="1" customHeight="1">
      <c r="A131" s="3" t="s">
        <v>963</v>
      </c>
      <c r="B131" s="3" t="s">
        <v>1018</v>
      </c>
      <c r="D131" s="26" t="s">
        <v>964</v>
      </c>
      <c r="E131" s="63"/>
      <c r="F131" s="27"/>
      <c r="G131" s="27"/>
      <c r="H131" s="27"/>
      <c r="I131" s="27"/>
      <c r="J131" s="27"/>
      <c r="K131" s="27"/>
      <c r="L131" s="27"/>
      <c r="M131" s="27"/>
      <c r="N131" s="27"/>
      <c r="O131" s="27"/>
      <c r="P131" s="27"/>
      <c r="Q131" s="3">
        <f t="shared" si="5"/>
        <v>0</v>
      </c>
      <c r="R131" s="39">
        <f>Q131/Summary!$Q$16</f>
        <v>0</v>
      </c>
      <c r="S131" s="35"/>
      <c r="T131" s="40">
        <f t="shared" si="7"/>
        <v>0</v>
      </c>
    </row>
    <row r="132" spans="1:20" s="3" customFormat="1" ht="24.95" hidden="1" customHeight="1">
      <c r="A132" s="3" t="s">
        <v>965</v>
      </c>
      <c r="B132" s="3" t="s">
        <v>1018</v>
      </c>
      <c r="D132" s="26" t="s">
        <v>966</v>
      </c>
      <c r="E132" s="63"/>
      <c r="F132" s="27"/>
      <c r="G132" s="27"/>
      <c r="H132" s="27"/>
      <c r="I132" s="27"/>
      <c r="J132" s="27"/>
      <c r="K132" s="27"/>
      <c r="L132" s="27"/>
      <c r="M132" s="27"/>
      <c r="N132" s="27"/>
      <c r="O132" s="27"/>
      <c r="P132" s="27"/>
      <c r="Q132" s="3">
        <f t="shared" si="5"/>
        <v>0</v>
      </c>
      <c r="R132" s="39">
        <f>Q132/Summary!$Q$16</f>
        <v>0</v>
      </c>
      <c r="S132" s="35"/>
      <c r="T132" s="40">
        <f t="shared" si="7"/>
        <v>0</v>
      </c>
    </row>
    <row r="133" spans="1:20" s="3" customFormat="1" ht="24.95" hidden="1" customHeight="1">
      <c r="A133" s="3" t="s">
        <v>967</v>
      </c>
      <c r="B133" s="3" t="s">
        <v>1018</v>
      </c>
      <c r="D133" s="26" t="s">
        <v>968</v>
      </c>
      <c r="E133" s="63"/>
      <c r="F133" s="27"/>
      <c r="G133" s="27"/>
      <c r="H133" s="27"/>
      <c r="I133" s="27"/>
      <c r="J133" s="27"/>
      <c r="K133" s="27"/>
      <c r="L133" s="27"/>
      <c r="M133" s="27"/>
      <c r="N133" s="27"/>
      <c r="O133" s="27"/>
      <c r="P133" s="27"/>
      <c r="Q133" s="3">
        <f t="shared" si="5"/>
        <v>0</v>
      </c>
      <c r="R133" s="39">
        <f>Q133/Summary!$Q$16</f>
        <v>0</v>
      </c>
      <c r="S133" s="35"/>
      <c r="T133" s="40">
        <f t="shared" si="7"/>
        <v>0</v>
      </c>
    </row>
    <row r="134" spans="1:20" s="3" customFormat="1" ht="24.95" hidden="1" customHeight="1">
      <c r="A134" s="3" t="s">
        <v>969</v>
      </c>
      <c r="B134" s="3" t="s">
        <v>1018</v>
      </c>
      <c r="D134" s="26" t="s">
        <v>970</v>
      </c>
      <c r="E134" s="63"/>
      <c r="F134" s="27"/>
      <c r="G134" s="27"/>
      <c r="H134" s="27"/>
      <c r="I134" s="27"/>
      <c r="J134" s="27"/>
      <c r="K134" s="27"/>
      <c r="L134" s="27"/>
      <c r="M134" s="27"/>
      <c r="N134" s="27"/>
      <c r="O134" s="27"/>
      <c r="P134" s="27"/>
      <c r="Q134" s="3">
        <f t="shared" si="5"/>
        <v>0</v>
      </c>
      <c r="R134" s="39">
        <f>Q134/Summary!$Q$16</f>
        <v>0</v>
      </c>
      <c r="S134" s="35"/>
      <c r="T134" s="40">
        <f t="shared" si="7"/>
        <v>0</v>
      </c>
    </row>
    <row r="135" spans="1:20" s="3" customFormat="1" ht="24.95" hidden="1" customHeight="1">
      <c r="A135" s="3" t="s">
        <v>971</v>
      </c>
      <c r="B135" s="3" t="s">
        <v>1018</v>
      </c>
      <c r="D135" s="26" t="s">
        <v>972</v>
      </c>
      <c r="E135" s="63"/>
      <c r="F135" s="27"/>
      <c r="G135" s="27"/>
      <c r="H135" s="27"/>
      <c r="I135" s="27"/>
      <c r="J135" s="27"/>
      <c r="K135" s="27"/>
      <c r="L135" s="27"/>
      <c r="M135" s="27"/>
      <c r="N135" s="27"/>
      <c r="O135" s="27"/>
      <c r="P135" s="27"/>
      <c r="Q135" s="3">
        <f t="shared" si="5"/>
        <v>0</v>
      </c>
      <c r="R135" s="39">
        <f>Q135/Summary!$Q$16</f>
        <v>0</v>
      </c>
      <c r="S135" s="35"/>
      <c r="T135" s="40">
        <f t="shared" si="7"/>
        <v>0</v>
      </c>
    </row>
    <row r="136" spans="1:20" s="3" customFormat="1" ht="24.95" hidden="1" customHeight="1">
      <c r="A136" s="3" t="s">
        <v>973</v>
      </c>
      <c r="B136" s="3" t="s">
        <v>1018</v>
      </c>
      <c r="D136" s="26" t="s">
        <v>974</v>
      </c>
      <c r="E136" s="63"/>
      <c r="F136" s="27"/>
      <c r="G136" s="27"/>
      <c r="H136" s="27"/>
      <c r="I136" s="27"/>
      <c r="J136" s="27"/>
      <c r="K136" s="27"/>
      <c r="L136" s="27"/>
      <c r="M136" s="27"/>
      <c r="N136" s="27"/>
      <c r="O136" s="27"/>
      <c r="P136" s="27"/>
      <c r="Q136" s="3">
        <f t="shared" si="5"/>
        <v>0</v>
      </c>
      <c r="R136" s="39">
        <f>Q136/Summary!$Q$16</f>
        <v>0</v>
      </c>
      <c r="S136" s="35"/>
      <c r="T136" s="40">
        <f t="shared" si="7"/>
        <v>0</v>
      </c>
    </row>
    <row r="137" spans="1:20" s="3" customFormat="1" ht="24.95" hidden="1" customHeight="1">
      <c r="A137" s="3" t="s">
        <v>975</v>
      </c>
      <c r="B137" s="3" t="s">
        <v>1018</v>
      </c>
      <c r="D137" s="26" t="s">
        <v>976</v>
      </c>
      <c r="E137" s="63"/>
      <c r="F137" s="27"/>
      <c r="G137" s="27"/>
      <c r="H137" s="27"/>
      <c r="I137" s="27"/>
      <c r="J137" s="27"/>
      <c r="K137" s="27"/>
      <c r="L137" s="27"/>
      <c r="M137" s="27"/>
      <c r="N137" s="27"/>
      <c r="O137" s="27"/>
      <c r="P137" s="27"/>
      <c r="Q137" s="3">
        <f t="shared" si="5"/>
        <v>0</v>
      </c>
      <c r="R137" s="39">
        <f>Q137/Summary!$Q$16</f>
        <v>0</v>
      </c>
      <c r="S137" s="35"/>
      <c r="T137" s="40">
        <f t="shared" si="7"/>
        <v>0</v>
      </c>
    </row>
    <row r="138" spans="1:20" s="3" customFormat="1" ht="24.95" hidden="1" customHeight="1">
      <c r="A138" s="3" t="s">
        <v>977</v>
      </c>
      <c r="B138" s="3" t="s">
        <v>1018</v>
      </c>
      <c r="D138" s="26" t="s">
        <v>978</v>
      </c>
      <c r="E138" s="63"/>
      <c r="F138" s="27"/>
      <c r="G138" s="27"/>
      <c r="H138" s="27"/>
      <c r="I138" s="27"/>
      <c r="J138" s="27"/>
      <c r="K138" s="27"/>
      <c r="L138" s="27"/>
      <c r="M138" s="27"/>
      <c r="N138" s="27"/>
      <c r="O138" s="27"/>
      <c r="P138" s="27"/>
      <c r="Q138" s="3">
        <f t="shared" si="5"/>
        <v>0</v>
      </c>
      <c r="R138" s="39">
        <f>Q138/Summary!$Q$16</f>
        <v>0</v>
      </c>
      <c r="S138" s="35"/>
      <c r="T138" s="40">
        <f t="shared" si="7"/>
        <v>0</v>
      </c>
    </row>
    <row r="139" spans="1:20" s="3" customFormat="1" ht="24.95" hidden="1" customHeight="1">
      <c r="A139" s="3" t="s">
        <v>979</v>
      </c>
      <c r="B139" s="3" t="s">
        <v>1018</v>
      </c>
      <c r="D139" s="26" t="s">
        <v>980</v>
      </c>
      <c r="E139" s="63"/>
      <c r="F139" s="27"/>
      <c r="G139" s="27"/>
      <c r="H139" s="27"/>
      <c r="I139" s="27"/>
      <c r="J139" s="27"/>
      <c r="K139" s="27"/>
      <c r="L139" s="27"/>
      <c r="M139" s="27"/>
      <c r="N139" s="27"/>
      <c r="O139" s="27"/>
      <c r="P139" s="27"/>
      <c r="Q139" s="3">
        <f t="shared" si="5"/>
        <v>0</v>
      </c>
      <c r="R139" s="39">
        <f>Q139/Summary!$Q$16</f>
        <v>0</v>
      </c>
      <c r="S139" s="35"/>
      <c r="T139" s="40">
        <f t="shared" si="7"/>
        <v>0</v>
      </c>
    </row>
    <row r="140" spans="1:20" s="3" customFormat="1" ht="24.95" hidden="1" customHeight="1">
      <c r="A140" s="3" t="s">
        <v>981</v>
      </c>
      <c r="B140" s="3" t="s">
        <v>1018</v>
      </c>
      <c r="D140" s="26" t="s">
        <v>982</v>
      </c>
      <c r="E140" s="63"/>
      <c r="F140" s="27"/>
      <c r="G140" s="27"/>
      <c r="H140" s="27"/>
      <c r="I140" s="27"/>
      <c r="J140" s="27"/>
      <c r="K140" s="27"/>
      <c r="L140" s="27"/>
      <c r="M140" s="27"/>
      <c r="N140" s="27"/>
      <c r="O140" s="27"/>
      <c r="P140" s="27"/>
      <c r="Q140" s="3">
        <f t="shared" si="5"/>
        <v>0</v>
      </c>
      <c r="R140" s="39">
        <f>Q140/Summary!$Q$16</f>
        <v>0</v>
      </c>
      <c r="S140" s="35"/>
      <c r="T140" s="40">
        <f t="shared" si="7"/>
        <v>0</v>
      </c>
    </row>
    <row r="141" spans="1:20" s="3" customFormat="1" ht="24.95" hidden="1" customHeight="1">
      <c r="A141" s="3" t="s">
        <v>983</v>
      </c>
      <c r="B141" s="3" t="s">
        <v>1018</v>
      </c>
      <c r="D141" s="26" t="s">
        <v>984</v>
      </c>
      <c r="E141" s="63"/>
      <c r="F141" s="27"/>
      <c r="G141" s="27"/>
      <c r="H141" s="27"/>
      <c r="I141" s="27"/>
      <c r="J141" s="27"/>
      <c r="K141" s="27"/>
      <c r="L141" s="27"/>
      <c r="M141" s="27"/>
      <c r="N141" s="27"/>
      <c r="O141" s="27"/>
      <c r="P141" s="27"/>
      <c r="Q141" s="3">
        <f t="shared" si="5"/>
        <v>0</v>
      </c>
      <c r="R141" s="39">
        <f>Q141/Summary!$Q$16</f>
        <v>0</v>
      </c>
      <c r="S141" s="35"/>
      <c r="T141" s="40">
        <f t="shared" si="7"/>
        <v>0</v>
      </c>
    </row>
    <row r="142" spans="1:20" s="3" customFormat="1" ht="24.95" hidden="1" customHeight="1">
      <c r="A142" s="3" t="s">
        <v>985</v>
      </c>
      <c r="B142" s="3" t="s">
        <v>1018</v>
      </c>
      <c r="D142" s="26" t="s">
        <v>986</v>
      </c>
      <c r="E142" s="63"/>
      <c r="F142" s="27"/>
      <c r="G142" s="27"/>
      <c r="H142" s="27"/>
      <c r="I142" s="27"/>
      <c r="J142" s="27"/>
      <c r="K142" s="27"/>
      <c r="L142" s="27"/>
      <c r="M142" s="27"/>
      <c r="N142" s="27"/>
      <c r="O142" s="27"/>
      <c r="P142" s="27"/>
      <c r="Q142" s="3">
        <f t="shared" si="5"/>
        <v>0</v>
      </c>
      <c r="R142" s="39">
        <f>Q142/Summary!$Q$16</f>
        <v>0</v>
      </c>
      <c r="S142" s="35"/>
      <c r="T142" s="40">
        <f t="shared" si="7"/>
        <v>0</v>
      </c>
    </row>
    <row r="143" spans="1:20" s="3" customFormat="1" ht="24.95" hidden="1" customHeight="1">
      <c r="A143" s="3" t="s">
        <v>987</v>
      </c>
      <c r="B143" s="3" t="s">
        <v>1018</v>
      </c>
      <c r="D143" s="26" t="s">
        <v>988</v>
      </c>
      <c r="E143" s="63"/>
      <c r="F143" s="27"/>
      <c r="G143" s="27"/>
      <c r="H143" s="27"/>
      <c r="I143" s="27"/>
      <c r="J143" s="27"/>
      <c r="K143" s="27"/>
      <c r="L143" s="27"/>
      <c r="M143" s="27"/>
      <c r="N143" s="27"/>
      <c r="O143" s="27"/>
      <c r="P143" s="27"/>
      <c r="Q143" s="3">
        <f t="shared" si="5"/>
        <v>0</v>
      </c>
      <c r="R143" s="39">
        <f>Q143/Summary!$Q$16</f>
        <v>0</v>
      </c>
      <c r="S143" s="35"/>
      <c r="T143" s="40">
        <f t="shared" si="7"/>
        <v>0</v>
      </c>
    </row>
    <row r="144" spans="1:20" s="3" customFormat="1" ht="24.95" hidden="1" customHeight="1">
      <c r="A144" s="3" t="s">
        <v>989</v>
      </c>
      <c r="B144" s="3" t="s">
        <v>1018</v>
      </c>
      <c r="D144" s="26" t="s">
        <v>990</v>
      </c>
      <c r="E144" s="63"/>
      <c r="F144" s="27"/>
      <c r="G144" s="27"/>
      <c r="H144" s="27"/>
      <c r="I144" s="27"/>
      <c r="J144" s="27"/>
      <c r="K144" s="27"/>
      <c r="L144" s="27"/>
      <c r="M144" s="27"/>
      <c r="N144" s="27"/>
      <c r="O144" s="27"/>
      <c r="P144" s="27"/>
      <c r="Q144" s="3">
        <f t="shared" ref="Q144:Q157" si="8">SUM(E144:P144)</f>
        <v>0</v>
      </c>
      <c r="R144" s="39">
        <f>Q144/Summary!$Q$16</f>
        <v>0</v>
      </c>
      <c r="S144" s="35"/>
      <c r="T144" s="40">
        <f t="shared" si="7"/>
        <v>0</v>
      </c>
    </row>
    <row r="145" spans="1:20" s="3" customFormat="1" ht="24.95" hidden="1" customHeight="1">
      <c r="A145" s="3" t="s">
        <v>991</v>
      </c>
      <c r="B145" s="3" t="s">
        <v>1018</v>
      </c>
      <c r="D145" s="26" t="s">
        <v>992</v>
      </c>
      <c r="E145" s="63"/>
      <c r="F145" s="27"/>
      <c r="G145" s="27"/>
      <c r="H145" s="27"/>
      <c r="I145" s="27"/>
      <c r="J145" s="27"/>
      <c r="K145" s="27"/>
      <c r="L145" s="27"/>
      <c r="M145" s="27"/>
      <c r="N145" s="27"/>
      <c r="O145" s="27"/>
      <c r="P145" s="27"/>
      <c r="Q145" s="3">
        <f t="shared" si="8"/>
        <v>0</v>
      </c>
      <c r="R145" s="39">
        <f>Q145/Summary!$Q$16</f>
        <v>0</v>
      </c>
      <c r="S145" s="35"/>
      <c r="T145" s="40">
        <f t="shared" si="7"/>
        <v>0</v>
      </c>
    </row>
    <row r="146" spans="1:20" s="3" customFormat="1" ht="24.95" hidden="1" customHeight="1">
      <c r="A146" s="3" t="s">
        <v>993</v>
      </c>
      <c r="B146" s="3" t="s">
        <v>1018</v>
      </c>
      <c r="D146" s="26" t="s">
        <v>994</v>
      </c>
      <c r="E146" s="63"/>
      <c r="F146" s="27"/>
      <c r="G146" s="27"/>
      <c r="H146" s="27"/>
      <c r="I146" s="27"/>
      <c r="J146" s="27"/>
      <c r="K146" s="27"/>
      <c r="L146" s="27"/>
      <c r="M146" s="27"/>
      <c r="N146" s="27"/>
      <c r="O146" s="27"/>
      <c r="P146" s="27"/>
      <c r="Q146" s="3">
        <f t="shared" si="8"/>
        <v>0</v>
      </c>
      <c r="R146" s="39">
        <f>Q146/Summary!$Q$16</f>
        <v>0</v>
      </c>
      <c r="S146" s="35"/>
      <c r="T146" s="40">
        <f t="shared" si="7"/>
        <v>0</v>
      </c>
    </row>
    <row r="147" spans="1:20" s="3" customFormat="1" ht="24.95" hidden="1" customHeight="1">
      <c r="A147" s="3" t="s">
        <v>995</v>
      </c>
      <c r="B147" s="3" t="s">
        <v>1018</v>
      </c>
      <c r="D147" s="26" t="s">
        <v>996</v>
      </c>
      <c r="E147" s="63"/>
      <c r="F147" s="27"/>
      <c r="G147" s="27"/>
      <c r="H147" s="27"/>
      <c r="I147" s="27"/>
      <c r="J147" s="27"/>
      <c r="K147" s="27"/>
      <c r="L147" s="27"/>
      <c r="M147" s="27"/>
      <c r="N147" s="27"/>
      <c r="O147" s="27"/>
      <c r="P147" s="27"/>
      <c r="Q147" s="3">
        <f t="shared" si="8"/>
        <v>0</v>
      </c>
      <c r="R147" s="39">
        <f>Q147/Summary!$Q$16</f>
        <v>0</v>
      </c>
      <c r="S147" s="35"/>
      <c r="T147" s="40">
        <f t="shared" si="7"/>
        <v>0</v>
      </c>
    </row>
    <row r="148" spans="1:20" s="3" customFormat="1" ht="24.95" hidden="1" customHeight="1">
      <c r="A148" s="3" t="s">
        <v>997</v>
      </c>
      <c r="B148" s="3" t="s">
        <v>1018</v>
      </c>
      <c r="D148" s="26" t="s">
        <v>998</v>
      </c>
      <c r="E148" s="63"/>
      <c r="F148" s="27"/>
      <c r="G148" s="27"/>
      <c r="H148" s="27"/>
      <c r="I148" s="27"/>
      <c r="J148" s="27"/>
      <c r="K148" s="27"/>
      <c r="L148" s="27"/>
      <c r="M148" s="27"/>
      <c r="N148" s="27"/>
      <c r="O148" s="27"/>
      <c r="P148" s="27"/>
      <c r="Q148" s="3">
        <f t="shared" si="8"/>
        <v>0</v>
      </c>
      <c r="R148" s="39">
        <f>Q148/Summary!$Q$16</f>
        <v>0</v>
      </c>
      <c r="S148" s="35"/>
      <c r="T148" s="40">
        <f t="shared" si="7"/>
        <v>0</v>
      </c>
    </row>
    <row r="149" spans="1:20" s="3" customFormat="1" ht="24.95" hidden="1" customHeight="1">
      <c r="A149" s="3" t="s">
        <v>999</v>
      </c>
      <c r="B149" s="3" t="s">
        <v>1018</v>
      </c>
      <c r="D149" s="26" t="s">
        <v>1000</v>
      </c>
      <c r="E149" s="63"/>
      <c r="F149" s="27"/>
      <c r="G149" s="27"/>
      <c r="H149" s="27"/>
      <c r="I149" s="27"/>
      <c r="J149" s="27"/>
      <c r="K149" s="27"/>
      <c r="L149" s="27"/>
      <c r="M149" s="27"/>
      <c r="N149" s="27"/>
      <c r="O149" s="27"/>
      <c r="P149" s="27"/>
      <c r="Q149" s="3">
        <f t="shared" si="8"/>
        <v>0</v>
      </c>
      <c r="R149" s="39">
        <f>Q149/Summary!$Q$16</f>
        <v>0</v>
      </c>
      <c r="S149" s="35"/>
      <c r="T149" s="40">
        <f t="shared" si="7"/>
        <v>0</v>
      </c>
    </row>
    <row r="150" spans="1:20" s="3" customFormat="1" ht="24.95" hidden="1" customHeight="1">
      <c r="A150" s="3" t="s">
        <v>1001</v>
      </c>
      <c r="B150" s="3" t="s">
        <v>1018</v>
      </c>
      <c r="D150" s="26" t="s">
        <v>1002</v>
      </c>
      <c r="E150" s="63"/>
      <c r="F150" s="27"/>
      <c r="G150" s="27"/>
      <c r="H150" s="27"/>
      <c r="I150" s="27"/>
      <c r="J150" s="27"/>
      <c r="K150" s="27"/>
      <c r="L150" s="27"/>
      <c r="M150" s="27"/>
      <c r="N150" s="27"/>
      <c r="O150" s="27"/>
      <c r="P150" s="27"/>
      <c r="Q150" s="3">
        <f t="shared" si="8"/>
        <v>0</v>
      </c>
      <c r="R150" s="39">
        <f>Q150/Summary!$Q$16</f>
        <v>0</v>
      </c>
      <c r="S150" s="35"/>
      <c r="T150" s="40">
        <f t="shared" si="7"/>
        <v>0</v>
      </c>
    </row>
    <row r="151" spans="1:20" s="3" customFormat="1" ht="24.95" hidden="1" customHeight="1">
      <c r="A151" s="3" t="s">
        <v>1003</v>
      </c>
      <c r="B151" s="3" t="s">
        <v>1018</v>
      </c>
      <c r="D151" s="26" t="s">
        <v>1004</v>
      </c>
      <c r="E151" s="63"/>
      <c r="F151" s="27"/>
      <c r="G151" s="27"/>
      <c r="H151" s="27"/>
      <c r="I151" s="27"/>
      <c r="J151" s="27"/>
      <c r="K151" s="27"/>
      <c r="L151" s="27"/>
      <c r="M151" s="27"/>
      <c r="N151" s="27"/>
      <c r="O151" s="27"/>
      <c r="P151" s="27"/>
      <c r="Q151" s="3">
        <f t="shared" si="8"/>
        <v>0</v>
      </c>
      <c r="R151" s="39">
        <f>Q151/Summary!$Q$16</f>
        <v>0</v>
      </c>
      <c r="S151" s="35"/>
      <c r="T151" s="40">
        <f t="shared" si="7"/>
        <v>0</v>
      </c>
    </row>
    <row r="152" spans="1:20" s="3" customFormat="1" ht="24.95" hidden="1" customHeight="1">
      <c r="A152" s="3" t="s">
        <v>1005</v>
      </c>
      <c r="B152" s="3" t="s">
        <v>1018</v>
      </c>
      <c r="D152" s="26" t="s">
        <v>1006</v>
      </c>
      <c r="E152" s="63"/>
      <c r="F152" s="27"/>
      <c r="G152" s="27"/>
      <c r="H152" s="27"/>
      <c r="I152" s="27"/>
      <c r="J152" s="27"/>
      <c r="K152" s="27"/>
      <c r="L152" s="27"/>
      <c r="M152" s="27"/>
      <c r="N152" s="27"/>
      <c r="O152" s="27"/>
      <c r="P152" s="27"/>
      <c r="Q152" s="3">
        <f t="shared" si="8"/>
        <v>0</v>
      </c>
      <c r="R152" s="39">
        <f>Q152/Summary!$Q$16</f>
        <v>0</v>
      </c>
      <c r="S152" s="35"/>
      <c r="T152" s="40">
        <f t="shared" si="7"/>
        <v>0</v>
      </c>
    </row>
    <row r="153" spans="1:20" s="3" customFormat="1" ht="24.95" hidden="1" customHeight="1">
      <c r="A153" s="3" t="s">
        <v>1007</v>
      </c>
      <c r="B153" s="3" t="s">
        <v>1018</v>
      </c>
      <c r="D153" s="26" t="s">
        <v>1008</v>
      </c>
      <c r="E153" s="63"/>
      <c r="F153" s="27"/>
      <c r="G153" s="27"/>
      <c r="H153" s="27"/>
      <c r="I153" s="27"/>
      <c r="J153" s="27"/>
      <c r="K153" s="27"/>
      <c r="L153" s="27"/>
      <c r="M153" s="27"/>
      <c r="N153" s="27"/>
      <c r="O153" s="27"/>
      <c r="P153" s="27"/>
      <c r="Q153" s="3">
        <f t="shared" si="8"/>
        <v>0</v>
      </c>
      <c r="R153" s="39">
        <f>Q153/Summary!$Q$16</f>
        <v>0</v>
      </c>
      <c r="S153" s="35"/>
      <c r="T153" s="40">
        <f t="shared" si="7"/>
        <v>0</v>
      </c>
    </row>
    <row r="154" spans="1:20" s="3" customFormat="1" ht="24.95" hidden="1" customHeight="1">
      <c r="A154" s="3" t="s">
        <v>1009</v>
      </c>
      <c r="B154" s="3" t="s">
        <v>1018</v>
      </c>
      <c r="D154" s="26" t="s">
        <v>1010</v>
      </c>
      <c r="E154" s="63"/>
      <c r="F154" s="27"/>
      <c r="G154" s="27"/>
      <c r="H154" s="27"/>
      <c r="I154" s="27"/>
      <c r="J154" s="27"/>
      <c r="K154" s="27"/>
      <c r="L154" s="27"/>
      <c r="M154" s="27"/>
      <c r="N154" s="27"/>
      <c r="O154" s="27"/>
      <c r="P154" s="27"/>
      <c r="Q154" s="3">
        <f t="shared" si="8"/>
        <v>0</v>
      </c>
      <c r="R154" s="39">
        <f>Q154/Summary!$Q$16</f>
        <v>0</v>
      </c>
      <c r="S154" s="35"/>
      <c r="T154" s="40">
        <f t="shared" si="7"/>
        <v>0</v>
      </c>
    </row>
    <row r="155" spans="1:20" s="3" customFormat="1" ht="24.95" hidden="1" customHeight="1">
      <c r="A155" s="3" t="s">
        <v>1011</v>
      </c>
      <c r="B155" s="3" t="s">
        <v>1018</v>
      </c>
      <c r="D155" s="26" t="s">
        <v>1012</v>
      </c>
      <c r="E155" s="63"/>
      <c r="F155" s="27"/>
      <c r="G155" s="27"/>
      <c r="H155" s="27"/>
      <c r="I155" s="27"/>
      <c r="J155" s="27"/>
      <c r="K155" s="27"/>
      <c r="L155" s="27"/>
      <c r="M155" s="27"/>
      <c r="N155" s="27"/>
      <c r="O155" s="27"/>
      <c r="P155" s="27"/>
      <c r="Q155" s="3">
        <f t="shared" si="8"/>
        <v>0</v>
      </c>
      <c r="R155" s="39">
        <f>Q155/Summary!$Q$16</f>
        <v>0</v>
      </c>
      <c r="S155" s="35"/>
      <c r="T155" s="40">
        <f t="shared" si="7"/>
        <v>0</v>
      </c>
    </row>
    <row r="156" spans="1:20" s="3" customFormat="1" ht="24.95" hidden="1" customHeight="1">
      <c r="A156" s="3" t="s">
        <v>1013</v>
      </c>
      <c r="B156" s="3" t="s">
        <v>1018</v>
      </c>
      <c r="D156" s="26" t="s">
        <v>1014</v>
      </c>
      <c r="E156" s="63"/>
      <c r="F156" s="27"/>
      <c r="G156" s="27"/>
      <c r="H156" s="27"/>
      <c r="I156" s="27"/>
      <c r="J156" s="27"/>
      <c r="K156" s="27"/>
      <c r="L156" s="27"/>
      <c r="M156" s="27"/>
      <c r="N156" s="27"/>
      <c r="O156" s="27"/>
      <c r="P156" s="27"/>
      <c r="Q156" s="3">
        <f t="shared" si="8"/>
        <v>0</v>
      </c>
      <c r="R156" s="39">
        <f>Q156/Summary!$Q$16</f>
        <v>0</v>
      </c>
      <c r="S156" s="35"/>
      <c r="T156" s="40">
        <f t="shared" si="7"/>
        <v>0</v>
      </c>
    </row>
    <row r="157" spans="1:20" s="3" customFormat="1" ht="24.95" customHeight="1">
      <c r="A157" s="3" t="s">
        <v>611</v>
      </c>
      <c r="B157" s="3" t="s">
        <v>1018</v>
      </c>
      <c r="D157" s="26" t="s">
        <v>612</v>
      </c>
      <c r="E157" s="63">
        <v>100</v>
      </c>
      <c r="F157" s="63">
        <v>100</v>
      </c>
      <c r="G157" s="63">
        <v>100</v>
      </c>
      <c r="H157" s="63">
        <v>100</v>
      </c>
      <c r="I157" s="63">
        <v>100</v>
      </c>
      <c r="J157" s="63">
        <v>100</v>
      </c>
      <c r="K157" s="63">
        <v>100</v>
      </c>
      <c r="L157" s="63">
        <v>100</v>
      </c>
      <c r="M157" s="63">
        <v>100</v>
      </c>
      <c r="N157" s="63">
        <v>100</v>
      </c>
      <c r="O157" s="63">
        <v>100</v>
      </c>
      <c r="P157" s="63">
        <v>100</v>
      </c>
      <c r="Q157" s="3">
        <f t="shared" si="8"/>
        <v>1200</v>
      </c>
      <c r="R157" s="39">
        <f>Q157/Summary!$Q$16</f>
        <v>3.6081771252226413E-5</v>
      </c>
      <c r="S157" s="35"/>
      <c r="T157" s="40" t="e">
        <f t="shared" ref="T157:T159" si="9">-IF(Q157-S157=0,0,(Q157-S157)/S157)</f>
        <v>#DIV/0!</v>
      </c>
    </row>
    <row r="158" spans="1:20" s="19" customFormat="1" ht="24.95" customHeight="1">
      <c r="D158" s="21" t="s">
        <v>613</v>
      </c>
      <c r="E158" s="45">
        <f>SUM(E15:E157)</f>
        <v>12708.21</v>
      </c>
      <c r="F158" s="45">
        <f t="shared" ref="F158:Q158" si="10">SUM(F15:F157)</f>
        <v>12095.15</v>
      </c>
      <c r="G158" s="45">
        <f t="shared" si="10"/>
        <v>20347.370000000003</v>
      </c>
      <c r="H158" s="45">
        <f t="shared" si="10"/>
        <v>21329.47</v>
      </c>
      <c r="I158" s="45">
        <f t="shared" si="10"/>
        <v>14440.7</v>
      </c>
      <c r="J158" s="45">
        <f t="shared" si="10"/>
        <v>13599.86</v>
      </c>
      <c r="K158" s="45">
        <f t="shared" si="10"/>
        <v>14218.26</v>
      </c>
      <c r="L158" s="45">
        <f t="shared" si="10"/>
        <v>14359.960000000001</v>
      </c>
      <c r="M158" s="45">
        <f t="shared" si="10"/>
        <v>14595.490000000002</v>
      </c>
      <c r="N158" s="45">
        <f t="shared" si="10"/>
        <v>15432.14</v>
      </c>
      <c r="O158" s="45">
        <f t="shared" si="10"/>
        <v>14095.07</v>
      </c>
      <c r="P158" s="45">
        <f t="shared" si="10"/>
        <v>13812.760000000002</v>
      </c>
      <c r="Q158" s="45">
        <f t="shared" si="10"/>
        <v>181034.43999999997</v>
      </c>
      <c r="R158" s="39">
        <f>Q158/Summary!$Q$16</f>
        <v>5.443369377379088E-3</v>
      </c>
      <c r="S158" s="35"/>
      <c r="T158" s="40" t="e">
        <f t="shared" si="9"/>
        <v>#DIV/0!</v>
      </c>
    </row>
    <row r="159" spans="1:20" s="19" customFormat="1" ht="24.95" customHeight="1">
      <c r="D159" s="21" t="s">
        <v>614</v>
      </c>
      <c r="E159" s="45">
        <f>+E12+E158</f>
        <v>101531.22</v>
      </c>
      <c r="F159" s="45">
        <f t="shared" ref="F159:P159" si="11">+F12+F158</f>
        <v>101276.13</v>
      </c>
      <c r="G159" s="45">
        <f t="shared" si="11"/>
        <v>105183.67000000001</v>
      </c>
      <c r="H159" s="45">
        <f t="shared" si="11"/>
        <v>106344.76000000001</v>
      </c>
      <c r="I159" s="45">
        <f t="shared" si="11"/>
        <v>103358.90999999999</v>
      </c>
      <c r="J159" s="45">
        <f t="shared" si="11"/>
        <v>98615.150000000009</v>
      </c>
      <c r="K159" s="45">
        <f t="shared" si="11"/>
        <v>99054.56</v>
      </c>
      <c r="L159" s="45">
        <f t="shared" si="11"/>
        <v>99196.260000000009</v>
      </c>
      <c r="M159" s="45">
        <f t="shared" si="11"/>
        <v>99610.780000000013</v>
      </c>
      <c r="N159" s="45">
        <f t="shared" si="11"/>
        <v>104708.31999999999</v>
      </c>
      <c r="O159" s="45">
        <f t="shared" si="11"/>
        <v>98931.37</v>
      </c>
      <c r="P159" s="45">
        <f t="shared" si="11"/>
        <v>98649.06</v>
      </c>
      <c r="Q159" s="45">
        <f t="shared" ref="Q159" si="12">+Q12+Q158</f>
        <v>1216460.1900000002</v>
      </c>
      <c r="R159" s="39">
        <f>Q159/Summary!$Q$16</f>
        <v>3.6576698594183235E-2</v>
      </c>
      <c r="S159" s="35"/>
      <c r="T159" s="40" t="e">
        <f t="shared" si="9"/>
        <v>#DIV/0!</v>
      </c>
    </row>
    <row r="160" spans="1:20" s="3" customFormat="1" ht="24.95" hidden="1" customHeight="1">
      <c r="A160" s="84" t="s">
        <v>615</v>
      </c>
      <c r="B160" s="3" t="s">
        <v>1018</v>
      </c>
      <c r="D160" s="42" t="s">
        <v>351</v>
      </c>
      <c r="E160" s="27">
        <f t="shared" ref="E160:P160" si="13">E159</f>
        <v>101531.22</v>
      </c>
      <c r="F160" s="27">
        <f t="shared" si="13"/>
        <v>101276.13</v>
      </c>
      <c r="G160" s="27">
        <f t="shared" si="13"/>
        <v>105183.67000000001</v>
      </c>
      <c r="H160" s="27">
        <f t="shared" si="13"/>
        <v>106344.76000000001</v>
      </c>
      <c r="I160" s="27">
        <f t="shared" si="13"/>
        <v>103358.90999999999</v>
      </c>
      <c r="J160" s="27">
        <f t="shared" si="13"/>
        <v>98615.150000000009</v>
      </c>
      <c r="K160" s="27">
        <f t="shared" si="13"/>
        <v>99054.56</v>
      </c>
      <c r="L160" s="27">
        <f t="shared" si="13"/>
        <v>99196.260000000009</v>
      </c>
      <c r="M160" s="27">
        <f t="shared" si="13"/>
        <v>99610.780000000013</v>
      </c>
      <c r="N160" s="27">
        <f t="shared" si="13"/>
        <v>104708.31999999999</v>
      </c>
      <c r="O160" s="27">
        <f t="shared" si="13"/>
        <v>98931.37</v>
      </c>
      <c r="P160" s="27">
        <f t="shared" si="13"/>
        <v>98649.06</v>
      </c>
      <c r="Q160" s="3">
        <f>+Q159</f>
        <v>1216460.1900000002</v>
      </c>
      <c r="S160" s="35"/>
      <c r="T160" s="40" t="e">
        <f>IF(Q160-S160=0,0,(Q160-S160)/S160)</f>
        <v>#DIV/0!</v>
      </c>
    </row>
    <row r="161" spans="1:20" s="3" customFormat="1" ht="24.95" customHeight="1">
      <c r="D161" s="42"/>
      <c r="E161" s="74"/>
      <c r="F161" s="74"/>
      <c r="G161" s="74"/>
      <c r="H161" s="74"/>
      <c r="I161" s="74"/>
      <c r="S161" s="35"/>
      <c r="T161" s="40"/>
    </row>
    <row r="162" spans="1:20" s="3" customFormat="1" ht="24.95" customHeight="1">
      <c r="B162" s="51"/>
      <c r="D162" s="19" t="s">
        <v>618</v>
      </c>
      <c r="E162" s="48"/>
      <c r="F162" s="48"/>
      <c r="G162" s="48"/>
      <c r="H162" s="48"/>
      <c r="I162" s="48"/>
      <c r="S162" s="35"/>
      <c r="T162" s="40"/>
    </row>
    <row r="163" spans="1:20" s="3" customFormat="1" ht="24.95" customHeight="1">
      <c r="B163" s="51"/>
      <c r="D163" s="19" t="s">
        <v>444</v>
      </c>
      <c r="E163" s="48"/>
      <c r="F163" s="48"/>
      <c r="G163" s="48"/>
      <c r="H163" s="48"/>
      <c r="I163" s="48"/>
      <c r="S163" s="35"/>
      <c r="T163" s="40"/>
    </row>
    <row r="164" spans="1:20" s="3" customFormat="1" ht="24.95" customHeight="1">
      <c r="A164" s="270" t="s">
        <v>295</v>
      </c>
      <c r="B164" s="3" t="s">
        <v>1018</v>
      </c>
      <c r="D164" s="26" t="s">
        <v>297</v>
      </c>
      <c r="E164" s="27">
        <v>30000</v>
      </c>
      <c r="F164" s="27">
        <v>30000</v>
      </c>
      <c r="G164" s="27">
        <v>30000</v>
      </c>
      <c r="H164" s="27">
        <v>30000</v>
      </c>
      <c r="I164" s="27">
        <v>30000</v>
      </c>
      <c r="J164" s="27">
        <v>30000</v>
      </c>
      <c r="K164" s="27">
        <v>30000</v>
      </c>
      <c r="L164" s="27">
        <v>30000</v>
      </c>
      <c r="M164" s="27">
        <v>30000</v>
      </c>
      <c r="N164" s="27">
        <v>30000</v>
      </c>
      <c r="O164" s="27">
        <v>30000</v>
      </c>
      <c r="P164" s="27">
        <v>30000</v>
      </c>
      <c r="Q164" s="3">
        <f>SUM(E164:P164)</f>
        <v>360000</v>
      </c>
      <c r="R164" s="39">
        <f>Q164/Summary!$Q$16</f>
        <v>1.0824531375667922E-2</v>
      </c>
      <c r="S164" s="35">
        <f>'[5]Finance-Joseph'!$Q164</f>
        <v>1049965.99</v>
      </c>
      <c r="T164" s="40">
        <f>-IF(Q164-S164=0,0,(Q164-S164)/S164)</f>
        <v>0.65713175147701686</v>
      </c>
    </row>
    <row r="165" spans="1:20" s="3" customFormat="1" ht="24.95" customHeight="1">
      <c r="A165" s="50" t="s">
        <v>298</v>
      </c>
      <c r="B165" s="3" t="s">
        <v>1018</v>
      </c>
      <c r="D165" s="26" t="s">
        <v>447</v>
      </c>
      <c r="E165" s="27">
        <v>21500</v>
      </c>
      <c r="F165" s="27">
        <v>21500</v>
      </c>
      <c r="G165" s="27">
        <v>21500</v>
      </c>
      <c r="H165" s="27">
        <v>21500</v>
      </c>
      <c r="I165" s="27">
        <v>21500</v>
      </c>
      <c r="J165" s="27">
        <v>21500</v>
      </c>
      <c r="K165" s="27">
        <v>21500</v>
      </c>
      <c r="L165" s="27">
        <v>21500</v>
      </c>
      <c r="M165" s="27">
        <v>21500</v>
      </c>
      <c r="N165" s="27">
        <v>21500</v>
      </c>
      <c r="O165" s="27">
        <v>21500</v>
      </c>
      <c r="P165" s="27">
        <v>21500</v>
      </c>
      <c r="Q165" s="3">
        <f>SUM(E165:P165)</f>
        <v>258000</v>
      </c>
      <c r="R165" s="39">
        <f>Q165/Summary!$Q$16</f>
        <v>7.757580819228678E-3</v>
      </c>
      <c r="S165" s="35">
        <f>'[5]Finance-Joseph'!$Q165</f>
        <v>782035.23</v>
      </c>
      <c r="T165" s="40">
        <f>-IF(Q165-S165=0,0,(Q165-S165)/S165)</f>
        <v>0.67009158909631217</v>
      </c>
    </row>
    <row r="166" spans="1:20" s="3" customFormat="1" ht="24.95" customHeight="1">
      <c r="B166" s="51"/>
      <c r="D166" s="21" t="s">
        <v>450</v>
      </c>
      <c r="E166" s="52">
        <f>SUM(E164:E165)</f>
        <v>51500</v>
      </c>
      <c r="F166" s="52">
        <f t="shared" ref="F166:P166" si="14">SUM(F164:F165)</f>
        <v>51500</v>
      </c>
      <c r="G166" s="52">
        <f t="shared" si="14"/>
        <v>51500</v>
      </c>
      <c r="H166" s="52">
        <f t="shared" si="14"/>
        <v>51500</v>
      </c>
      <c r="I166" s="52">
        <f t="shared" si="14"/>
        <v>51500</v>
      </c>
      <c r="J166" s="52">
        <f t="shared" si="14"/>
        <v>51500</v>
      </c>
      <c r="K166" s="52">
        <f t="shared" si="14"/>
        <v>51500</v>
      </c>
      <c r="L166" s="52">
        <f t="shared" si="14"/>
        <v>51500</v>
      </c>
      <c r="M166" s="52">
        <f t="shared" si="14"/>
        <v>51500</v>
      </c>
      <c r="N166" s="52">
        <f t="shared" si="14"/>
        <v>51500</v>
      </c>
      <c r="O166" s="52">
        <f t="shared" si="14"/>
        <v>51500</v>
      </c>
      <c r="P166" s="52">
        <f t="shared" si="14"/>
        <v>51500</v>
      </c>
      <c r="Q166" s="52">
        <f t="shared" ref="Q166" si="15">SUM(Q164:Q165)</f>
        <v>618000</v>
      </c>
      <c r="R166" s="39">
        <f>Q166/Summary!$Q$16</f>
        <v>1.85821121948966E-2</v>
      </c>
      <c r="S166" s="35">
        <f>'[5]Finance-Joseph'!$Q166</f>
        <v>1832001.22</v>
      </c>
      <c r="T166" s="40">
        <f>-IF(Q166-S166=0,0,(Q166-S166)/S166)</f>
        <v>0.66266398010368133</v>
      </c>
    </row>
    <row r="167" spans="1:20" s="3" customFormat="1" ht="24.95" customHeight="1">
      <c r="B167" s="51"/>
      <c r="E167" s="53"/>
      <c r="F167" s="53"/>
      <c r="G167" s="53"/>
      <c r="H167" s="53"/>
      <c r="I167" s="53"/>
      <c r="J167" s="53"/>
      <c r="K167" s="53"/>
      <c r="L167" s="53"/>
      <c r="M167" s="53"/>
      <c r="N167" s="53"/>
      <c r="O167" s="53"/>
      <c r="P167" s="53"/>
      <c r="S167" s="35"/>
      <c r="T167" s="40"/>
    </row>
    <row r="168" spans="1:20" s="3" customFormat="1" ht="24.75" customHeight="1">
      <c r="A168" s="271" t="s">
        <v>619</v>
      </c>
      <c r="B168" s="3" t="s">
        <v>1018</v>
      </c>
      <c r="D168" s="26" t="s">
        <v>307</v>
      </c>
      <c r="E168" s="27">
        <v>3807.72</v>
      </c>
      <c r="F168" s="27">
        <v>3807.72</v>
      </c>
      <c r="G168" s="27">
        <v>0</v>
      </c>
      <c r="H168" s="27"/>
      <c r="I168" s="27">
        <v>3902.92</v>
      </c>
      <c r="J168" s="27"/>
      <c r="K168" s="27">
        <v>0</v>
      </c>
      <c r="L168" s="27">
        <v>0</v>
      </c>
      <c r="M168" s="27"/>
      <c r="N168" s="27">
        <v>3902.92</v>
      </c>
      <c r="O168" s="27">
        <v>0</v>
      </c>
      <c r="P168" s="27">
        <v>0</v>
      </c>
      <c r="Q168" s="3">
        <f>SUM(E168:P168)</f>
        <v>15421.28</v>
      </c>
      <c r="R168" s="39">
        <f>Q168/Summary!$Q$16</f>
        <v>4.6368924781377843E-4</v>
      </c>
      <c r="S168" s="35">
        <f>'[5]Finance-Joseph'!$Q168</f>
        <v>37970.189999999995</v>
      </c>
      <c r="T168" s="40">
        <f t="shared" ref="T168:T175" si="16">-IF(Q168-S168=0,0,(Q168-S168)/S168)</f>
        <v>0.59385823457823095</v>
      </c>
    </row>
    <row r="169" spans="1:20" s="3" customFormat="1" ht="24.95" customHeight="1">
      <c r="A169" s="54" t="s">
        <v>308</v>
      </c>
      <c r="B169" s="3" t="s">
        <v>1018</v>
      </c>
      <c r="D169" s="26" t="s">
        <v>309</v>
      </c>
      <c r="E169" s="27">
        <f>ROUND(E166/12*1.5,2)</f>
        <v>6437.5</v>
      </c>
      <c r="F169" s="27">
        <f t="shared" ref="F169:P169" si="17">ROUND(F166/12*1.5,2)</f>
        <v>6437.5</v>
      </c>
      <c r="G169" s="27">
        <f t="shared" si="17"/>
        <v>6437.5</v>
      </c>
      <c r="H169" s="27">
        <f t="shared" si="17"/>
        <v>6437.5</v>
      </c>
      <c r="I169" s="27">
        <f t="shared" si="17"/>
        <v>6437.5</v>
      </c>
      <c r="J169" s="27">
        <f t="shared" si="17"/>
        <v>6437.5</v>
      </c>
      <c r="K169" s="27">
        <f t="shared" si="17"/>
        <v>6437.5</v>
      </c>
      <c r="L169" s="27">
        <f t="shared" si="17"/>
        <v>6437.5</v>
      </c>
      <c r="M169" s="27">
        <f t="shared" si="17"/>
        <v>6437.5</v>
      </c>
      <c r="N169" s="27">
        <f t="shared" si="17"/>
        <v>6437.5</v>
      </c>
      <c r="O169" s="27">
        <f t="shared" si="17"/>
        <v>6437.5</v>
      </c>
      <c r="P169" s="27">
        <f t="shared" si="17"/>
        <v>6437.5</v>
      </c>
      <c r="Q169" s="3">
        <f t="shared" ref="Q169:Q174" si="18">SUM(E169:P169)</f>
        <v>77250</v>
      </c>
      <c r="R169" s="39">
        <f>Q169/Summary!$Q$16</f>
        <v>2.322764024362075E-3</v>
      </c>
      <c r="S169" s="35">
        <f>'[5]Finance-Joseph'!$Q169</f>
        <v>311074.40999999997</v>
      </c>
      <c r="T169" s="40">
        <f t="shared" si="16"/>
        <v>0.75166713327528289</v>
      </c>
    </row>
    <row r="170" spans="1:20" s="3" customFormat="1" ht="24.95" customHeight="1">
      <c r="A170" s="271" t="s">
        <v>620</v>
      </c>
      <c r="B170" s="3" t="s">
        <v>1018</v>
      </c>
      <c r="D170" s="26" t="s">
        <v>311</v>
      </c>
      <c r="E170" s="27"/>
      <c r="F170" s="27"/>
      <c r="G170" s="27"/>
      <c r="H170" s="27"/>
      <c r="I170" s="27"/>
      <c r="J170" s="27"/>
      <c r="K170" s="27"/>
      <c r="L170" s="27"/>
      <c r="M170" s="27"/>
      <c r="N170" s="27"/>
      <c r="O170" s="27"/>
      <c r="P170" s="27"/>
      <c r="Q170" s="3">
        <f t="shared" si="18"/>
        <v>0</v>
      </c>
      <c r="R170" s="39">
        <f>Q170/Summary!$Q$16</f>
        <v>0</v>
      </c>
      <c r="S170" s="35">
        <f>'[5]Finance-Joseph'!$Q170</f>
        <v>0</v>
      </c>
      <c r="T170" s="40">
        <f t="shared" si="16"/>
        <v>0</v>
      </c>
    </row>
    <row r="171" spans="1:20" s="3" customFormat="1" ht="24.95" customHeight="1">
      <c r="A171" s="271" t="s">
        <v>621</v>
      </c>
      <c r="B171" s="3" t="s">
        <v>1018</v>
      </c>
      <c r="D171" s="26" t="s">
        <v>313</v>
      </c>
      <c r="E171" s="27"/>
      <c r="F171" s="27"/>
      <c r="G171" s="27"/>
      <c r="H171" s="27"/>
      <c r="I171" s="27"/>
      <c r="J171" s="27"/>
      <c r="K171" s="27"/>
      <c r="L171" s="27"/>
      <c r="M171" s="27"/>
      <c r="N171" s="27"/>
      <c r="O171" s="27"/>
      <c r="P171" s="27"/>
      <c r="Q171" s="3">
        <f t="shared" ref="Q171:Q172" si="19">SUM(E171:P171)</f>
        <v>0</v>
      </c>
      <c r="R171" s="39">
        <f>Q171/Summary!$Q$16</f>
        <v>0</v>
      </c>
      <c r="S171" s="35">
        <f>'[5]Finance-Joseph'!$Q169</f>
        <v>311074.40999999997</v>
      </c>
      <c r="T171" s="40">
        <f t="shared" ref="T171:T172" si="20">-IF(Q171-S171=0,0,(Q171-S171)/S171)</f>
        <v>1</v>
      </c>
    </row>
    <row r="172" spans="1:20" s="3" customFormat="1" ht="24.95" customHeight="1">
      <c r="A172" s="271" t="s">
        <v>622</v>
      </c>
      <c r="B172" s="3" t="s">
        <v>1018</v>
      </c>
      <c r="D172" s="26" t="s">
        <v>315</v>
      </c>
      <c r="E172" s="27"/>
      <c r="F172" s="27"/>
      <c r="G172" s="27"/>
      <c r="H172" s="27"/>
      <c r="I172" s="27"/>
      <c r="J172" s="27"/>
      <c r="K172" s="27"/>
      <c r="L172" s="27"/>
      <c r="M172" s="27"/>
      <c r="N172" s="27"/>
      <c r="O172" s="27"/>
      <c r="P172" s="27"/>
      <c r="Q172" s="3">
        <f t="shared" si="19"/>
        <v>0</v>
      </c>
      <c r="R172" s="39">
        <f>Q172/Summary!$Q$16</f>
        <v>0</v>
      </c>
      <c r="S172" s="35">
        <f>'[5]Finance-Joseph'!$Q170</f>
        <v>0</v>
      </c>
      <c r="T172" s="40">
        <f t="shared" si="20"/>
        <v>0</v>
      </c>
    </row>
    <row r="173" spans="1:20" s="3" customFormat="1" ht="24.95" customHeight="1">
      <c r="A173" s="271" t="s">
        <v>1109</v>
      </c>
      <c r="B173" s="3" t="s">
        <v>1018</v>
      </c>
      <c r="D173" s="26" t="s">
        <v>1113</v>
      </c>
      <c r="E173" s="27"/>
      <c r="F173" s="27"/>
      <c r="G173" s="27"/>
      <c r="H173" s="27"/>
      <c r="I173" s="27"/>
      <c r="J173" s="27"/>
      <c r="K173" s="27"/>
      <c r="L173" s="27"/>
      <c r="M173" s="27"/>
      <c r="N173" s="27"/>
      <c r="O173" s="27"/>
      <c r="P173" s="27"/>
      <c r="Q173" s="3">
        <f t="shared" si="18"/>
        <v>0</v>
      </c>
      <c r="R173" s="39">
        <f>Q173/Summary!$Q$16</f>
        <v>0</v>
      </c>
      <c r="S173" s="35">
        <f>'[5]Finance-Joseph'!$Q171</f>
        <v>0</v>
      </c>
      <c r="T173" s="40">
        <f t="shared" si="16"/>
        <v>0</v>
      </c>
    </row>
    <row r="174" spans="1:20" s="3" customFormat="1" ht="24.95" customHeight="1">
      <c r="A174" s="271" t="s">
        <v>1109</v>
      </c>
      <c r="B174" s="3" t="s">
        <v>1018</v>
      </c>
      <c r="D174" s="26" t="s">
        <v>1114</v>
      </c>
      <c r="E174" s="27"/>
      <c r="F174" s="27"/>
      <c r="G174" s="27"/>
      <c r="H174" s="27"/>
      <c r="I174" s="27"/>
      <c r="J174" s="27"/>
      <c r="K174" s="27"/>
      <c r="L174" s="27"/>
      <c r="M174" s="27"/>
      <c r="N174" s="27"/>
      <c r="O174" s="27"/>
      <c r="P174" s="27"/>
      <c r="Q174" s="3">
        <f t="shared" si="18"/>
        <v>0</v>
      </c>
      <c r="R174" s="39">
        <f>Q174/Summary!$Q$16</f>
        <v>0</v>
      </c>
      <c r="S174" s="35">
        <f>'[5]Finance-Joseph'!$Q172</f>
        <v>0</v>
      </c>
      <c r="T174" s="40">
        <f t="shared" si="16"/>
        <v>0</v>
      </c>
    </row>
    <row r="175" spans="1:20" s="19" customFormat="1" ht="24.75" customHeight="1">
      <c r="A175" s="54"/>
      <c r="B175" s="51"/>
      <c r="D175" s="19" t="s">
        <v>316</v>
      </c>
      <c r="E175" s="52">
        <f>SUM(E168:E174)</f>
        <v>10245.219999999999</v>
      </c>
      <c r="F175" s="52">
        <f t="shared" ref="F175:P175" si="21">SUM(F168:F174)</f>
        <v>10245.219999999999</v>
      </c>
      <c r="G175" s="52">
        <f t="shared" si="21"/>
        <v>6437.5</v>
      </c>
      <c r="H175" s="52">
        <f t="shared" si="21"/>
        <v>6437.5</v>
      </c>
      <c r="I175" s="52">
        <f t="shared" si="21"/>
        <v>10340.42</v>
      </c>
      <c r="J175" s="52">
        <f t="shared" si="21"/>
        <v>6437.5</v>
      </c>
      <c r="K175" s="52">
        <f t="shared" si="21"/>
        <v>6437.5</v>
      </c>
      <c r="L175" s="52">
        <f t="shared" si="21"/>
        <v>6437.5</v>
      </c>
      <c r="M175" s="52">
        <f t="shared" si="21"/>
        <v>6437.5</v>
      </c>
      <c r="N175" s="52">
        <f t="shared" si="21"/>
        <v>10340.42</v>
      </c>
      <c r="O175" s="52">
        <f t="shared" si="21"/>
        <v>6437.5</v>
      </c>
      <c r="P175" s="52">
        <f t="shared" si="21"/>
        <v>6437.5</v>
      </c>
      <c r="Q175" s="52">
        <f t="shared" ref="Q175" si="22">SUM(Q168:Q174)</f>
        <v>92671.28</v>
      </c>
      <c r="R175" s="39">
        <f>Q175/Summary!$Q$16</f>
        <v>2.7864532721758534E-3</v>
      </c>
      <c r="S175" s="35">
        <f>'[5]Finance-Joseph'!$Q173</f>
        <v>349044.6</v>
      </c>
      <c r="T175" s="40">
        <f t="shared" si="16"/>
        <v>0.73450017562225567</v>
      </c>
    </row>
    <row r="176" spans="1:20" s="3" customFormat="1" ht="24.95" customHeight="1">
      <c r="A176" s="50"/>
      <c r="D176" s="19"/>
      <c r="E176" s="53"/>
      <c r="F176" s="53"/>
      <c r="G176" s="53"/>
      <c r="H176" s="53"/>
      <c r="I176" s="53"/>
      <c r="S176" s="35"/>
      <c r="T176" s="40"/>
    </row>
    <row r="177" spans="1:20" s="3" customFormat="1" ht="24.95" customHeight="1">
      <c r="A177" s="271" t="s">
        <v>625</v>
      </c>
      <c r="B177" s="3" t="s">
        <v>1018</v>
      </c>
      <c r="D177" s="26" t="s">
        <v>318</v>
      </c>
      <c r="E177" s="63">
        <v>8412</v>
      </c>
      <c r="F177" s="63">
        <v>8412</v>
      </c>
      <c r="G177" s="63">
        <v>8412</v>
      </c>
      <c r="H177" s="63">
        <v>8412</v>
      </c>
      <c r="I177" s="63">
        <v>8412</v>
      </c>
      <c r="J177" s="63">
        <v>8412</v>
      </c>
      <c r="K177" s="63">
        <v>8412</v>
      </c>
      <c r="L177" s="63">
        <v>8412</v>
      </c>
      <c r="M177" s="63">
        <v>8412</v>
      </c>
      <c r="N177" s="63">
        <v>8412</v>
      </c>
      <c r="O177" s="63">
        <v>8412</v>
      </c>
      <c r="P177" s="63">
        <v>8412</v>
      </c>
      <c r="Q177" s="3">
        <f>SUM(E177:P177)</f>
        <v>100944</v>
      </c>
      <c r="R177" s="39">
        <f>Q177/Summary!$Q$16</f>
        <v>3.0351985977372857E-3</v>
      </c>
      <c r="S177" s="35">
        <f>'[5]Finance-Joseph'!$Q175</f>
        <v>206949.18</v>
      </c>
      <c r="T177" s="40">
        <f t="shared" ref="T177:T185" si="23">-IF(Q177-S177=0,0,(Q177-S177)/S177)</f>
        <v>0.512228074544678</v>
      </c>
    </row>
    <row r="178" spans="1:20" s="3" customFormat="1" ht="24.95" customHeight="1">
      <c r="A178" s="271" t="s">
        <v>626</v>
      </c>
      <c r="B178" s="3" t="s">
        <v>1018</v>
      </c>
      <c r="D178" s="26" t="s">
        <v>320</v>
      </c>
      <c r="E178" s="63">
        <v>3680.25</v>
      </c>
      <c r="F178" s="63">
        <v>3680.25</v>
      </c>
      <c r="G178" s="63">
        <v>3680.25</v>
      </c>
      <c r="H178" s="63">
        <v>3680.25</v>
      </c>
      <c r="I178" s="63">
        <v>3680.25</v>
      </c>
      <c r="J178" s="63">
        <v>3680.25</v>
      </c>
      <c r="K178" s="63">
        <v>3680.25</v>
      </c>
      <c r="L178" s="63">
        <v>3680.25</v>
      </c>
      <c r="M178" s="63">
        <v>3680.25</v>
      </c>
      <c r="N178" s="63">
        <v>3680.25</v>
      </c>
      <c r="O178" s="63">
        <v>3680.25</v>
      </c>
      <c r="P178" s="63">
        <v>3680.25</v>
      </c>
      <c r="Q178" s="3">
        <f t="shared" ref="Q178:Q184" si="24">SUM(E178:P178)</f>
        <v>44163</v>
      </c>
      <c r="R178" s="39">
        <f>Q178/Summary!$Q$16</f>
        <v>1.3278993865100625E-3</v>
      </c>
      <c r="S178" s="35">
        <f>'[5]Finance-Joseph'!$Q176</f>
        <v>155211.94</v>
      </c>
      <c r="T178" s="40">
        <f t="shared" si="23"/>
        <v>0.71546647764340809</v>
      </c>
    </row>
    <row r="179" spans="1:20" s="3" customFormat="1" ht="24.95" customHeight="1">
      <c r="A179" s="271" t="s">
        <v>627</v>
      </c>
      <c r="B179" s="3" t="s">
        <v>1018</v>
      </c>
      <c r="D179" s="26" t="s">
        <v>322</v>
      </c>
      <c r="E179" s="63">
        <v>262.88</v>
      </c>
      <c r="F179" s="63">
        <v>262.88</v>
      </c>
      <c r="G179" s="63">
        <v>262.88</v>
      </c>
      <c r="H179" s="63">
        <v>262.88</v>
      </c>
      <c r="I179" s="63">
        <v>262.88</v>
      </c>
      <c r="J179" s="63">
        <v>262.88</v>
      </c>
      <c r="K179" s="63">
        <v>262.88</v>
      </c>
      <c r="L179" s="63">
        <v>262.88</v>
      </c>
      <c r="M179" s="63">
        <v>262.88</v>
      </c>
      <c r="N179" s="63">
        <v>262.88</v>
      </c>
      <c r="O179" s="63">
        <v>262.88</v>
      </c>
      <c r="P179" s="63">
        <v>262.88</v>
      </c>
      <c r="Q179" s="3">
        <f t="shared" si="24"/>
        <v>3154.5600000000009</v>
      </c>
      <c r="R179" s="39">
        <f>Q179/Summary!$Q$16</f>
        <v>9.4851760267852814E-5</v>
      </c>
      <c r="S179" s="35">
        <f>'[5]Finance-Joseph'!$Q177</f>
        <v>7390.9000000000015</v>
      </c>
      <c r="T179" s="40">
        <f t="shared" si="23"/>
        <v>0.57318323884777211</v>
      </c>
    </row>
    <row r="180" spans="1:20" s="3" customFormat="1" ht="24.95" customHeight="1">
      <c r="A180" s="271" t="s">
        <v>628</v>
      </c>
      <c r="B180" s="3" t="s">
        <v>1018</v>
      </c>
      <c r="D180" s="26" t="s">
        <v>324</v>
      </c>
      <c r="E180" s="63">
        <v>210.29999999999998</v>
      </c>
      <c r="F180" s="63">
        <v>210.29999999999998</v>
      </c>
      <c r="G180" s="63">
        <v>210.29999999999998</v>
      </c>
      <c r="H180" s="63">
        <v>210.29999999999998</v>
      </c>
      <c r="I180" s="63">
        <v>210.29999999999998</v>
      </c>
      <c r="J180" s="63">
        <v>210.29999999999998</v>
      </c>
      <c r="K180" s="63">
        <v>210.29999999999998</v>
      </c>
      <c r="L180" s="63">
        <v>210.29999999999998</v>
      </c>
      <c r="M180" s="63">
        <v>210.29999999999998</v>
      </c>
      <c r="N180" s="63">
        <v>210.29999999999998</v>
      </c>
      <c r="O180" s="63">
        <v>210.29999999999998</v>
      </c>
      <c r="P180" s="63">
        <v>210.29999999999998</v>
      </c>
      <c r="Q180" s="3">
        <f t="shared" si="24"/>
        <v>2523.6000000000004</v>
      </c>
      <c r="R180" s="39">
        <f>Q180/Summary!$Q$16</f>
        <v>7.5879964943432148E-5</v>
      </c>
      <c r="S180" s="35">
        <f>'[5]Finance-Joseph'!$Q178</f>
        <v>3924.8700000000008</v>
      </c>
      <c r="T180" s="40">
        <f t="shared" si="23"/>
        <v>0.35702328994336124</v>
      </c>
    </row>
    <row r="181" spans="1:20" s="3" customFormat="1" ht="24.95" customHeight="1">
      <c r="A181" s="271" t="s">
        <v>629</v>
      </c>
      <c r="B181" s="3" t="s">
        <v>1018</v>
      </c>
      <c r="D181" s="26" t="s">
        <v>326</v>
      </c>
      <c r="E181" s="63">
        <v>420.59999999999997</v>
      </c>
      <c r="F181" s="63">
        <v>420.59999999999997</v>
      </c>
      <c r="G181" s="63">
        <v>420.59999999999997</v>
      </c>
      <c r="H181" s="63">
        <v>420.59999999999997</v>
      </c>
      <c r="I181" s="63">
        <v>420.59999999999997</v>
      </c>
      <c r="J181" s="63">
        <v>420.59999999999997</v>
      </c>
      <c r="K181" s="63">
        <v>420.59999999999997</v>
      </c>
      <c r="L181" s="63">
        <v>420.59999999999997</v>
      </c>
      <c r="M181" s="63">
        <v>420.59999999999997</v>
      </c>
      <c r="N181" s="63">
        <v>420.59999999999997</v>
      </c>
      <c r="O181" s="63">
        <v>420.59999999999997</v>
      </c>
      <c r="P181" s="63">
        <v>420.59999999999997</v>
      </c>
      <c r="Q181" s="3">
        <f t="shared" si="24"/>
        <v>5047.2000000000007</v>
      </c>
      <c r="R181" s="39">
        <f>Q181/Summary!$Q$16</f>
        <v>1.517599298868643E-4</v>
      </c>
      <c r="S181" s="35">
        <f>'[5]Finance-Joseph'!$Q179</f>
        <v>17738.670000000002</v>
      </c>
      <c r="T181" s="40">
        <f t="shared" si="23"/>
        <v>0.71546908533728848</v>
      </c>
    </row>
    <row r="182" spans="1:20" s="3" customFormat="1" ht="24.95" customHeight="1">
      <c r="A182" s="271" t="s">
        <v>630</v>
      </c>
      <c r="B182" s="3" t="s">
        <v>1018</v>
      </c>
      <c r="D182" s="26" t="s">
        <v>328</v>
      </c>
      <c r="E182" s="63">
        <v>5150.6000000000004</v>
      </c>
      <c r="F182" s="63">
        <v>5150.6000000000004</v>
      </c>
      <c r="G182" s="63">
        <v>5150.6000000000004</v>
      </c>
      <c r="H182" s="63">
        <v>5150.6000000000004</v>
      </c>
      <c r="I182" s="63">
        <v>5150.6000000000004</v>
      </c>
      <c r="J182" s="63">
        <v>5150.6000000000004</v>
      </c>
      <c r="K182" s="63">
        <v>5150.6000000000004</v>
      </c>
      <c r="L182" s="63">
        <v>5150.6000000000004</v>
      </c>
      <c r="M182" s="63">
        <v>5150.6000000000004</v>
      </c>
      <c r="N182" s="63">
        <v>5150.6000000000004</v>
      </c>
      <c r="O182" s="63">
        <v>5150.6000000000004</v>
      </c>
      <c r="P182" s="63">
        <v>5150.6000000000004</v>
      </c>
      <c r="Q182" s="3">
        <f t="shared" si="24"/>
        <v>61807.19999999999</v>
      </c>
      <c r="R182" s="39">
        <f>Q182/Summary!$Q$16</f>
        <v>1.8584277101171731E-3</v>
      </c>
      <c r="S182" s="35">
        <f>'[5]Finance-Joseph'!$Q180</f>
        <v>193889.75</v>
      </c>
      <c r="T182" s="40">
        <f t="shared" si="23"/>
        <v>0.68122502607796453</v>
      </c>
    </row>
    <row r="183" spans="1:20" s="3" customFormat="1" ht="24.95" customHeight="1">
      <c r="A183" s="271" t="s">
        <v>631</v>
      </c>
      <c r="B183" s="3" t="s">
        <v>1018</v>
      </c>
      <c r="D183" s="26" t="s">
        <v>330</v>
      </c>
      <c r="E183" s="63">
        <f>ROUND(E166*0.02,2)</f>
        <v>1030</v>
      </c>
      <c r="F183" s="63">
        <f t="shared" ref="F183:P183" si="25">ROUND(F166*0.02,2)</f>
        <v>1030</v>
      </c>
      <c r="G183" s="63">
        <f t="shared" si="25"/>
        <v>1030</v>
      </c>
      <c r="H183" s="63">
        <f t="shared" si="25"/>
        <v>1030</v>
      </c>
      <c r="I183" s="63">
        <f t="shared" si="25"/>
        <v>1030</v>
      </c>
      <c r="J183" s="63">
        <f t="shared" si="25"/>
        <v>1030</v>
      </c>
      <c r="K183" s="63">
        <f t="shared" si="25"/>
        <v>1030</v>
      </c>
      <c r="L183" s="63">
        <f t="shared" si="25"/>
        <v>1030</v>
      </c>
      <c r="M183" s="63">
        <f t="shared" si="25"/>
        <v>1030</v>
      </c>
      <c r="N183" s="63">
        <f t="shared" si="25"/>
        <v>1030</v>
      </c>
      <c r="O183" s="63">
        <f t="shared" si="25"/>
        <v>1030</v>
      </c>
      <c r="P183" s="63">
        <f t="shared" si="25"/>
        <v>1030</v>
      </c>
      <c r="Q183" s="3">
        <f t="shared" si="24"/>
        <v>12360</v>
      </c>
      <c r="R183" s="39">
        <f>Q183/Summary!$Q$16</f>
        <v>3.7164224389793201E-4</v>
      </c>
      <c r="S183" s="35">
        <f>'[5]Finance-Joseph'!$Q181</f>
        <v>0</v>
      </c>
      <c r="T183" s="40" t="e">
        <f t="shared" si="23"/>
        <v>#DIV/0!</v>
      </c>
    </row>
    <row r="184" spans="1:20" s="3" customFormat="1" ht="24.95" customHeight="1">
      <c r="A184" s="271" t="s">
        <v>632</v>
      </c>
      <c r="B184" s="3" t="s">
        <v>1018</v>
      </c>
      <c r="D184" s="26" t="s">
        <v>332</v>
      </c>
      <c r="E184" s="63"/>
      <c r="F184" s="27"/>
      <c r="G184" s="27"/>
      <c r="H184" s="27"/>
      <c r="I184" s="27"/>
      <c r="J184" s="27"/>
      <c r="K184" s="27"/>
      <c r="L184" s="27"/>
      <c r="M184" s="27"/>
      <c r="N184" s="27"/>
      <c r="O184" s="27"/>
      <c r="P184" s="27"/>
      <c r="Q184" s="3">
        <f t="shared" si="24"/>
        <v>0</v>
      </c>
      <c r="R184" s="39">
        <f>Q184/Summary!$Q$16</f>
        <v>0</v>
      </c>
      <c r="S184" s="35">
        <f>'[5]Finance-Joseph'!$Q182</f>
        <v>0</v>
      </c>
      <c r="T184" s="40">
        <f t="shared" si="23"/>
        <v>0</v>
      </c>
    </row>
    <row r="185" spans="1:20" s="19" customFormat="1" ht="24.95" customHeight="1">
      <c r="A185" s="54"/>
      <c r="B185" s="51"/>
      <c r="D185" s="19" t="s">
        <v>333</v>
      </c>
      <c r="E185" s="45">
        <f>SUM(E177:E184)</f>
        <v>19166.629999999997</v>
      </c>
      <c r="F185" s="45">
        <f t="shared" ref="F185:P185" si="26">SUM(F177:F184)</f>
        <v>19166.629999999997</v>
      </c>
      <c r="G185" s="45">
        <f t="shared" si="26"/>
        <v>19166.629999999997</v>
      </c>
      <c r="H185" s="45">
        <f t="shared" si="26"/>
        <v>19166.629999999997</v>
      </c>
      <c r="I185" s="45">
        <f t="shared" si="26"/>
        <v>19166.629999999997</v>
      </c>
      <c r="J185" s="45">
        <f t="shared" si="26"/>
        <v>19166.629999999997</v>
      </c>
      <c r="K185" s="45">
        <f t="shared" si="26"/>
        <v>19166.629999999997</v>
      </c>
      <c r="L185" s="45">
        <f t="shared" si="26"/>
        <v>19166.629999999997</v>
      </c>
      <c r="M185" s="45">
        <f t="shared" si="26"/>
        <v>19166.629999999997</v>
      </c>
      <c r="N185" s="45">
        <f t="shared" si="26"/>
        <v>19166.629999999997</v>
      </c>
      <c r="O185" s="45">
        <f t="shared" si="26"/>
        <v>19166.629999999997</v>
      </c>
      <c r="P185" s="45">
        <f t="shared" si="26"/>
        <v>19166.629999999997</v>
      </c>
      <c r="Q185" s="45">
        <f t="shared" ref="Q185" si="27">SUM(Q177:Q184)</f>
        <v>229999.56</v>
      </c>
      <c r="R185" s="39">
        <f>Q185/Summary!$Q$16</f>
        <v>6.9156595933606031E-3</v>
      </c>
      <c r="S185" s="35">
        <f>'[5]Finance-Joseph'!$Q183</f>
        <v>585105.31000000006</v>
      </c>
      <c r="T185" s="40">
        <f t="shared" si="23"/>
        <v>0.60690912205189185</v>
      </c>
    </row>
    <row r="186" spans="1:20" s="19" customFormat="1" ht="24.95" customHeight="1">
      <c r="A186" s="54"/>
      <c r="B186" s="51"/>
      <c r="D186" s="21"/>
      <c r="E186" s="55"/>
      <c r="F186" s="55"/>
      <c r="G186" s="55"/>
      <c r="H186" s="55"/>
      <c r="I186" s="55"/>
      <c r="S186" s="35"/>
      <c r="T186" s="40"/>
    </row>
    <row r="187" spans="1:20" s="3" customFormat="1" ht="24.95" hidden="1" customHeight="1">
      <c r="A187" s="271" t="s">
        <v>633</v>
      </c>
      <c r="B187" s="3" t="s">
        <v>1018</v>
      </c>
      <c r="D187" s="26" t="s">
        <v>335</v>
      </c>
      <c r="E187" s="63">
        <v>0</v>
      </c>
      <c r="F187" s="27">
        <v>0</v>
      </c>
      <c r="G187" s="27">
        <v>0</v>
      </c>
      <c r="H187" s="27">
        <v>0</v>
      </c>
      <c r="I187" s="27">
        <v>0</v>
      </c>
      <c r="J187" s="27">
        <v>0</v>
      </c>
      <c r="K187" s="27">
        <v>0</v>
      </c>
      <c r="L187" s="27">
        <v>0</v>
      </c>
      <c r="M187" s="27">
        <v>0</v>
      </c>
      <c r="N187" s="27">
        <v>0</v>
      </c>
      <c r="O187" s="27">
        <v>0</v>
      </c>
      <c r="P187" s="27">
        <v>0</v>
      </c>
      <c r="Q187" s="3">
        <f>SUM(E187:P187)</f>
        <v>0</v>
      </c>
      <c r="R187" s="39">
        <f>Q187/Summary!$Q$16</f>
        <v>0</v>
      </c>
      <c r="S187" s="35">
        <f>'[5]Finance-Joseph'!$Q185</f>
        <v>0</v>
      </c>
      <c r="T187" s="40">
        <f t="shared" ref="T187:T195" si="28">-IF(Q187-S187=0,0,(Q187-S187)/S187)</f>
        <v>0</v>
      </c>
    </row>
    <row r="188" spans="1:20" s="3" customFormat="1" ht="24.95" hidden="1" customHeight="1">
      <c r="A188" s="271" t="s">
        <v>634</v>
      </c>
      <c r="B188" s="3" t="s">
        <v>1018</v>
      </c>
      <c r="D188" s="3" t="s">
        <v>337</v>
      </c>
      <c r="E188" s="63">
        <v>0</v>
      </c>
      <c r="F188" s="27">
        <v>0</v>
      </c>
      <c r="G188" s="27">
        <v>0</v>
      </c>
      <c r="H188" s="27">
        <v>0</v>
      </c>
      <c r="I188" s="27">
        <v>0</v>
      </c>
      <c r="J188" s="27">
        <v>0</v>
      </c>
      <c r="K188" s="27">
        <v>0</v>
      </c>
      <c r="L188" s="27">
        <v>0</v>
      </c>
      <c r="M188" s="27">
        <v>0</v>
      </c>
      <c r="N188" s="27">
        <v>0</v>
      </c>
      <c r="O188" s="27">
        <v>0</v>
      </c>
      <c r="P188" s="27">
        <v>0</v>
      </c>
      <c r="Q188" s="3">
        <f t="shared" ref="Q188:Q193" si="29">SUM(E188:P188)</f>
        <v>0</v>
      </c>
      <c r="R188" s="39">
        <f>Q188/Summary!$Q$16</f>
        <v>0</v>
      </c>
      <c r="S188" s="35">
        <f>'[5]Finance-Joseph'!$Q186</f>
        <v>0</v>
      </c>
      <c r="T188" s="40">
        <f t="shared" si="28"/>
        <v>0</v>
      </c>
    </row>
    <row r="189" spans="1:20" s="3" customFormat="1" ht="24.95" hidden="1" customHeight="1">
      <c r="A189" s="271" t="s">
        <v>635</v>
      </c>
      <c r="B189" s="3" t="s">
        <v>1018</v>
      </c>
      <c r="D189" s="26" t="s">
        <v>339</v>
      </c>
      <c r="E189" s="63">
        <v>0</v>
      </c>
      <c r="F189" s="27">
        <v>0</v>
      </c>
      <c r="G189" s="27">
        <v>0</v>
      </c>
      <c r="H189" s="27">
        <v>0</v>
      </c>
      <c r="I189" s="27">
        <v>0</v>
      </c>
      <c r="J189" s="27">
        <v>0</v>
      </c>
      <c r="K189" s="27">
        <v>0</v>
      </c>
      <c r="L189" s="27">
        <v>0</v>
      </c>
      <c r="M189" s="27">
        <v>0</v>
      </c>
      <c r="N189" s="27">
        <v>0</v>
      </c>
      <c r="O189" s="27">
        <v>0</v>
      </c>
      <c r="P189" s="27">
        <v>0</v>
      </c>
      <c r="Q189" s="3">
        <f t="shared" si="29"/>
        <v>0</v>
      </c>
      <c r="R189" s="39">
        <f>Q189/Summary!$Q$16</f>
        <v>0</v>
      </c>
      <c r="S189" s="35">
        <f>'[5]Finance-Joseph'!$Q187</f>
        <v>0</v>
      </c>
      <c r="T189" s="40">
        <f t="shared" si="28"/>
        <v>0</v>
      </c>
    </row>
    <row r="190" spans="1:20" s="3" customFormat="1" ht="24.95" hidden="1" customHeight="1">
      <c r="A190" s="271" t="s">
        <v>636</v>
      </c>
      <c r="B190" s="3" t="s">
        <v>1018</v>
      </c>
      <c r="D190" s="26" t="s">
        <v>341</v>
      </c>
      <c r="E190" s="63">
        <v>0</v>
      </c>
      <c r="F190" s="27">
        <v>0</v>
      </c>
      <c r="G190" s="27">
        <v>0</v>
      </c>
      <c r="H190" s="27">
        <v>0</v>
      </c>
      <c r="I190" s="27">
        <v>0</v>
      </c>
      <c r="J190" s="27">
        <v>0</v>
      </c>
      <c r="K190" s="27">
        <v>0</v>
      </c>
      <c r="L190" s="27">
        <v>0</v>
      </c>
      <c r="M190" s="27">
        <v>0</v>
      </c>
      <c r="N190" s="27">
        <v>0</v>
      </c>
      <c r="O190" s="27">
        <v>0</v>
      </c>
      <c r="P190" s="27">
        <v>0</v>
      </c>
      <c r="Q190" s="3">
        <f t="shared" si="29"/>
        <v>0</v>
      </c>
      <c r="R190" s="39">
        <f>Q190/Summary!$Q$16</f>
        <v>0</v>
      </c>
      <c r="S190" s="35">
        <f>'[5]Finance-Joseph'!$Q188</f>
        <v>0</v>
      </c>
      <c r="T190" s="40">
        <f t="shared" si="28"/>
        <v>0</v>
      </c>
    </row>
    <row r="191" spans="1:20" s="3" customFormat="1" ht="24.95" customHeight="1">
      <c r="A191" s="271" t="s">
        <v>637</v>
      </c>
      <c r="B191" s="3" t="s">
        <v>1018</v>
      </c>
      <c r="D191" s="26" t="s">
        <v>343</v>
      </c>
      <c r="E191" s="63"/>
      <c r="F191" s="27"/>
      <c r="G191" s="27"/>
      <c r="H191" s="27"/>
      <c r="I191" s="27"/>
      <c r="J191" s="27"/>
      <c r="K191" s="27"/>
      <c r="L191" s="27"/>
      <c r="M191" s="27"/>
      <c r="N191" s="27"/>
      <c r="O191" s="27"/>
      <c r="P191" s="27"/>
      <c r="Q191" s="3">
        <f t="shared" si="29"/>
        <v>0</v>
      </c>
      <c r="R191" s="39">
        <f>Q191/Summary!$Q$16</f>
        <v>0</v>
      </c>
      <c r="S191" s="35">
        <f>'[5]Finance-Joseph'!$Q189</f>
        <v>17394.580000000002</v>
      </c>
      <c r="T191" s="40">
        <f t="shared" si="28"/>
        <v>1</v>
      </c>
    </row>
    <row r="192" spans="1:20" s="3" customFormat="1" ht="24.95" customHeight="1">
      <c r="A192" s="271" t="s">
        <v>344</v>
      </c>
      <c r="B192" s="3" t="s">
        <v>1018</v>
      </c>
      <c r="D192" s="26" t="s">
        <v>345</v>
      </c>
      <c r="E192" s="63"/>
      <c r="F192" s="27"/>
      <c r="G192" s="27"/>
      <c r="H192" s="27"/>
      <c r="I192" s="27"/>
      <c r="J192" s="27"/>
      <c r="K192" s="27"/>
      <c r="L192" s="27"/>
      <c r="M192" s="27"/>
      <c r="N192" s="27"/>
      <c r="O192" s="27"/>
      <c r="P192" s="27"/>
      <c r="Q192" s="3">
        <f t="shared" si="29"/>
        <v>0</v>
      </c>
      <c r="R192" s="39">
        <f>Q192/Summary!$Q$16</f>
        <v>0</v>
      </c>
      <c r="S192" s="35">
        <f>'[5]Finance-Joseph'!$Q190</f>
        <v>181296.77000000002</v>
      </c>
      <c r="T192" s="40">
        <f t="shared" si="28"/>
        <v>1</v>
      </c>
    </row>
    <row r="193" spans="1:20" s="3" customFormat="1" ht="24.95" customHeight="1">
      <c r="A193" s="3" t="s">
        <v>640</v>
      </c>
      <c r="B193" s="3" t="s">
        <v>1018</v>
      </c>
      <c r="D193" s="26" t="s">
        <v>347</v>
      </c>
      <c r="E193" s="63">
        <f>'Staff Canteen'!E208</f>
        <v>7911.16</v>
      </c>
      <c r="F193" s="63">
        <f>'Staff Canteen'!F208</f>
        <v>8269.1299999999992</v>
      </c>
      <c r="G193" s="63">
        <f>'Staff Canteen'!G208</f>
        <v>7732.17</v>
      </c>
      <c r="H193" s="63">
        <f>'Staff Canteen'!H208</f>
        <v>7911.16</v>
      </c>
      <c r="I193" s="63">
        <f>'Staff Canteen'!I208</f>
        <v>7911.16</v>
      </c>
      <c r="J193" s="63">
        <f>'Staff Canteen'!J208</f>
        <v>7911.16</v>
      </c>
      <c r="K193" s="63">
        <f>'Staff Canteen'!K208</f>
        <v>7732.17</v>
      </c>
      <c r="L193" s="63">
        <f>'Staff Canteen'!L208</f>
        <v>7732.17</v>
      </c>
      <c r="M193" s="63">
        <f>'Staff Canteen'!M208</f>
        <v>7911.16</v>
      </c>
      <c r="N193" s="63">
        <f>'Staff Canteen'!N208</f>
        <v>8269.1299999999992</v>
      </c>
      <c r="O193" s="63">
        <f>'Staff Canteen'!O208</f>
        <v>7732.17</v>
      </c>
      <c r="P193" s="63">
        <f>'Staff Canteen'!P208</f>
        <v>7732.17</v>
      </c>
      <c r="Q193" s="3">
        <f t="shared" si="29"/>
        <v>94754.91</v>
      </c>
      <c r="R193" s="39">
        <f>Q193/Summary!$Q$16</f>
        <v>2.8491041563710839E-3</v>
      </c>
      <c r="S193" s="35">
        <f>'[5]Finance-Joseph'!$Q191</f>
        <v>320850.85071111115</v>
      </c>
      <c r="T193" s="40">
        <f t="shared" si="28"/>
        <v>0.70467614534918044</v>
      </c>
    </row>
    <row r="194" spans="1:20" s="3" customFormat="1" ht="24.95" customHeight="1">
      <c r="A194" s="54"/>
      <c r="B194" s="51"/>
      <c r="D194" s="19" t="s">
        <v>348</v>
      </c>
      <c r="E194" s="52">
        <f>SUM(E187:E193)</f>
        <v>7911.16</v>
      </c>
      <c r="F194" s="52">
        <f t="shared" ref="F194:Q194" si="30">SUM(F187:F193)</f>
        <v>8269.1299999999992</v>
      </c>
      <c r="G194" s="52">
        <f t="shared" si="30"/>
        <v>7732.17</v>
      </c>
      <c r="H194" s="52">
        <f t="shared" si="30"/>
        <v>7911.16</v>
      </c>
      <c r="I194" s="52">
        <f t="shared" si="30"/>
        <v>7911.16</v>
      </c>
      <c r="J194" s="52">
        <f t="shared" si="30"/>
        <v>7911.16</v>
      </c>
      <c r="K194" s="52">
        <f t="shared" si="30"/>
        <v>7732.17</v>
      </c>
      <c r="L194" s="52">
        <f t="shared" si="30"/>
        <v>7732.17</v>
      </c>
      <c r="M194" s="52">
        <f t="shared" si="30"/>
        <v>7911.16</v>
      </c>
      <c r="N194" s="52">
        <f t="shared" si="30"/>
        <v>8269.1299999999992</v>
      </c>
      <c r="O194" s="52">
        <f t="shared" si="30"/>
        <v>7732.17</v>
      </c>
      <c r="P194" s="52">
        <f t="shared" si="30"/>
        <v>7732.17</v>
      </c>
      <c r="Q194" s="52">
        <f t="shared" si="30"/>
        <v>94754.91</v>
      </c>
      <c r="R194" s="39">
        <f>Q194/Summary!$Q$16</f>
        <v>2.8491041563710839E-3</v>
      </c>
      <c r="S194" s="35">
        <f>'[5]Finance-Joseph'!$Q192</f>
        <v>519542.20071111119</v>
      </c>
      <c r="T194" s="40">
        <f t="shared" si="28"/>
        <v>0.81761845357257512</v>
      </c>
    </row>
    <row r="195" spans="1:20" s="3" customFormat="1" ht="24.95" customHeight="1">
      <c r="A195" s="54"/>
      <c r="B195" s="51"/>
      <c r="D195" s="19" t="s">
        <v>349</v>
      </c>
      <c r="E195" s="350">
        <f>E166+E175+E185+E194</f>
        <v>88823.010000000009</v>
      </c>
      <c r="F195" s="350">
        <f t="shared" ref="F195:Q195" si="31">F166+F175+F185+F194</f>
        <v>89180.98000000001</v>
      </c>
      <c r="G195" s="350">
        <f t="shared" si="31"/>
        <v>84836.3</v>
      </c>
      <c r="H195" s="350">
        <f t="shared" si="31"/>
        <v>85015.290000000008</v>
      </c>
      <c r="I195" s="350">
        <f t="shared" si="31"/>
        <v>88918.209999999992</v>
      </c>
      <c r="J195" s="350">
        <f t="shared" si="31"/>
        <v>85015.290000000008</v>
      </c>
      <c r="K195" s="350">
        <f t="shared" si="31"/>
        <v>84836.3</v>
      </c>
      <c r="L195" s="350">
        <f t="shared" si="31"/>
        <v>84836.3</v>
      </c>
      <c r="M195" s="350">
        <f t="shared" si="31"/>
        <v>85015.290000000008</v>
      </c>
      <c r="N195" s="350">
        <f t="shared" si="31"/>
        <v>89276.18</v>
      </c>
      <c r="O195" s="350">
        <f t="shared" si="31"/>
        <v>84836.3</v>
      </c>
      <c r="P195" s="350">
        <f t="shared" si="31"/>
        <v>84836.3</v>
      </c>
      <c r="Q195" s="350">
        <f t="shared" si="31"/>
        <v>1035425.7500000001</v>
      </c>
      <c r="R195" s="39">
        <f>Q195/Summary!$Q$16</f>
        <v>3.1133329216804145E-2</v>
      </c>
      <c r="S195" s="35">
        <f>'[5]Finance-Joseph'!$Q193</f>
        <v>3285693.330711111</v>
      </c>
      <c r="T195" s="40">
        <f t="shared" si="28"/>
        <v>0.68486841412679667</v>
      </c>
    </row>
    <row r="196" spans="1:20" s="3" customFormat="1" ht="24.95" customHeight="1">
      <c r="A196" s="54"/>
      <c r="B196" s="51"/>
      <c r="D196" s="21"/>
      <c r="E196" s="53"/>
      <c r="F196" s="53"/>
      <c r="G196" s="53"/>
      <c r="H196" s="53"/>
      <c r="I196" s="53"/>
      <c r="S196" s="35"/>
      <c r="T196" s="40"/>
    </row>
    <row r="197" spans="1:20" s="3" customFormat="1" ht="24.95" customHeight="1">
      <c r="A197" s="50" t="s">
        <v>105</v>
      </c>
      <c r="B197" s="3" t="s">
        <v>1018</v>
      </c>
      <c r="D197" s="19" t="s">
        <v>352</v>
      </c>
      <c r="E197" s="302">
        <v>7</v>
      </c>
      <c r="F197" s="302">
        <v>7</v>
      </c>
      <c r="G197" s="302">
        <v>7</v>
      </c>
      <c r="H197" s="302">
        <v>7</v>
      </c>
      <c r="I197" s="302">
        <v>7</v>
      </c>
      <c r="J197" s="302">
        <v>7</v>
      </c>
      <c r="K197" s="302">
        <v>7</v>
      </c>
      <c r="L197" s="302">
        <v>7</v>
      </c>
      <c r="M197" s="302">
        <v>7</v>
      </c>
      <c r="N197" s="302">
        <v>7</v>
      </c>
      <c r="O197" s="302">
        <v>7</v>
      </c>
      <c r="P197" s="302">
        <v>7</v>
      </c>
      <c r="Q197" s="341">
        <v>7</v>
      </c>
      <c r="S197" s="35">
        <f>'[5]Finance-Joseph'!$Q195</f>
        <v>21.166666666666668</v>
      </c>
      <c r="T197" s="40">
        <f>-IF(Q197-S197=0,0,(Q197-S197)/S197)</f>
        <v>0.6692913385826772</v>
      </c>
    </row>
  </sheetData>
  <phoneticPr fontId="57" type="noConversion"/>
  <dataValidations count="4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381.3_x000d__x000a_" sqref="F50:P50">
      <formula1>0</formula1>
      <formula2>300</formula2>
    </dataValidation>
    <dataValidation type="textLength" errorStyle="information" allowBlank="1" showInputMessage="1" showErrorMessage="1" error="XLBVal:2=0_x000d__x000a_" sqref="E44:P49 F13:F14 Q15:Q70 Q72:Q157 Q164:Q165 Q187:Q193 E15:P25 E27:P42 F79:P86 G192 F51:P67 E187:F192 E171:P174 H187:P192 G187:G190 E71:Q71 E50:E67 E79:E85 E75:P77 E73:P73 E94:P156 E88:P92 E184:P184">
      <formula1>0</formula1>
      <formula2>300</formula2>
    </dataValidation>
    <dataValidation type="textLength" errorStyle="information" allowBlank="1" showInputMessage="1" showErrorMessage="1" error="XLBVal:6=19028.05_x000d__x000a_" sqref="E169:P169">
      <formula1>0</formula1>
      <formula2>300</formula2>
    </dataValidation>
    <dataValidation type="textLength" errorStyle="information" allowBlank="1" showInputMessage="1" showErrorMessage="1" error="XLBVal:6=19901.2_x000d__x000a_" sqref="E87:P87">
      <formula1>0</formula1>
      <formula2>300</formula2>
    </dataValidation>
    <dataValidation type="textLength" errorStyle="information" allowBlank="1" showInputMessage="1" showErrorMessage="1" error="XLBVal:6=0_x000d__x000a_" sqref="E158:Q158">
      <formula1>0</formula1>
      <formula2>300</formula2>
    </dataValidation>
    <dataValidation type="textLength" errorStyle="information" allowBlank="1" showInputMessage="1" showErrorMessage="1" error="XLBVal:6=3239.86_x000d__x000a_" sqref="E159:Q159">
      <formula1>0</formula1>
      <formula2>300</formula2>
    </dataValidation>
    <dataValidation type="textLength" errorStyle="information" allowBlank="1" showInputMessage="1" showErrorMessage="1" error="XLBVal:6=314538.87_x000d__x000a_" sqref="E160:P160">
      <formula1>0</formula1>
      <formula2>300</formula2>
    </dataValidation>
    <dataValidation type="textLength" errorStyle="information" allowBlank="1" showInputMessage="1" showErrorMessage="1" error="XLBVal:6=122300_x000d__x000a_" sqref="E164:P164">
      <formula1>0</formula1>
      <formula2>300</formula2>
    </dataValidation>
    <dataValidation type="textLength" errorStyle="information" allowBlank="1" showInputMessage="1" showErrorMessage="1" error="XLBVal:6=48500_x000d__x000a_" sqref="E165:P165">
      <formula1>0</formula1>
      <formula2>300</formula2>
    </dataValidation>
    <dataValidation type="textLength" errorStyle="information" allowBlank="1" showInputMessage="1" showErrorMessage="1" sqref="F194:Q195 H186:I186 E162:I163 F196:I196 H176:I176 E194:E196">
      <formula1>0</formula1>
      <formula2>300</formula2>
    </dataValidation>
    <dataValidation type="textLength" errorStyle="information" allowBlank="1" showInputMessage="1" showErrorMessage="1" error="XLBVal:6=1589.25_x000d__x000a_" sqref="E168:P168">
      <formula1>0</formula1>
      <formula2>300</formula2>
    </dataValidation>
    <dataValidation type="textLength" errorStyle="information" allowBlank="1" showInputMessage="1" showErrorMessage="1" error="XLBVal:6=2755_x000d__x000a_" sqref="E170:P170">
      <formula1>0</formula1>
      <formula2>300</formula2>
    </dataValidation>
    <dataValidation type="textLength" errorStyle="information" allowBlank="1" showInputMessage="1" showErrorMessage="1" error="XLBVal:6=3678_x000d__x000a_" sqref="F186:G186 F185:Q185 E185:E186">
      <formula1>0</formula1>
      <formula2>300</formula2>
    </dataValidation>
    <dataValidation type="textLength" errorStyle="information" allowBlank="1" showInputMessage="1" showErrorMessage="1" error="XLBVal:6=1260_x000d__x000a_" sqref="Q197">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69013_x000d__x000a_" sqref="Q168:Q174">
      <formula1>0</formula1>
      <formula2>300</formula2>
    </dataValidation>
    <dataValidation type="textLength" errorStyle="information" allowBlank="1" showInputMessage="1" showErrorMessage="1" error="XLBVal:6=1293444_x000d__x000a_" sqref="Q177:Q184">
      <formula1>0</formula1>
      <formula2>300</formula2>
    </dataValidation>
    <dataValidation type="textLength" errorStyle="information" allowBlank="1" showInputMessage="1" showErrorMessage="1" error="XLBVal:6=13973.8_x000d__x000a_" sqref="G191">
      <formula1>0</formula1>
      <formula2>300</formula2>
    </dataValidation>
    <dataValidation type="textLength" errorStyle="information" allowBlank="1" showInputMessage="1" showErrorMessage="1" error="XLBVal:6=4567.6_x000d__x000a_" sqref="E78:P78">
      <formula1>0</formula1>
      <formula2>300</formula2>
    </dataValidation>
    <dataValidation type="textLength" errorStyle="information" allowBlank="1" showInputMessage="1" showErrorMessage="1" error="XLBVal:6=367.6_x000d__x000a_" sqref="E181:P181">
      <formula1>0</formula1>
      <formula2>300</formula2>
    </dataValidation>
    <dataValidation type="textLength" errorStyle="information" allowBlank="1" showInputMessage="1" showErrorMessage="1" error="XLBVal:6=981.03_x000d__x000a_" sqref="E183:P183">
      <formula1>0</formula1>
      <formula2>300</formula2>
    </dataValidation>
    <dataValidation type="textLength" errorStyle="information" allowBlank="1" showInputMessage="1" showErrorMessage="1" error="XLBVal:6=355.75_x000d__x000a_" sqref="E93:P93">
      <formula1>0</formula1>
      <formula2>300</formula2>
    </dataValidation>
    <dataValidation type="textLength" errorStyle="information" allowBlank="1" showInputMessage="1" showErrorMessage="1" error="XLBVal:6=381.42_x000d__x000a_" sqref="E26:P26">
      <formula1>0</formula1>
      <formula2>300</formula2>
    </dataValidation>
    <dataValidation type="textLength" errorStyle="information" allowBlank="1" showInputMessage="1" showErrorMessage="1" error="XLBVal:6=1669.84_x000d__x000a_" sqref="E70:P70">
      <formula1>0</formula1>
      <formula2>300</formula2>
    </dataValidation>
    <dataValidation type="textLength" errorStyle="information" allowBlank="1" showInputMessage="1" showErrorMessage="1" error="XLBVal:6=1985.91_x000d__x000a_" sqref="E193:P193">
      <formula1>0</formula1>
      <formula2>300</formula2>
    </dataValidation>
    <dataValidation type="textLength" errorStyle="information" allowBlank="1" showInputMessage="1" showErrorMessage="1" error="XLBVal:6=5_x000d__x000a_" sqref="E197:P197">
      <formula1>0</formula1>
      <formula2>300</formula2>
    </dataValidation>
    <dataValidation type="textLength" errorStyle="information" allowBlank="1" showInputMessage="1" showErrorMessage="1" error="XLBVal:6=4850_x000d__x000a_" sqref="E182:P182">
      <formula1>0</formula1>
      <formula2>300</formula2>
    </dataValidation>
    <dataValidation type="textLength" errorStyle="information" allowBlank="1" showInputMessage="1" showErrorMessage="1" error="XLBVal:6=184.78_x000d__x000a_" sqref="E180:P180">
      <formula1>0</formula1>
      <formula2>300</formula2>
    </dataValidation>
    <dataValidation type="textLength" errorStyle="information" allowBlank="1" showInputMessage="1" showErrorMessage="1" error="XLBVal:6=230.97_x000d__x000a_" sqref="E179:P179">
      <formula1>0</formula1>
      <formula2>300</formula2>
    </dataValidation>
    <dataValidation type="textLength" errorStyle="information" allowBlank="1" showInputMessage="1" showErrorMessage="1" error="XLBVal:6=3675.92_x000d__x000a_" sqref="E178:P178">
      <formula1>0</formula1>
      <formula2>300</formula2>
    </dataValidation>
    <dataValidation type="textLength" errorStyle="information" allowBlank="1" showInputMessage="1" showErrorMessage="1" error="XLBVal:6=7390.88_x000d__x000a_" sqref="E177:P177">
      <formula1>0</formula1>
      <formula2>300</formula2>
    </dataValidation>
    <dataValidation type="textLength" errorStyle="information" allowBlank="1" showInputMessage="1" showErrorMessage="1" error="XLBVal:6=862.56_x000d__x000a_" sqref="E72:P72">
      <formula1>0</formula1>
      <formula2>300</formula2>
    </dataValidation>
    <dataValidation type="textLength" errorStyle="information" allowBlank="1" showInputMessage="1" showErrorMessage="1" error="XLBVal:6=235.64_x000d__x000a_" sqref="E43:P43">
      <formula1>0</formula1>
      <formula2>300</formula2>
    </dataValidation>
    <dataValidation type="textLength" errorStyle="information" allowBlank="1" showInputMessage="1" showErrorMessage="1" error="XLBVal:6=200_x000d__x000a_" sqref="E157:P157">
      <formula1>0</formula1>
      <formula2>300</formula2>
    </dataValidation>
    <dataValidation type="textLength" errorStyle="information" allowBlank="1" showInputMessage="1" showErrorMessage="1" error="XLBVal:6=-14.14_x000d__x000a_" sqref="E86">
      <formula1>0</formula1>
      <formula2>300</formula2>
    </dataValidation>
    <dataValidation type="textLength" errorStyle="information" allowBlank="1" showInputMessage="1" showErrorMessage="1" error="XLBVal:6=139.61_x000d__x000a_" sqref="E74:P74">
      <formula1>0</formula1>
      <formula2>300</formula2>
    </dataValidation>
    <dataValidation type="textLength" errorStyle="information" allowBlank="1" showInputMessage="1" showErrorMessage="1" error="XLBVal:6=269.91_x000d__x000a_" sqref="E69:P69">
      <formula1>0</formula1>
      <formula2>300</formula2>
    </dataValidation>
    <dataValidation type="textLength" errorStyle="information" allowBlank="1" showInputMessage="1" showErrorMessage="1" error="XLBVal:6=96_x000d__x000a_" sqref="E68:P68">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2">
    <tabColor rgb="FF00B050"/>
    <pageSetUpPr fitToPage="1"/>
  </sheetPr>
  <dimension ref="A1:U323"/>
  <sheetViews>
    <sheetView zoomScale="50" zoomScaleNormal="50" zoomScaleSheetLayoutView="40" workbookViewId="0">
      <pane xSplit="4" ySplit="12" topLeftCell="E13" activePane="bottomRight" state="frozen"/>
      <selection activeCell="L7" sqref="L7"/>
      <selection pane="topRight" activeCell="L7" sqref="L7"/>
      <selection pane="bottomLeft" activeCell="L7" sqref="L7"/>
      <selection pane="bottomRight" activeCell="V25" sqref="V25"/>
    </sheetView>
  </sheetViews>
  <sheetFormatPr defaultColWidth="8.875" defaultRowHeight="26.25" customHeight="1" outlineLevelRow="1" outlineLevelCol="1"/>
  <cols>
    <col min="1" max="3" width="15.5" style="5" hidden="1" customWidth="1" outlineLevel="1"/>
    <col min="4" max="4" width="66.5" style="6" customWidth="1" collapsed="1"/>
    <col min="5" max="5" width="19.875" style="7" customWidth="1"/>
    <col min="6" max="6" width="23.5" style="7" customWidth="1"/>
    <col min="7" max="9" width="19.875" style="7" customWidth="1"/>
    <col min="10" max="12" width="19.875" style="5" customWidth="1"/>
    <col min="13" max="16" width="20.875" style="5" customWidth="1"/>
    <col min="17" max="17" width="26.125" style="5" customWidth="1"/>
    <col min="18" max="18" width="12" style="5" customWidth="1"/>
    <col min="19" max="19" width="22.5" style="8" hidden="1" customWidth="1"/>
    <col min="20" max="20" width="22.5" style="5" hidden="1" customWidth="1"/>
    <col min="21" max="21" width="30.875" style="5" customWidth="1"/>
    <col min="22" max="22" width="30.375" style="5" customWidth="1"/>
    <col min="23"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[7]Summary!$D$4</f>
        <v>Hotel Budget Report</v>
      </c>
      <c r="E4" s="308"/>
      <c r="F4" s="309"/>
      <c r="G4" s="12"/>
      <c r="H4" s="12"/>
      <c r="I4" s="12"/>
      <c r="J4" s="12"/>
      <c r="K4" s="12"/>
      <c r="L4" s="12"/>
      <c r="M4" s="12"/>
      <c r="N4" s="12"/>
      <c r="O4" s="12"/>
      <c r="P4" s="12"/>
      <c r="S4" s="33"/>
    </row>
    <row r="5" spans="1:20" s="2" customFormat="1" ht="24.95" customHeight="1">
      <c r="D5" s="10" t="str">
        <f>[7]Summary!$D$5</f>
        <v>酒店预算报表</v>
      </c>
      <c r="E5" s="308"/>
      <c r="F5" s="309"/>
      <c r="G5" s="12"/>
      <c r="H5" s="12"/>
      <c r="I5" s="12"/>
      <c r="J5" s="12"/>
      <c r="K5" s="12"/>
      <c r="L5" s="12"/>
      <c r="M5" s="12"/>
      <c r="N5" s="12"/>
      <c r="O5" s="12"/>
      <c r="P5" s="12"/>
      <c r="S5" s="33"/>
    </row>
    <row r="6" spans="1:20" s="2" customFormat="1" ht="24.95" customHeight="1">
      <c r="D6" s="14" t="s">
        <v>1020</v>
      </c>
      <c r="E6" s="13"/>
      <c r="F6" s="13"/>
      <c r="G6" s="13"/>
      <c r="H6" s="13"/>
      <c r="I6" s="13"/>
      <c r="S6" s="33"/>
    </row>
    <row r="7" spans="1:20" s="2" customFormat="1" ht="24.95" customHeight="1">
      <c r="D7" s="15" t="s">
        <v>1205</v>
      </c>
      <c r="E7" s="13"/>
      <c r="F7" s="13"/>
      <c r="G7" s="13"/>
      <c r="H7" s="13"/>
      <c r="I7" s="13"/>
      <c r="S7" s="33"/>
    </row>
    <row r="8" spans="1:20" ht="24.95" customHeight="1">
      <c r="D8" s="16"/>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D11" s="21"/>
      <c r="E11" s="22"/>
      <c r="F11" s="22"/>
      <c r="G11" s="22"/>
      <c r="H11" s="23"/>
      <c r="I11" s="23"/>
      <c r="S11" s="35"/>
    </row>
    <row r="12" spans="1:20" s="3" customFormat="1" ht="24.95" customHeight="1">
      <c r="A12" s="3" t="s">
        <v>482</v>
      </c>
      <c r="B12" s="3" t="s">
        <v>1021</v>
      </c>
      <c r="D12" s="21" t="s">
        <v>137</v>
      </c>
      <c r="E12" s="43">
        <f>E196</f>
        <v>68351.459999999992</v>
      </c>
      <c r="F12" s="43">
        <f t="shared" ref="F12:P12" si="0">F196</f>
        <v>88203.64</v>
      </c>
      <c r="G12" s="43">
        <f t="shared" si="0"/>
        <v>72175.38</v>
      </c>
      <c r="H12" s="43">
        <f t="shared" si="0"/>
        <v>68351.459999999992</v>
      </c>
      <c r="I12" s="43">
        <f t="shared" si="0"/>
        <v>67851.459999999992</v>
      </c>
      <c r="J12" s="43">
        <f t="shared" si="0"/>
        <v>78351.459999999992</v>
      </c>
      <c r="K12" s="43">
        <f t="shared" si="0"/>
        <v>68175.38</v>
      </c>
      <c r="L12" s="43">
        <f t="shared" si="0"/>
        <v>77675.38</v>
      </c>
      <c r="M12" s="43">
        <f t="shared" si="0"/>
        <v>72351.459999999992</v>
      </c>
      <c r="N12" s="43">
        <f t="shared" si="0"/>
        <v>68703.64</v>
      </c>
      <c r="O12" s="43">
        <f t="shared" si="0"/>
        <v>72675.38</v>
      </c>
      <c r="P12" s="43">
        <f t="shared" si="0"/>
        <v>73175.38</v>
      </c>
      <c r="Q12" s="43">
        <f>SUM(E12:P12)</f>
        <v>876041.47999999986</v>
      </c>
      <c r="R12" s="39">
        <f>Q12/[7]Summary!$Q$16</f>
        <v>4.7434952447863422E-2</v>
      </c>
      <c r="S12" s="35"/>
      <c r="T12" s="40" t="e">
        <f>-IF(Q12-S12=0,0,(Q12-S12)/S12)</f>
        <v>#DIV/0!</v>
      </c>
    </row>
    <row r="13" spans="1:20" s="3" customFormat="1" ht="24.95" customHeight="1">
      <c r="D13" s="26"/>
      <c r="E13" s="24"/>
      <c r="F13" s="24"/>
      <c r="G13" s="24"/>
      <c r="H13" s="25"/>
      <c r="I13" s="25"/>
      <c r="S13" s="35"/>
      <c r="T13" s="40"/>
    </row>
    <row r="14" spans="1:20" s="3" customFormat="1" ht="24.95" customHeight="1">
      <c r="D14" s="21" t="s">
        <v>138</v>
      </c>
      <c r="E14" s="24"/>
      <c r="F14" s="24"/>
      <c r="G14" s="24"/>
      <c r="H14" s="25"/>
      <c r="I14" s="25"/>
      <c r="S14" s="35"/>
      <c r="T14" s="40"/>
    </row>
    <row r="15" spans="1:20" s="3" customFormat="1" ht="24.95" hidden="1" customHeight="1">
      <c r="A15" s="3" t="s">
        <v>484</v>
      </c>
      <c r="B15" s="3" t="s">
        <v>1021</v>
      </c>
      <c r="D15" s="26" t="s">
        <v>485</v>
      </c>
      <c r="E15" s="27">
        <v>0</v>
      </c>
      <c r="F15" s="27">
        <v>0</v>
      </c>
      <c r="G15" s="27">
        <v>0</v>
      </c>
      <c r="H15" s="27">
        <v>0</v>
      </c>
      <c r="I15" s="27">
        <v>0</v>
      </c>
      <c r="J15" s="27">
        <v>0</v>
      </c>
      <c r="K15" s="27">
        <v>0</v>
      </c>
      <c r="L15" s="27">
        <v>0</v>
      </c>
      <c r="M15" s="27">
        <v>0</v>
      </c>
      <c r="N15" s="27">
        <v>0</v>
      </c>
      <c r="O15" s="27">
        <v>0</v>
      </c>
      <c r="P15" s="27">
        <v>0</v>
      </c>
      <c r="Q15" s="3">
        <f>SUM(E15:P15)</f>
        <v>0</v>
      </c>
      <c r="R15" s="39">
        <f>Q15/[7]Summary!$Q$16</f>
        <v>0</v>
      </c>
      <c r="S15" s="35"/>
      <c r="T15" s="40">
        <f t="shared" ref="T15:T22" si="1">IF(Q15-S15=0,0,(Q15-S15)/S15)</f>
        <v>0</v>
      </c>
    </row>
    <row r="16" spans="1:20" s="3" customFormat="1" ht="24.95" hidden="1" customHeight="1">
      <c r="A16" s="3" t="s">
        <v>486</v>
      </c>
      <c r="B16" s="3" t="s">
        <v>1021</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R16" s="39">
        <f>Q16/[7]Summary!$Q$16</f>
        <v>0</v>
      </c>
      <c r="S16" s="35"/>
      <c r="T16" s="40">
        <f t="shared" si="1"/>
        <v>0</v>
      </c>
    </row>
    <row r="17" spans="1:21" s="3" customFormat="1" ht="24.95" hidden="1" customHeight="1">
      <c r="A17" s="3" t="s">
        <v>488</v>
      </c>
      <c r="B17" s="3" t="s">
        <v>1021</v>
      </c>
      <c r="D17" s="26" t="s">
        <v>489</v>
      </c>
      <c r="E17" s="27">
        <v>0</v>
      </c>
      <c r="F17" s="27">
        <v>0</v>
      </c>
      <c r="G17" s="27">
        <v>0</v>
      </c>
      <c r="H17" s="27">
        <v>0</v>
      </c>
      <c r="I17" s="27">
        <v>0</v>
      </c>
      <c r="J17" s="27">
        <v>0</v>
      </c>
      <c r="K17" s="27">
        <v>0</v>
      </c>
      <c r="L17" s="27">
        <v>0</v>
      </c>
      <c r="M17" s="27">
        <v>0</v>
      </c>
      <c r="N17" s="27">
        <v>0</v>
      </c>
      <c r="O17" s="27">
        <v>0</v>
      </c>
      <c r="P17" s="27">
        <v>0</v>
      </c>
      <c r="Q17" s="3">
        <f t="shared" si="2"/>
        <v>0</v>
      </c>
      <c r="R17" s="39">
        <f>Q17/[7]Summary!$Q$16</f>
        <v>0</v>
      </c>
      <c r="S17" s="35"/>
      <c r="T17" s="40">
        <f t="shared" si="1"/>
        <v>0</v>
      </c>
    </row>
    <row r="18" spans="1:21" s="3" customFormat="1" ht="24.95" hidden="1" customHeight="1">
      <c r="A18" s="3" t="s">
        <v>490</v>
      </c>
      <c r="B18" s="3" t="s">
        <v>1021</v>
      </c>
      <c r="D18" s="26" t="s">
        <v>491</v>
      </c>
      <c r="E18" s="27">
        <v>0</v>
      </c>
      <c r="F18" s="27">
        <v>0</v>
      </c>
      <c r="G18" s="27">
        <v>0</v>
      </c>
      <c r="H18" s="27">
        <v>0</v>
      </c>
      <c r="I18" s="27">
        <v>0</v>
      </c>
      <c r="J18" s="27">
        <v>0</v>
      </c>
      <c r="K18" s="27">
        <v>0</v>
      </c>
      <c r="L18" s="27">
        <v>0</v>
      </c>
      <c r="M18" s="27">
        <v>0</v>
      </c>
      <c r="N18" s="27">
        <v>0</v>
      </c>
      <c r="O18" s="27">
        <v>0</v>
      </c>
      <c r="P18" s="27">
        <v>0</v>
      </c>
      <c r="Q18" s="3">
        <f t="shared" si="2"/>
        <v>0</v>
      </c>
      <c r="R18" s="39">
        <f>Q18/[7]Summary!$Q$16</f>
        <v>0</v>
      </c>
      <c r="S18" s="35"/>
      <c r="T18" s="40">
        <f t="shared" si="1"/>
        <v>0</v>
      </c>
    </row>
    <row r="19" spans="1:21" s="3" customFormat="1" ht="24.95" hidden="1" customHeight="1">
      <c r="A19" s="3" t="s">
        <v>492</v>
      </c>
      <c r="B19" s="3" t="s">
        <v>1021</v>
      </c>
      <c r="D19" s="29" t="s">
        <v>493</v>
      </c>
      <c r="E19" s="27">
        <v>0</v>
      </c>
      <c r="F19" s="27">
        <v>0</v>
      </c>
      <c r="G19" s="27">
        <v>0</v>
      </c>
      <c r="H19" s="27">
        <v>0</v>
      </c>
      <c r="I19" s="27">
        <v>0</v>
      </c>
      <c r="J19" s="27">
        <v>0</v>
      </c>
      <c r="K19" s="27">
        <v>0</v>
      </c>
      <c r="L19" s="27">
        <v>0</v>
      </c>
      <c r="M19" s="27">
        <v>0</v>
      </c>
      <c r="N19" s="27">
        <v>0</v>
      </c>
      <c r="O19" s="27">
        <v>0</v>
      </c>
      <c r="P19" s="27">
        <v>0</v>
      </c>
      <c r="Q19" s="3">
        <f t="shared" si="2"/>
        <v>0</v>
      </c>
      <c r="R19" s="39">
        <f>Q19/[7]Summary!$Q$16</f>
        <v>0</v>
      </c>
      <c r="S19" s="35"/>
      <c r="T19" s="40">
        <f t="shared" si="1"/>
        <v>0</v>
      </c>
    </row>
    <row r="20" spans="1:21" s="3" customFormat="1" ht="24.95" hidden="1" customHeight="1">
      <c r="A20" s="3" t="s">
        <v>494</v>
      </c>
      <c r="B20" s="3" t="s">
        <v>1021</v>
      </c>
      <c r="D20" s="29" t="s">
        <v>495</v>
      </c>
      <c r="E20" s="27">
        <v>0</v>
      </c>
      <c r="F20" s="27">
        <v>0</v>
      </c>
      <c r="G20" s="27">
        <v>0</v>
      </c>
      <c r="H20" s="27">
        <v>0</v>
      </c>
      <c r="I20" s="27">
        <v>0</v>
      </c>
      <c r="J20" s="27">
        <v>0</v>
      </c>
      <c r="K20" s="27">
        <v>0</v>
      </c>
      <c r="L20" s="27">
        <v>0</v>
      </c>
      <c r="M20" s="27">
        <v>0</v>
      </c>
      <c r="N20" s="27">
        <v>0</v>
      </c>
      <c r="O20" s="27">
        <v>0</v>
      </c>
      <c r="P20" s="27">
        <v>0</v>
      </c>
      <c r="Q20" s="3">
        <f t="shared" si="2"/>
        <v>0</v>
      </c>
      <c r="R20" s="39">
        <f>Q20/[7]Summary!$Q$16</f>
        <v>0</v>
      </c>
      <c r="S20" s="35"/>
      <c r="T20" s="40">
        <f t="shared" si="1"/>
        <v>0</v>
      </c>
    </row>
    <row r="21" spans="1:21" s="3" customFormat="1" ht="24.95" customHeight="1">
      <c r="A21" s="3" t="s">
        <v>496</v>
      </c>
      <c r="B21" s="3" t="s">
        <v>1021</v>
      </c>
      <c r="D21" s="26" t="s">
        <v>497</v>
      </c>
      <c r="E21" s="27"/>
      <c r="F21" s="27"/>
      <c r="G21" s="27"/>
      <c r="H21" s="27"/>
      <c r="I21" s="27"/>
      <c r="J21" s="27"/>
      <c r="K21" s="27"/>
      <c r="L21" s="27"/>
      <c r="M21" s="27"/>
      <c r="N21" s="27"/>
      <c r="O21" s="27"/>
      <c r="P21" s="27"/>
      <c r="Q21" s="3">
        <f t="shared" si="2"/>
        <v>0</v>
      </c>
      <c r="R21" s="39">
        <f>Q21/[7]Summary!$Q$16</f>
        <v>0</v>
      </c>
      <c r="S21" s="35"/>
      <c r="T21" s="40">
        <f t="shared" si="1"/>
        <v>0</v>
      </c>
      <c r="U21" s="377"/>
    </row>
    <row r="22" spans="1:21" s="3" customFormat="1" ht="24.95" hidden="1" customHeight="1">
      <c r="A22" s="3" t="s">
        <v>498</v>
      </c>
      <c r="B22" s="3" t="s">
        <v>1021</v>
      </c>
      <c r="D22" s="29" t="s">
        <v>499</v>
      </c>
      <c r="E22" s="27"/>
      <c r="F22" s="27"/>
      <c r="G22" s="27"/>
      <c r="H22" s="27"/>
      <c r="I22" s="27"/>
      <c r="J22" s="27"/>
      <c r="K22" s="27"/>
      <c r="L22" s="27"/>
      <c r="M22" s="27"/>
      <c r="N22" s="27"/>
      <c r="O22" s="27"/>
      <c r="P22" s="27"/>
      <c r="Q22" s="3">
        <f t="shared" si="2"/>
        <v>0</v>
      </c>
      <c r="R22" s="39">
        <f>Q22/[7]Summary!$Q$16</f>
        <v>0</v>
      </c>
      <c r="S22" s="35"/>
      <c r="T22" s="40">
        <f t="shared" si="1"/>
        <v>0</v>
      </c>
    </row>
    <row r="23" spans="1:21" s="3" customFormat="1" ht="24.95" customHeight="1">
      <c r="A23" s="3" t="s">
        <v>500</v>
      </c>
      <c r="B23" s="3" t="s">
        <v>1021</v>
      </c>
      <c r="D23" s="26" t="s">
        <v>501</v>
      </c>
      <c r="E23" s="27"/>
      <c r="F23" s="27"/>
      <c r="G23" s="27"/>
      <c r="H23" s="27"/>
      <c r="I23" s="27"/>
      <c r="J23" s="27"/>
      <c r="K23" s="27"/>
      <c r="L23" s="27"/>
      <c r="M23" s="27"/>
      <c r="N23" s="27"/>
      <c r="O23" s="27"/>
      <c r="P23" s="27"/>
      <c r="Q23" s="3">
        <f t="shared" si="2"/>
        <v>0</v>
      </c>
      <c r="R23" s="39">
        <f>Q23/[7]Summary!$Q$16</f>
        <v>0</v>
      </c>
      <c r="S23" s="35"/>
      <c r="T23" s="40">
        <f t="shared" ref="T23:T86" si="3">-IF(Q23-S23=0,0,(Q23-S23)/S23)</f>
        <v>0</v>
      </c>
      <c r="U23" s="377"/>
    </row>
    <row r="24" spans="1:21" s="3" customFormat="1" ht="24.95" customHeight="1">
      <c r="A24" s="3" t="s">
        <v>502</v>
      </c>
      <c r="B24" s="3" t="s">
        <v>1021</v>
      </c>
      <c r="D24" s="26" t="s">
        <v>503</v>
      </c>
      <c r="E24" s="27"/>
      <c r="F24" s="27"/>
      <c r="G24" s="27"/>
      <c r="H24" s="27"/>
      <c r="I24" s="27">
        <v>2000</v>
      </c>
      <c r="J24" s="27"/>
      <c r="K24" s="27"/>
      <c r="L24" s="27"/>
      <c r="M24" s="27"/>
      <c r="N24" s="27">
        <v>4000</v>
      </c>
      <c r="O24" s="27"/>
      <c r="P24" s="27"/>
      <c r="Q24" s="3">
        <f t="shared" si="2"/>
        <v>6000</v>
      </c>
      <c r="R24" s="39">
        <f>Q24/[7]Summary!$Q$16</f>
        <v>3.2488155091375419E-4</v>
      </c>
      <c r="S24" s="35"/>
      <c r="T24" s="40" t="e">
        <f t="shared" si="3"/>
        <v>#DIV/0!</v>
      </c>
    </row>
    <row r="25" spans="1:21" s="3" customFormat="1" ht="24.95" customHeight="1">
      <c r="A25" s="3" t="s">
        <v>504</v>
      </c>
      <c r="B25" s="3" t="s">
        <v>1021</v>
      </c>
      <c r="D25" s="26" t="s">
        <v>505</v>
      </c>
      <c r="E25" s="27"/>
      <c r="F25" s="27"/>
      <c r="G25" s="27"/>
      <c r="H25" s="27"/>
      <c r="I25" s="27"/>
      <c r="J25" s="27"/>
      <c r="K25" s="27"/>
      <c r="L25" s="27"/>
      <c r="M25" s="27"/>
      <c r="N25" s="27"/>
      <c r="O25" s="27"/>
      <c r="P25" s="27"/>
      <c r="Q25" s="3">
        <f t="shared" si="2"/>
        <v>0</v>
      </c>
      <c r="R25" s="39">
        <f>Q25/[7]Summary!$Q$16</f>
        <v>0</v>
      </c>
      <c r="S25" s="35"/>
      <c r="T25" s="40">
        <f t="shared" si="3"/>
        <v>0</v>
      </c>
    </row>
    <row r="26" spans="1:21" s="3" customFormat="1" ht="24.95" customHeight="1">
      <c r="A26" s="3" t="s">
        <v>506</v>
      </c>
      <c r="B26" s="3" t="s">
        <v>1021</v>
      </c>
      <c r="D26" s="26" t="s">
        <v>507</v>
      </c>
      <c r="E26" s="27">
        <v>350</v>
      </c>
      <c r="F26" s="27">
        <v>350</v>
      </c>
      <c r="G26" s="27">
        <v>350</v>
      </c>
      <c r="H26" s="27">
        <v>350</v>
      </c>
      <c r="I26" s="27">
        <v>350</v>
      </c>
      <c r="J26" s="27">
        <v>350</v>
      </c>
      <c r="K26" s="27">
        <v>350</v>
      </c>
      <c r="L26" s="27">
        <v>350</v>
      </c>
      <c r="M26" s="27">
        <v>350</v>
      </c>
      <c r="N26" s="27">
        <v>350</v>
      </c>
      <c r="O26" s="27">
        <v>350</v>
      </c>
      <c r="P26" s="27">
        <v>350</v>
      </c>
      <c r="Q26" s="3">
        <f t="shared" si="2"/>
        <v>4200</v>
      </c>
      <c r="R26" s="39">
        <f>Q26/[7]Summary!$Q$16</f>
        <v>2.2741708563962795E-4</v>
      </c>
      <c r="S26" s="35"/>
      <c r="T26" s="40" t="e">
        <f t="shared" si="3"/>
        <v>#DIV/0!</v>
      </c>
    </row>
    <row r="27" spans="1:21" s="3" customFormat="1" ht="24.95" customHeight="1">
      <c r="A27" s="3" t="s">
        <v>508</v>
      </c>
      <c r="B27" s="3" t="s">
        <v>1021</v>
      </c>
      <c r="D27" s="26" t="s">
        <v>509</v>
      </c>
      <c r="E27" s="27"/>
      <c r="F27" s="27"/>
      <c r="G27" s="27"/>
      <c r="H27" s="27"/>
      <c r="I27" s="27"/>
      <c r="J27" s="27"/>
      <c r="K27" s="27"/>
      <c r="L27" s="27"/>
      <c r="M27" s="27"/>
      <c r="N27" s="27"/>
      <c r="O27" s="27"/>
      <c r="P27" s="27"/>
      <c r="Q27" s="3">
        <f t="shared" si="2"/>
        <v>0</v>
      </c>
      <c r="R27" s="39">
        <f>Q27/[7]Summary!$Q$16</f>
        <v>0</v>
      </c>
      <c r="S27" s="35"/>
      <c r="T27" s="40">
        <f t="shared" si="3"/>
        <v>0</v>
      </c>
    </row>
    <row r="28" spans="1:21" s="3" customFormat="1" ht="24.95" hidden="1" customHeight="1">
      <c r="A28" s="3" t="s">
        <v>510</v>
      </c>
      <c r="B28" s="3" t="s">
        <v>1021</v>
      </c>
      <c r="D28" s="26" t="s">
        <v>511</v>
      </c>
      <c r="E28" s="27"/>
      <c r="F28" s="27"/>
      <c r="G28" s="27"/>
      <c r="H28" s="27"/>
      <c r="I28" s="27"/>
      <c r="J28" s="27"/>
      <c r="K28" s="27"/>
      <c r="L28" s="27"/>
      <c r="M28" s="27"/>
      <c r="N28" s="27"/>
      <c r="O28" s="27"/>
      <c r="P28" s="27"/>
      <c r="Q28" s="3">
        <f t="shared" si="2"/>
        <v>0</v>
      </c>
      <c r="R28" s="39">
        <f>Q28/[7]Summary!$Q$16</f>
        <v>0</v>
      </c>
      <c r="S28" s="35"/>
      <c r="T28" s="40">
        <f t="shared" si="3"/>
        <v>0</v>
      </c>
    </row>
    <row r="29" spans="1:21" s="3" customFormat="1" ht="24.95" hidden="1" customHeight="1">
      <c r="A29" s="3" t="s">
        <v>512</v>
      </c>
      <c r="B29" s="3" t="s">
        <v>1021</v>
      </c>
      <c r="D29" s="26" t="s">
        <v>169</v>
      </c>
      <c r="E29" s="27"/>
      <c r="F29" s="27"/>
      <c r="G29" s="27"/>
      <c r="H29" s="27"/>
      <c r="I29" s="27"/>
      <c r="J29" s="27"/>
      <c r="K29" s="27"/>
      <c r="L29" s="27"/>
      <c r="M29" s="27"/>
      <c r="N29" s="27"/>
      <c r="O29" s="27"/>
      <c r="P29" s="27"/>
      <c r="Q29" s="3">
        <f t="shared" si="2"/>
        <v>0</v>
      </c>
      <c r="R29" s="39">
        <f>Q29/[7]Summary!$Q$16</f>
        <v>0</v>
      </c>
      <c r="S29" s="35"/>
      <c r="T29" s="40">
        <f t="shared" si="3"/>
        <v>0</v>
      </c>
    </row>
    <row r="30" spans="1:21" s="3" customFormat="1" ht="24.95" hidden="1" customHeight="1">
      <c r="A30" s="3" t="s">
        <v>513</v>
      </c>
      <c r="B30" s="3" t="s">
        <v>1021</v>
      </c>
      <c r="D30" s="26" t="s">
        <v>171</v>
      </c>
      <c r="E30" s="27"/>
      <c r="F30" s="27"/>
      <c r="G30" s="27"/>
      <c r="H30" s="27"/>
      <c r="I30" s="27"/>
      <c r="J30" s="27"/>
      <c r="K30" s="27"/>
      <c r="L30" s="27"/>
      <c r="M30" s="27"/>
      <c r="N30" s="27"/>
      <c r="O30" s="27"/>
      <c r="P30" s="27"/>
      <c r="Q30" s="3">
        <f t="shared" si="2"/>
        <v>0</v>
      </c>
      <c r="R30" s="39">
        <f>Q30/[7]Summary!$Q$16</f>
        <v>0</v>
      </c>
      <c r="S30" s="35"/>
      <c r="T30" s="40">
        <f t="shared" si="3"/>
        <v>0</v>
      </c>
    </row>
    <row r="31" spans="1:21" s="3" customFormat="1" ht="24.95" hidden="1" customHeight="1">
      <c r="A31" s="3" t="s">
        <v>514</v>
      </c>
      <c r="B31" s="3" t="s">
        <v>1021</v>
      </c>
      <c r="D31" s="26" t="s">
        <v>515</v>
      </c>
      <c r="E31" s="27"/>
      <c r="F31" s="27"/>
      <c r="G31" s="27"/>
      <c r="H31" s="27"/>
      <c r="I31" s="27"/>
      <c r="J31" s="27"/>
      <c r="K31" s="27"/>
      <c r="L31" s="27"/>
      <c r="M31" s="27"/>
      <c r="N31" s="27"/>
      <c r="O31" s="27"/>
      <c r="P31" s="27"/>
      <c r="Q31" s="3">
        <f t="shared" si="2"/>
        <v>0</v>
      </c>
      <c r="R31" s="39">
        <f>Q31/[7]Summary!$Q$16</f>
        <v>0</v>
      </c>
      <c r="S31" s="35"/>
      <c r="T31" s="40">
        <f t="shared" si="3"/>
        <v>0</v>
      </c>
    </row>
    <row r="32" spans="1:21" s="3" customFormat="1" ht="24.95" hidden="1" customHeight="1">
      <c r="A32" s="3" t="s">
        <v>516</v>
      </c>
      <c r="B32" s="3" t="s">
        <v>1021</v>
      </c>
      <c r="D32" s="26" t="s">
        <v>517</v>
      </c>
      <c r="E32" s="27"/>
      <c r="F32" s="27"/>
      <c r="G32" s="27"/>
      <c r="H32" s="27"/>
      <c r="I32" s="27"/>
      <c r="J32" s="27"/>
      <c r="K32" s="27"/>
      <c r="L32" s="27"/>
      <c r="M32" s="27"/>
      <c r="N32" s="27"/>
      <c r="O32" s="27"/>
      <c r="P32" s="27"/>
      <c r="Q32" s="3">
        <f t="shared" si="2"/>
        <v>0</v>
      </c>
      <c r="R32" s="39">
        <f>Q32/[7]Summary!$Q$16</f>
        <v>0</v>
      </c>
      <c r="S32" s="35"/>
      <c r="T32" s="40">
        <f t="shared" si="3"/>
        <v>0</v>
      </c>
    </row>
    <row r="33" spans="1:20" s="3" customFormat="1" ht="24.95" hidden="1" customHeight="1">
      <c r="A33" s="3" t="s">
        <v>518</v>
      </c>
      <c r="B33" s="3" t="s">
        <v>1021</v>
      </c>
      <c r="D33" s="26" t="s">
        <v>519</v>
      </c>
      <c r="E33" s="27"/>
      <c r="F33" s="27"/>
      <c r="G33" s="27"/>
      <c r="H33" s="27"/>
      <c r="I33" s="27"/>
      <c r="J33" s="27"/>
      <c r="K33" s="27"/>
      <c r="L33" s="27"/>
      <c r="M33" s="27"/>
      <c r="N33" s="27"/>
      <c r="O33" s="27"/>
      <c r="P33" s="27"/>
      <c r="Q33" s="3">
        <f t="shared" si="2"/>
        <v>0</v>
      </c>
      <c r="R33" s="39">
        <f>Q33/[7]Summary!$Q$16</f>
        <v>0</v>
      </c>
      <c r="S33" s="35"/>
      <c r="T33" s="40">
        <f t="shared" si="3"/>
        <v>0</v>
      </c>
    </row>
    <row r="34" spans="1:20" s="3" customFormat="1" ht="24.95" hidden="1" customHeight="1">
      <c r="A34" s="3" t="s">
        <v>520</v>
      </c>
      <c r="B34" s="3" t="s">
        <v>1021</v>
      </c>
      <c r="D34" s="26" t="s">
        <v>521</v>
      </c>
      <c r="E34" s="27"/>
      <c r="F34" s="27"/>
      <c r="G34" s="27"/>
      <c r="H34" s="27"/>
      <c r="I34" s="27"/>
      <c r="J34" s="27"/>
      <c r="K34" s="27"/>
      <c r="L34" s="27"/>
      <c r="M34" s="27"/>
      <c r="N34" s="27"/>
      <c r="O34" s="27"/>
      <c r="P34" s="27"/>
      <c r="Q34" s="3">
        <f t="shared" si="2"/>
        <v>0</v>
      </c>
      <c r="R34" s="39">
        <f>Q34/[7]Summary!$Q$16</f>
        <v>0</v>
      </c>
      <c r="S34" s="35"/>
      <c r="T34" s="40">
        <f t="shared" si="3"/>
        <v>0</v>
      </c>
    </row>
    <row r="35" spans="1:20" s="3" customFormat="1" ht="24.95" hidden="1" customHeight="1">
      <c r="A35" s="3" t="s">
        <v>522</v>
      </c>
      <c r="B35" s="3" t="s">
        <v>1021</v>
      </c>
      <c r="D35" s="26" t="s">
        <v>523</v>
      </c>
      <c r="E35" s="27"/>
      <c r="F35" s="27"/>
      <c r="G35" s="27"/>
      <c r="H35" s="27"/>
      <c r="I35" s="27"/>
      <c r="J35" s="27"/>
      <c r="K35" s="27"/>
      <c r="L35" s="27"/>
      <c r="M35" s="27"/>
      <c r="N35" s="27"/>
      <c r="O35" s="27"/>
      <c r="P35" s="27"/>
      <c r="Q35" s="3">
        <f t="shared" si="2"/>
        <v>0</v>
      </c>
      <c r="R35" s="39">
        <f>Q35/[7]Summary!$Q$16</f>
        <v>0</v>
      </c>
      <c r="S35" s="35"/>
      <c r="T35" s="40">
        <f t="shared" si="3"/>
        <v>0</v>
      </c>
    </row>
    <row r="36" spans="1:20" s="3" customFormat="1" ht="24.95" hidden="1" customHeight="1">
      <c r="A36" s="3" t="s">
        <v>524</v>
      </c>
      <c r="B36" s="3" t="s">
        <v>1021</v>
      </c>
      <c r="D36" s="26" t="s">
        <v>525</v>
      </c>
      <c r="E36" s="27"/>
      <c r="F36" s="27"/>
      <c r="G36" s="27"/>
      <c r="H36" s="27"/>
      <c r="I36" s="27"/>
      <c r="J36" s="27"/>
      <c r="K36" s="27"/>
      <c r="L36" s="27"/>
      <c r="M36" s="27"/>
      <c r="N36" s="27"/>
      <c r="O36" s="27"/>
      <c r="P36" s="27"/>
      <c r="Q36" s="3">
        <f t="shared" si="2"/>
        <v>0</v>
      </c>
      <c r="R36" s="39">
        <f>Q36/[7]Summary!$Q$16</f>
        <v>0</v>
      </c>
      <c r="S36" s="35"/>
      <c r="T36" s="40">
        <f t="shared" si="3"/>
        <v>0</v>
      </c>
    </row>
    <row r="37" spans="1:20" s="3" customFormat="1" ht="24.95" hidden="1" customHeight="1">
      <c r="A37" s="3" t="s">
        <v>526</v>
      </c>
      <c r="B37" s="3" t="s">
        <v>1021</v>
      </c>
      <c r="D37" s="26" t="s">
        <v>527</v>
      </c>
      <c r="E37" s="27"/>
      <c r="F37" s="27"/>
      <c r="G37" s="27"/>
      <c r="H37" s="27"/>
      <c r="I37" s="27"/>
      <c r="J37" s="27"/>
      <c r="K37" s="27"/>
      <c r="L37" s="27"/>
      <c r="M37" s="27"/>
      <c r="N37" s="27"/>
      <c r="O37" s="27"/>
      <c r="P37" s="27"/>
      <c r="Q37" s="3">
        <f t="shared" si="2"/>
        <v>0</v>
      </c>
      <c r="R37" s="39">
        <f>Q37/[7]Summary!$Q$16</f>
        <v>0</v>
      </c>
      <c r="S37" s="35"/>
      <c r="T37" s="40">
        <f t="shared" si="3"/>
        <v>0</v>
      </c>
    </row>
    <row r="38" spans="1:20" s="3" customFormat="1" ht="24.95" hidden="1" customHeight="1">
      <c r="A38" s="3" t="s">
        <v>528</v>
      </c>
      <c r="B38" s="3" t="s">
        <v>1021</v>
      </c>
      <c r="D38" s="26" t="s">
        <v>529</v>
      </c>
      <c r="E38" s="27"/>
      <c r="F38" s="27"/>
      <c r="G38" s="27"/>
      <c r="H38" s="27"/>
      <c r="I38" s="27"/>
      <c r="J38" s="27"/>
      <c r="K38" s="27"/>
      <c r="L38" s="27"/>
      <c r="M38" s="27"/>
      <c r="N38" s="27"/>
      <c r="O38" s="27"/>
      <c r="P38" s="27"/>
      <c r="Q38" s="3">
        <f t="shared" si="2"/>
        <v>0</v>
      </c>
      <c r="R38" s="39">
        <f>Q38/[7]Summary!$Q$16</f>
        <v>0</v>
      </c>
      <c r="S38" s="35"/>
      <c r="T38" s="40">
        <f t="shared" si="3"/>
        <v>0</v>
      </c>
    </row>
    <row r="39" spans="1:20" s="3" customFormat="1" ht="24.95" hidden="1" customHeight="1">
      <c r="A39" s="3" t="s">
        <v>530</v>
      </c>
      <c r="B39" s="3" t="s">
        <v>1021</v>
      </c>
      <c r="D39" s="26" t="s">
        <v>531</v>
      </c>
      <c r="E39" s="27"/>
      <c r="F39" s="27"/>
      <c r="G39" s="27"/>
      <c r="H39" s="27"/>
      <c r="I39" s="27"/>
      <c r="J39" s="27"/>
      <c r="K39" s="27"/>
      <c r="L39" s="27"/>
      <c r="M39" s="27"/>
      <c r="N39" s="27"/>
      <c r="O39" s="27"/>
      <c r="P39" s="27"/>
      <c r="Q39" s="3">
        <f t="shared" si="2"/>
        <v>0</v>
      </c>
      <c r="R39" s="39">
        <f>Q39/[7]Summary!$Q$16</f>
        <v>0</v>
      </c>
      <c r="S39" s="35"/>
      <c r="T39" s="40">
        <f t="shared" si="3"/>
        <v>0</v>
      </c>
    </row>
    <row r="40" spans="1:20" s="3" customFormat="1" ht="24.95" hidden="1" customHeight="1">
      <c r="A40" s="3" t="s">
        <v>532</v>
      </c>
      <c r="B40" s="3" t="s">
        <v>1021</v>
      </c>
      <c r="D40" s="26" t="s">
        <v>1182</v>
      </c>
      <c r="E40" s="27"/>
      <c r="F40" s="27"/>
      <c r="G40" s="27"/>
      <c r="H40" s="27"/>
      <c r="I40" s="27"/>
      <c r="J40" s="27"/>
      <c r="K40" s="27"/>
      <c r="L40" s="27"/>
      <c r="M40" s="27"/>
      <c r="N40" s="27"/>
      <c r="O40" s="27"/>
      <c r="P40" s="27"/>
      <c r="Q40" s="3">
        <f t="shared" si="2"/>
        <v>0</v>
      </c>
      <c r="R40" s="39">
        <f>Q40/[7]Summary!$Q$16</f>
        <v>0</v>
      </c>
      <c r="S40" s="35"/>
      <c r="T40" s="40">
        <f t="shared" si="3"/>
        <v>0</v>
      </c>
    </row>
    <row r="41" spans="1:20" s="3" customFormat="1" ht="24.95" hidden="1" customHeight="1">
      <c r="A41" s="3" t="s">
        <v>534</v>
      </c>
      <c r="B41" s="3" t="s">
        <v>1021</v>
      </c>
      <c r="D41" s="26" t="s">
        <v>535</v>
      </c>
      <c r="E41" s="27"/>
      <c r="F41" s="27"/>
      <c r="G41" s="27"/>
      <c r="H41" s="27"/>
      <c r="I41" s="27"/>
      <c r="J41" s="27"/>
      <c r="K41" s="27"/>
      <c r="L41" s="27"/>
      <c r="M41" s="27"/>
      <c r="N41" s="27"/>
      <c r="O41" s="27"/>
      <c r="P41" s="27"/>
      <c r="Q41" s="3">
        <f t="shared" si="2"/>
        <v>0</v>
      </c>
      <c r="R41" s="39">
        <f>Q41/[7]Summary!$Q$16</f>
        <v>0</v>
      </c>
      <c r="S41" s="35"/>
      <c r="T41" s="40">
        <f t="shared" si="3"/>
        <v>0</v>
      </c>
    </row>
    <row r="42" spans="1:20" s="3" customFormat="1" ht="24.95" hidden="1" customHeight="1">
      <c r="A42" s="3" t="s">
        <v>536</v>
      </c>
      <c r="B42" s="3" t="s">
        <v>1021</v>
      </c>
      <c r="D42" s="26" t="s">
        <v>537</v>
      </c>
      <c r="E42" s="27"/>
      <c r="F42" s="27"/>
      <c r="G42" s="27"/>
      <c r="H42" s="27"/>
      <c r="I42" s="27"/>
      <c r="J42" s="27"/>
      <c r="K42" s="27"/>
      <c r="L42" s="27"/>
      <c r="M42" s="27"/>
      <c r="N42" s="27"/>
      <c r="O42" s="27"/>
      <c r="P42" s="27"/>
      <c r="Q42" s="3">
        <f t="shared" si="2"/>
        <v>0</v>
      </c>
      <c r="R42" s="39">
        <f>Q42/[7]Summary!$Q$16</f>
        <v>0</v>
      </c>
      <c r="S42" s="35"/>
      <c r="T42" s="40">
        <f t="shared" si="3"/>
        <v>0</v>
      </c>
    </row>
    <row r="43" spans="1:20" s="3" customFormat="1" ht="24.95" customHeight="1">
      <c r="A43" s="3" t="s">
        <v>538</v>
      </c>
      <c r="B43" s="3" t="s">
        <v>1021</v>
      </c>
      <c r="D43" s="26" t="s">
        <v>539</v>
      </c>
      <c r="E43" s="27"/>
      <c r="F43" s="27"/>
      <c r="G43" s="27"/>
      <c r="H43" s="27"/>
      <c r="I43" s="27"/>
      <c r="J43" s="27"/>
      <c r="K43" s="27"/>
      <c r="L43" s="27"/>
      <c r="M43" s="27"/>
      <c r="N43" s="27"/>
      <c r="O43" s="27"/>
      <c r="P43" s="27"/>
      <c r="Q43" s="3">
        <f t="shared" si="2"/>
        <v>0</v>
      </c>
      <c r="R43" s="39">
        <f>Q43/[7]Summary!$Q$16</f>
        <v>0</v>
      </c>
      <c r="S43" s="35"/>
      <c r="T43" s="40">
        <f t="shared" si="3"/>
        <v>0</v>
      </c>
    </row>
    <row r="44" spans="1:20" s="3" customFormat="1" ht="24.95" hidden="1" customHeight="1">
      <c r="A44" s="3" t="s">
        <v>540</v>
      </c>
      <c r="B44" s="3" t="s">
        <v>1021</v>
      </c>
      <c r="D44" s="26" t="s">
        <v>541</v>
      </c>
      <c r="E44" s="27"/>
      <c r="F44" s="27"/>
      <c r="G44" s="27"/>
      <c r="H44" s="27"/>
      <c r="I44" s="27"/>
      <c r="J44" s="27"/>
      <c r="K44" s="27"/>
      <c r="L44" s="27"/>
      <c r="M44" s="27"/>
      <c r="N44" s="27"/>
      <c r="O44" s="27"/>
      <c r="P44" s="27"/>
      <c r="Q44" s="3">
        <f t="shared" si="2"/>
        <v>0</v>
      </c>
      <c r="R44" s="39">
        <f>Q44/[7]Summary!$Q$16</f>
        <v>0</v>
      </c>
      <c r="S44" s="35"/>
      <c r="T44" s="40">
        <f t="shared" si="3"/>
        <v>0</v>
      </c>
    </row>
    <row r="45" spans="1:20" s="3" customFormat="1" ht="24.95" hidden="1" customHeight="1">
      <c r="A45" s="3" t="s">
        <v>542</v>
      </c>
      <c r="B45" s="3" t="s">
        <v>1021</v>
      </c>
      <c r="D45" s="26" t="s">
        <v>543</v>
      </c>
      <c r="E45" s="27"/>
      <c r="F45" s="27"/>
      <c r="G45" s="27"/>
      <c r="H45" s="27"/>
      <c r="I45" s="27"/>
      <c r="J45" s="27"/>
      <c r="K45" s="27"/>
      <c r="L45" s="27"/>
      <c r="M45" s="27"/>
      <c r="N45" s="27"/>
      <c r="O45" s="27"/>
      <c r="P45" s="27"/>
      <c r="Q45" s="3">
        <f t="shared" si="2"/>
        <v>0</v>
      </c>
      <c r="R45" s="39">
        <f>Q45/[7]Summary!$Q$16</f>
        <v>0</v>
      </c>
      <c r="S45" s="35"/>
      <c r="T45" s="40">
        <f t="shared" si="3"/>
        <v>0</v>
      </c>
    </row>
    <row r="46" spans="1:20" s="3" customFormat="1" ht="24.95" hidden="1" customHeight="1">
      <c r="A46" s="3" t="s">
        <v>544</v>
      </c>
      <c r="B46" s="3" t="s">
        <v>1021</v>
      </c>
      <c r="D46" s="29" t="s">
        <v>545</v>
      </c>
      <c r="E46" s="27"/>
      <c r="F46" s="27"/>
      <c r="G46" s="27"/>
      <c r="H46" s="27"/>
      <c r="I46" s="27"/>
      <c r="J46" s="27"/>
      <c r="K46" s="27"/>
      <c r="L46" s="27"/>
      <c r="M46" s="27"/>
      <c r="N46" s="27"/>
      <c r="O46" s="27"/>
      <c r="P46" s="27"/>
      <c r="Q46" s="3">
        <f t="shared" si="2"/>
        <v>0</v>
      </c>
      <c r="R46" s="39">
        <f>Q46/[7]Summary!$Q$16</f>
        <v>0</v>
      </c>
      <c r="S46" s="35"/>
      <c r="T46" s="40">
        <f t="shared" si="3"/>
        <v>0</v>
      </c>
    </row>
    <row r="47" spans="1:20" s="3" customFormat="1" ht="24.95" hidden="1" customHeight="1">
      <c r="A47" s="3" t="s">
        <v>546</v>
      </c>
      <c r="B47" s="3" t="s">
        <v>1021</v>
      </c>
      <c r="D47" s="26" t="s">
        <v>547</v>
      </c>
      <c r="E47" s="27"/>
      <c r="F47" s="27"/>
      <c r="G47" s="27"/>
      <c r="H47" s="27"/>
      <c r="I47" s="27"/>
      <c r="J47" s="27"/>
      <c r="K47" s="27"/>
      <c r="L47" s="27"/>
      <c r="M47" s="27"/>
      <c r="N47" s="27"/>
      <c r="O47" s="27"/>
      <c r="P47" s="27"/>
      <c r="Q47" s="3">
        <f t="shared" si="2"/>
        <v>0</v>
      </c>
      <c r="R47" s="39">
        <f>Q47/[7]Summary!$Q$16</f>
        <v>0</v>
      </c>
      <c r="S47" s="35"/>
      <c r="T47" s="40">
        <f t="shared" si="3"/>
        <v>0</v>
      </c>
    </row>
    <row r="48" spans="1:20" s="3" customFormat="1" ht="24.95" hidden="1" customHeight="1">
      <c r="A48" s="3" t="s">
        <v>548</v>
      </c>
      <c r="B48" s="3" t="s">
        <v>1021</v>
      </c>
      <c r="D48" s="26" t="s">
        <v>549</v>
      </c>
      <c r="E48" s="27"/>
      <c r="F48" s="27"/>
      <c r="G48" s="27"/>
      <c r="H48" s="27"/>
      <c r="I48" s="27"/>
      <c r="J48" s="27"/>
      <c r="K48" s="27"/>
      <c r="L48" s="27"/>
      <c r="M48" s="27"/>
      <c r="N48" s="27"/>
      <c r="O48" s="27"/>
      <c r="P48" s="27"/>
      <c r="Q48" s="3">
        <f t="shared" si="2"/>
        <v>0</v>
      </c>
      <c r="R48" s="39">
        <f>Q48/[7]Summary!$Q$16</f>
        <v>0</v>
      </c>
      <c r="S48" s="35"/>
      <c r="T48" s="40">
        <f t="shared" si="3"/>
        <v>0</v>
      </c>
    </row>
    <row r="49" spans="1:20" s="3" customFormat="1" ht="24.95" hidden="1" customHeight="1">
      <c r="A49" s="3" t="s">
        <v>550</v>
      </c>
      <c r="B49" s="3" t="s">
        <v>1021</v>
      </c>
      <c r="D49" s="26" t="s">
        <v>551</v>
      </c>
      <c r="E49" s="27"/>
      <c r="F49" s="27"/>
      <c r="G49" s="27"/>
      <c r="H49" s="27"/>
      <c r="I49" s="27"/>
      <c r="J49" s="27"/>
      <c r="K49" s="27"/>
      <c r="L49" s="27"/>
      <c r="M49" s="27"/>
      <c r="N49" s="27"/>
      <c r="O49" s="27"/>
      <c r="P49" s="27"/>
      <c r="Q49" s="3">
        <f t="shared" si="2"/>
        <v>0</v>
      </c>
      <c r="R49" s="39">
        <f>Q49/[7]Summary!$Q$16</f>
        <v>0</v>
      </c>
      <c r="S49" s="35"/>
      <c r="T49" s="40">
        <f t="shared" si="3"/>
        <v>0</v>
      </c>
    </row>
    <row r="50" spans="1:20" s="3" customFormat="1" ht="24.95" hidden="1" customHeight="1">
      <c r="A50" s="3" t="s">
        <v>552</v>
      </c>
      <c r="B50" s="3" t="s">
        <v>1021</v>
      </c>
      <c r="D50" s="26" t="s">
        <v>553</v>
      </c>
      <c r="E50" s="27"/>
      <c r="F50" s="27"/>
      <c r="G50" s="27"/>
      <c r="H50" s="27"/>
      <c r="I50" s="27"/>
      <c r="J50" s="27"/>
      <c r="K50" s="27"/>
      <c r="L50" s="27"/>
      <c r="M50" s="27"/>
      <c r="N50" s="27"/>
      <c r="O50" s="27"/>
      <c r="P50" s="27"/>
      <c r="Q50" s="3">
        <f t="shared" si="2"/>
        <v>0</v>
      </c>
      <c r="R50" s="39">
        <f>Q50/[7]Summary!$Q$16</f>
        <v>0</v>
      </c>
      <c r="S50" s="35"/>
      <c r="T50" s="40">
        <f t="shared" si="3"/>
        <v>0</v>
      </c>
    </row>
    <row r="51" spans="1:20" s="3" customFormat="1" ht="24.95" hidden="1" customHeight="1">
      <c r="A51" s="3" t="s">
        <v>554</v>
      </c>
      <c r="B51" s="3" t="s">
        <v>1021</v>
      </c>
      <c r="D51" s="26" t="s">
        <v>555</v>
      </c>
      <c r="E51" s="27"/>
      <c r="F51" s="27"/>
      <c r="G51" s="27"/>
      <c r="H51" s="27"/>
      <c r="I51" s="27"/>
      <c r="J51" s="27"/>
      <c r="K51" s="27"/>
      <c r="L51" s="27"/>
      <c r="M51" s="27"/>
      <c r="N51" s="27"/>
      <c r="O51" s="27"/>
      <c r="P51" s="27"/>
      <c r="Q51" s="3">
        <f t="shared" si="2"/>
        <v>0</v>
      </c>
      <c r="R51" s="39">
        <f>Q51/[7]Summary!$Q$16</f>
        <v>0</v>
      </c>
      <c r="S51" s="35"/>
      <c r="T51" s="40">
        <f t="shared" si="3"/>
        <v>0</v>
      </c>
    </row>
    <row r="52" spans="1:20" s="3" customFormat="1" ht="24.95" hidden="1" customHeight="1">
      <c r="A52" s="3" t="s">
        <v>556</v>
      </c>
      <c r="B52" s="3" t="s">
        <v>1021</v>
      </c>
      <c r="D52" s="26" t="s">
        <v>557</v>
      </c>
      <c r="E52" s="27"/>
      <c r="F52" s="27"/>
      <c r="G52" s="27"/>
      <c r="H52" s="27"/>
      <c r="I52" s="27"/>
      <c r="J52" s="27"/>
      <c r="K52" s="27"/>
      <c r="L52" s="27"/>
      <c r="M52" s="27"/>
      <c r="N52" s="27"/>
      <c r="O52" s="27"/>
      <c r="P52" s="27"/>
      <c r="Q52" s="3">
        <f t="shared" si="2"/>
        <v>0</v>
      </c>
      <c r="R52" s="39">
        <f>Q52/[7]Summary!$Q$16</f>
        <v>0</v>
      </c>
      <c r="S52" s="35"/>
      <c r="T52" s="40">
        <f t="shared" si="3"/>
        <v>0</v>
      </c>
    </row>
    <row r="53" spans="1:20" s="3" customFormat="1" ht="24.95" hidden="1" customHeight="1">
      <c r="A53" s="3" t="s">
        <v>558</v>
      </c>
      <c r="B53" s="3" t="s">
        <v>1021</v>
      </c>
      <c r="D53" s="29" t="s">
        <v>559</v>
      </c>
      <c r="E53" s="27"/>
      <c r="F53" s="27"/>
      <c r="G53" s="27"/>
      <c r="H53" s="27"/>
      <c r="I53" s="27"/>
      <c r="J53" s="27"/>
      <c r="K53" s="27"/>
      <c r="L53" s="27"/>
      <c r="M53" s="27"/>
      <c r="N53" s="27"/>
      <c r="O53" s="27"/>
      <c r="P53" s="27"/>
      <c r="Q53" s="3">
        <f t="shared" si="2"/>
        <v>0</v>
      </c>
      <c r="R53" s="39">
        <f>Q53/[7]Summary!$Q$16</f>
        <v>0</v>
      </c>
      <c r="S53" s="35"/>
      <c r="T53" s="40">
        <f t="shared" si="3"/>
        <v>0</v>
      </c>
    </row>
    <row r="54" spans="1:20" s="3" customFormat="1" ht="24.95" hidden="1" customHeight="1">
      <c r="A54" s="3" t="s">
        <v>560</v>
      </c>
      <c r="B54" s="3" t="s">
        <v>1021</v>
      </c>
      <c r="D54" s="26" t="s">
        <v>561</v>
      </c>
      <c r="E54" s="27"/>
      <c r="F54" s="27"/>
      <c r="G54" s="27"/>
      <c r="H54" s="27"/>
      <c r="I54" s="27"/>
      <c r="J54" s="27"/>
      <c r="K54" s="27"/>
      <c r="L54" s="27"/>
      <c r="M54" s="27"/>
      <c r="N54" s="27"/>
      <c r="O54" s="27"/>
      <c r="P54" s="27"/>
      <c r="Q54" s="3">
        <f t="shared" si="2"/>
        <v>0</v>
      </c>
      <c r="R54" s="39">
        <f>Q54/[7]Summary!$Q$16</f>
        <v>0</v>
      </c>
      <c r="S54" s="35"/>
      <c r="T54" s="40">
        <f t="shared" si="3"/>
        <v>0</v>
      </c>
    </row>
    <row r="55" spans="1:20" s="3" customFormat="1" ht="24.95" customHeight="1">
      <c r="A55" s="3" t="s">
        <v>562</v>
      </c>
      <c r="B55" s="3" t="s">
        <v>1021</v>
      </c>
      <c r="D55" s="29" t="s">
        <v>563</v>
      </c>
      <c r="E55" s="27"/>
      <c r="F55" s="27"/>
      <c r="G55" s="27"/>
      <c r="H55" s="27"/>
      <c r="I55" s="27"/>
      <c r="J55" s="27"/>
      <c r="K55" s="27"/>
      <c r="L55" s="27"/>
      <c r="M55" s="27"/>
      <c r="N55" s="27"/>
      <c r="O55" s="27"/>
      <c r="P55" s="27"/>
      <c r="Q55" s="3">
        <f t="shared" si="2"/>
        <v>0</v>
      </c>
      <c r="R55" s="39">
        <f>Q55/[7]Summary!$Q$16</f>
        <v>0</v>
      </c>
      <c r="S55" s="35"/>
      <c r="T55" s="40">
        <f t="shared" si="3"/>
        <v>0</v>
      </c>
    </row>
    <row r="56" spans="1:20" s="3" customFormat="1" ht="24.95" hidden="1" customHeight="1">
      <c r="A56" s="3" t="s">
        <v>564</v>
      </c>
      <c r="B56" s="3" t="s">
        <v>1021</v>
      </c>
      <c r="D56" s="26" t="s">
        <v>565</v>
      </c>
      <c r="E56" s="27"/>
      <c r="F56" s="27"/>
      <c r="G56" s="27"/>
      <c r="H56" s="27"/>
      <c r="I56" s="27"/>
      <c r="J56" s="27"/>
      <c r="K56" s="27"/>
      <c r="L56" s="27"/>
      <c r="M56" s="27"/>
      <c r="N56" s="27"/>
      <c r="O56" s="27"/>
      <c r="P56" s="27"/>
      <c r="Q56" s="3">
        <f t="shared" si="2"/>
        <v>0</v>
      </c>
      <c r="R56" s="39">
        <f>Q56/[7]Summary!$Q$16</f>
        <v>0</v>
      </c>
      <c r="S56" s="35"/>
      <c r="T56" s="40">
        <f t="shared" si="3"/>
        <v>0</v>
      </c>
    </row>
    <row r="57" spans="1:20" s="3" customFormat="1" ht="24.95" hidden="1" customHeight="1">
      <c r="A57" s="3" t="s">
        <v>566</v>
      </c>
      <c r="B57" s="3" t="s">
        <v>1021</v>
      </c>
      <c r="D57" s="26" t="s">
        <v>567</v>
      </c>
      <c r="E57" s="27"/>
      <c r="F57" s="27"/>
      <c r="G57" s="27"/>
      <c r="H57" s="27"/>
      <c r="I57" s="27"/>
      <c r="J57" s="27"/>
      <c r="K57" s="27"/>
      <c r="L57" s="27"/>
      <c r="M57" s="27"/>
      <c r="N57" s="27"/>
      <c r="O57" s="27"/>
      <c r="P57" s="27"/>
      <c r="Q57" s="3">
        <f t="shared" si="2"/>
        <v>0</v>
      </c>
      <c r="R57" s="39">
        <f>Q57/[7]Summary!$Q$16</f>
        <v>0</v>
      </c>
      <c r="S57" s="35"/>
      <c r="T57" s="40">
        <f t="shared" si="3"/>
        <v>0</v>
      </c>
    </row>
    <row r="58" spans="1:20" s="3" customFormat="1" ht="24.95" hidden="1" customHeight="1">
      <c r="A58" s="3" t="s">
        <v>568</v>
      </c>
      <c r="B58" s="3" t="s">
        <v>1021</v>
      </c>
      <c r="D58" s="26" t="s">
        <v>569</v>
      </c>
      <c r="E58" s="27"/>
      <c r="F58" s="27"/>
      <c r="G58" s="27"/>
      <c r="H58" s="27"/>
      <c r="I58" s="27"/>
      <c r="J58" s="27"/>
      <c r="K58" s="27"/>
      <c r="L58" s="27"/>
      <c r="M58" s="27"/>
      <c r="N58" s="27"/>
      <c r="O58" s="27"/>
      <c r="P58" s="27"/>
      <c r="Q58" s="3">
        <f t="shared" si="2"/>
        <v>0</v>
      </c>
      <c r="R58" s="39">
        <f>Q58/[7]Summary!$Q$16</f>
        <v>0</v>
      </c>
      <c r="S58" s="35"/>
      <c r="T58" s="40">
        <f t="shared" si="3"/>
        <v>0</v>
      </c>
    </row>
    <row r="59" spans="1:20" s="3" customFormat="1" ht="24.95" hidden="1" customHeight="1">
      <c r="A59" s="3" t="s">
        <v>570</v>
      </c>
      <c r="B59" s="3" t="s">
        <v>1021</v>
      </c>
      <c r="D59" s="26" t="s">
        <v>571</v>
      </c>
      <c r="E59" s="27"/>
      <c r="F59" s="27"/>
      <c r="G59" s="27"/>
      <c r="H59" s="27"/>
      <c r="I59" s="27"/>
      <c r="J59" s="27"/>
      <c r="K59" s="27"/>
      <c r="L59" s="27"/>
      <c r="M59" s="27"/>
      <c r="N59" s="27"/>
      <c r="O59" s="27"/>
      <c r="P59" s="27"/>
      <c r="Q59" s="3">
        <f t="shared" si="2"/>
        <v>0</v>
      </c>
      <c r="R59" s="39">
        <f>Q59/[7]Summary!$Q$16</f>
        <v>0</v>
      </c>
      <c r="S59" s="35"/>
      <c r="T59" s="40">
        <f t="shared" si="3"/>
        <v>0</v>
      </c>
    </row>
    <row r="60" spans="1:20" s="3" customFormat="1" ht="24.95" hidden="1" customHeight="1">
      <c r="A60" s="3" t="s">
        <v>572</v>
      </c>
      <c r="B60" s="3" t="s">
        <v>1021</v>
      </c>
      <c r="D60" s="26" t="s">
        <v>573</v>
      </c>
      <c r="E60" s="27"/>
      <c r="F60" s="27"/>
      <c r="G60" s="27"/>
      <c r="H60" s="27"/>
      <c r="I60" s="27"/>
      <c r="J60" s="27"/>
      <c r="K60" s="27"/>
      <c r="L60" s="27"/>
      <c r="M60" s="27"/>
      <c r="N60" s="27"/>
      <c r="O60" s="27"/>
      <c r="P60" s="27"/>
      <c r="Q60" s="3">
        <f t="shared" si="2"/>
        <v>0</v>
      </c>
      <c r="R60" s="39">
        <f>Q60/[7]Summary!$Q$16</f>
        <v>0</v>
      </c>
      <c r="S60" s="35"/>
      <c r="T60" s="40">
        <f t="shared" si="3"/>
        <v>0</v>
      </c>
    </row>
    <row r="61" spans="1:20" s="3" customFormat="1" ht="24.95" hidden="1" customHeight="1">
      <c r="A61" s="3" t="s">
        <v>574</v>
      </c>
      <c r="B61" s="3" t="s">
        <v>1021</v>
      </c>
      <c r="D61" s="26" t="s">
        <v>575</v>
      </c>
      <c r="E61" s="27"/>
      <c r="F61" s="27"/>
      <c r="G61" s="27"/>
      <c r="H61" s="27"/>
      <c r="I61" s="27"/>
      <c r="J61" s="27"/>
      <c r="K61" s="27"/>
      <c r="L61" s="27"/>
      <c r="M61" s="27"/>
      <c r="N61" s="27"/>
      <c r="O61" s="27"/>
      <c r="P61" s="27"/>
      <c r="Q61" s="3">
        <f t="shared" si="2"/>
        <v>0</v>
      </c>
      <c r="R61" s="39">
        <f>Q61/[7]Summary!$Q$16</f>
        <v>0</v>
      </c>
      <c r="S61" s="35"/>
      <c r="T61" s="40">
        <f t="shared" si="3"/>
        <v>0</v>
      </c>
    </row>
    <row r="62" spans="1:20" s="3" customFormat="1" ht="24.95" hidden="1" customHeight="1">
      <c r="A62" s="3" t="s">
        <v>576</v>
      </c>
      <c r="B62" s="3" t="s">
        <v>1021</v>
      </c>
      <c r="D62" s="26" t="s">
        <v>577</v>
      </c>
      <c r="E62" s="27"/>
      <c r="F62" s="27"/>
      <c r="G62" s="27"/>
      <c r="H62" s="27"/>
      <c r="I62" s="27"/>
      <c r="J62" s="27"/>
      <c r="K62" s="27"/>
      <c r="L62" s="27"/>
      <c r="M62" s="27"/>
      <c r="N62" s="27"/>
      <c r="O62" s="27"/>
      <c r="P62" s="27"/>
      <c r="Q62" s="3">
        <f t="shared" si="2"/>
        <v>0</v>
      </c>
      <c r="R62" s="39">
        <f>Q62/[7]Summary!$Q$16</f>
        <v>0</v>
      </c>
      <c r="S62" s="35"/>
      <c r="T62" s="40">
        <f t="shared" si="3"/>
        <v>0</v>
      </c>
    </row>
    <row r="63" spans="1:20" s="3" customFormat="1" ht="24.95" hidden="1" customHeight="1">
      <c r="A63" s="3" t="s">
        <v>578</v>
      </c>
      <c r="B63" s="3" t="s">
        <v>1021</v>
      </c>
      <c r="D63" s="26" t="s">
        <v>579</v>
      </c>
      <c r="E63" s="27"/>
      <c r="F63" s="27"/>
      <c r="G63" s="27"/>
      <c r="H63" s="27"/>
      <c r="I63" s="27"/>
      <c r="J63" s="27"/>
      <c r="K63" s="27"/>
      <c r="L63" s="27"/>
      <c r="M63" s="27"/>
      <c r="N63" s="27"/>
      <c r="O63" s="27"/>
      <c r="P63" s="27"/>
      <c r="Q63" s="3">
        <f t="shared" si="2"/>
        <v>0</v>
      </c>
      <c r="R63" s="39">
        <f>Q63/[7]Summary!$Q$16</f>
        <v>0</v>
      </c>
      <c r="S63" s="35"/>
      <c r="T63" s="40">
        <f t="shared" si="3"/>
        <v>0</v>
      </c>
    </row>
    <row r="64" spans="1:20" s="3" customFormat="1" ht="24.95" customHeight="1">
      <c r="A64" s="3" t="s">
        <v>580</v>
      </c>
      <c r="B64" s="3" t="s">
        <v>1021</v>
      </c>
      <c r="D64" s="26" t="s">
        <v>581</v>
      </c>
      <c r="E64" s="27"/>
      <c r="F64" s="27"/>
      <c r="G64" s="27"/>
      <c r="H64" s="27"/>
      <c r="I64" s="27"/>
      <c r="J64" s="27"/>
      <c r="K64" s="27"/>
      <c r="L64" s="27"/>
      <c r="M64" s="27"/>
      <c r="N64" s="27"/>
      <c r="O64" s="27"/>
      <c r="P64" s="27"/>
      <c r="Q64" s="3">
        <f t="shared" si="2"/>
        <v>0</v>
      </c>
      <c r="R64" s="39">
        <f>Q64/[7]Summary!$Q$16</f>
        <v>0</v>
      </c>
      <c r="S64" s="35"/>
      <c r="T64" s="40">
        <f t="shared" si="3"/>
        <v>0</v>
      </c>
    </row>
    <row r="65" spans="1:20" s="3" customFormat="1" ht="24.95" customHeight="1">
      <c r="A65" s="3" t="s">
        <v>582</v>
      </c>
      <c r="B65" s="3" t="s">
        <v>1021</v>
      </c>
      <c r="D65" s="26" t="s">
        <v>583</v>
      </c>
      <c r="E65" s="27"/>
      <c r="F65" s="27"/>
      <c r="G65" s="27"/>
      <c r="H65" s="27"/>
      <c r="I65" s="27"/>
      <c r="J65" s="27"/>
      <c r="K65" s="27"/>
      <c r="L65" s="27"/>
      <c r="M65" s="27"/>
      <c r="N65" s="27"/>
      <c r="O65" s="27"/>
      <c r="P65" s="27"/>
      <c r="Q65" s="3">
        <f t="shared" si="2"/>
        <v>0</v>
      </c>
      <c r="R65" s="39">
        <f>Q65/[7]Summary!$Q$16</f>
        <v>0</v>
      </c>
      <c r="S65" s="35"/>
      <c r="T65" s="40">
        <f t="shared" si="3"/>
        <v>0</v>
      </c>
    </row>
    <row r="66" spans="1:20" s="3" customFormat="1" ht="24.95" customHeight="1">
      <c r="A66" s="3" t="s">
        <v>584</v>
      </c>
      <c r="B66" s="3" t="s">
        <v>1021</v>
      </c>
      <c r="D66" s="26" t="s">
        <v>585</v>
      </c>
      <c r="E66" s="27"/>
      <c r="F66" s="27"/>
      <c r="G66" s="27"/>
      <c r="H66" s="27"/>
      <c r="I66" s="27"/>
      <c r="J66" s="27"/>
      <c r="K66" s="27"/>
      <c r="L66" s="27"/>
      <c r="M66" s="27"/>
      <c r="N66" s="27"/>
      <c r="O66" s="27"/>
      <c r="P66" s="27"/>
      <c r="Q66" s="3">
        <f t="shared" si="2"/>
        <v>0</v>
      </c>
      <c r="R66" s="39">
        <f>Q66/[7]Summary!$Q$16</f>
        <v>0</v>
      </c>
      <c r="S66" s="35"/>
      <c r="T66" s="40">
        <f t="shared" si="3"/>
        <v>0</v>
      </c>
    </row>
    <row r="67" spans="1:20" s="3" customFormat="1" ht="24.95" customHeight="1">
      <c r="A67" s="3" t="s">
        <v>586</v>
      </c>
      <c r="B67" s="3" t="s">
        <v>1021</v>
      </c>
      <c r="D67" s="26" t="s">
        <v>587</v>
      </c>
      <c r="E67" s="27"/>
      <c r="F67" s="27"/>
      <c r="G67" s="27"/>
      <c r="H67" s="27"/>
      <c r="I67" s="27"/>
      <c r="J67" s="27"/>
      <c r="K67" s="27"/>
      <c r="L67" s="27"/>
      <c r="M67" s="27"/>
      <c r="N67" s="27"/>
      <c r="O67" s="27"/>
      <c r="P67" s="27"/>
      <c r="Q67" s="3">
        <f t="shared" si="2"/>
        <v>0</v>
      </c>
      <c r="R67" s="39">
        <f>Q67/[7]Summary!$Q$16</f>
        <v>0</v>
      </c>
      <c r="S67" s="35"/>
      <c r="T67" s="40">
        <f t="shared" si="3"/>
        <v>0</v>
      </c>
    </row>
    <row r="68" spans="1:20" s="3" customFormat="1" ht="24.95" customHeight="1">
      <c r="A68" s="3" t="s">
        <v>588</v>
      </c>
      <c r="B68" s="3" t="s">
        <v>1021</v>
      </c>
      <c r="D68" s="26" t="s">
        <v>589</v>
      </c>
      <c r="E68" s="27">
        <v>150</v>
      </c>
      <c r="F68" s="27">
        <v>150</v>
      </c>
      <c r="G68" s="27">
        <v>150</v>
      </c>
      <c r="H68" s="27">
        <v>150</v>
      </c>
      <c r="I68" s="27">
        <v>150</v>
      </c>
      <c r="J68" s="27">
        <v>150</v>
      </c>
      <c r="K68" s="27">
        <v>150</v>
      </c>
      <c r="L68" s="27">
        <v>150</v>
      </c>
      <c r="M68" s="27">
        <v>150</v>
      </c>
      <c r="N68" s="27">
        <v>150</v>
      </c>
      <c r="O68" s="27">
        <v>150</v>
      </c>
      <c r="P68" s="27">
        <v>150</v>
      </c>
      <c r="Q68" s="3">
        <f t="shared" si="2"/>
        <v>1800</v>
      </c>
      <c r="R68" s="39">
        <f>Q68/[7]Summary!$Q$16</f>
        <v>9.7464465274126261E-5</v>
      </c>
      <c r="S68" s="35"/>
      <c r="T68" s="40" t="e">
        <f t="shared" si="3"/>
        <v>#DIV/0!</v>
      </c>
    </row>
    <row r="69" spans="1:20" s="3" customFormat="1" ht="24.95" customHeight="1">
      <c r="A69" s="3" t="s">
        <v>590</v>
      </c>
      <c r="B69" s="3" t="s">
        <v>1021</v>
      </c>
      <c r="D69" s="26" t="s">
        <v>591</v>
      </c>
      <c r="E69" s="27">
        <v>400</v>
      </c>
      <c r="F69" s="27">
        <v>400</v>
      </c>
      <c r="G69" s="27">
        <v>400</v>
      </c>
      <c r="H69" s="27">
        <v>400</v>
      </c>
      <c r="I69" s="27">
        <v>400</v>
      </c>
      <c r="J69" s="27">
        <v>400</v>
      </c>
      <c r="K69" s="27">
        <v>400</v>
      </c>
      <c r="L69" s="27">
        <v>400</v>
      </c>
      <c r="M69" s="27">
        <v>400</v>
      </c>
      <c r="N69" s="27">
        <v>400</v>
      </c>
      <c r="O69" s="27">
        <v>400</v>
      </c>
      <c r="P69" s="27">
        <v>400</v>
      </c>
      <c r="Q69" s="3">
        <f t="shared" si="2"/>
        <v>4800</v>
      </c>
      <c r="R69" s="39">
        <f>Q69/[7]Summary!$Q$16</f>
        <v>2.5990524073100338E-4</v>
      </c>
      <c r="S69" s="35"/>
      <c r="T69" s="40" t="e">
        <f t="shared" si="3"/>
        <v>#DIV/0!</v>
      </c>
    </row>
    <row r="70" spans="1:20" s="3" customFormat="1" ht="24.95" customHeight="1">
      <c r="A70" s="3" t="s">
        <v>592</v>
      </c>
      <c r="B70" s="3" t="s">
        <v>1021</v>
      </c>
      <c r="D70" s="26" t="s">
        <v>593</v>
      </c>
      <c r="E70" s="27">
        <f>Laundry!E211</f>
        <v>1823.49</v>
      </c>
      <c r="F70" s="27">
        <f>Laundry!F211</f>
        <v>1955.81</v>
      </c>
      <c r="G70" s="27">
        <f>Laundry!G211</f>
        <v>1818.6</v>
      </c>
      <c r="H70" s="27">
        <f>Laundry!H211</f>
        <v>1967.15</v>
      </c>
      <c r="I70" s="27">
        <f>Laundry!I211</f>
        <v>1985.46</v>
      </c>
      <c r="J70" s="27">
        <f>Laundry!J211</f>
        <v>1998.85</v>
      </c>
      <c r="K70" s="27">
        <f>Laundry!K211</f>
        <v>1984.1</v>
      </c>
      <c r="L70" s="27">
        <f>Laundry!L211</f>
        <v>1991.14</v>
      </c>
      <c r="M70" s="27">
        <f>Laundry!M211</f>
        <v>2083.35</v>
      </c>
      <c r="N70" s="27">
        <f>Laundry!N211</f>
        <v>2215.67</v>
      </c>
      <c r="O70" s="27">
        <f>Laundry!O211</f>
        <v>1929.87</v>
      </c>
      <c r="P70" s="27">
        <f>Laundry!P211</f>
        <v>1903.11</v>
      </c>
      <c r="Q70" s="3">
        <f t="shared" si="2"/>
        <v>23656.599999999995</v>
      </c>
      <c r="R70" s="39">
        <f>Q70/[7]Summary!$Q$16</f>
        <v>1.2809321495577193E-3</v>
      </c>
      <c r="S70" s="35"/>
      <c r="T70" s="40" t="e">
        <f t="shared" si="3"/>
        <v>#DIV/0!</v>
      </c>
    </row>
    <row r="71" spans="1:20" s="3" customFormat="1" ht="24.95" customHeight="1">
      <c r="A71" s="3" t="s">
        <v>594</v>
      </c>
      <c r="B71" s="3" t="s">
        <v>1021</v>
      </c>
      <c r="D71" s="26" t="s">
        <v>595</v>
      </c>
      <c r="E71" s="27"/>
      <c r="F71" s="27"/>
      <c r="G71" s="27"/>
      <c r="H71" s="27"/>
      <c r="I71" s="27"/>
      <c r="J71" s="27"/>
      <c r="K71" s="27"/>
      <c r="L71" s="27"/>
      <c r="M71" s="27"/>
      <c r="N71" s="27"/>
      <c r="O71" s="27"/>
      <c r="P71" s="27"/>
      <c r="Q71" s="3">
        <f t="shared" si="2"/>
        <v>0</v>
      </c>
      <c r="R71" s="39">
        <f>Q71/[7]Summary!$Q$16</f>
        <v>0</v>
      </c>
      <c r="S71" s="35"/>
      <c r="T71" s="40">
        <f t="shared" si="3"/>
        <v>0</v>
      </c>
    </row>
    <row r="72" spans="1:20" s="3" customFormat="1" ht="24.95" customHeight="1">
      <c r="A72" s="3" t="s">
        <v>596</v>
      </c>
      <c r="B72" s="3" t="s">
        <v>1021</v>
      </c>
      <c r="D72" s="26" t="s">
        <v>597</v>
      </c>
      <c r="E72" s="27">
        <v>200</v>
      </c>
      <c r="F72" s="27">
        <v>200</v>
      </c>
      <c r="G72" s="27">
        <v>200</v>
      </c>
      <c r="H72" s="27">
        <v>200</v>
      </c>
      <c r="I72" s="27">
        <v>200</v>
      </c>
      <c r="J72" s="27">
        <v>200</v>
      </c>
      <c r="K72" s="27">
        <v>200</v>
      </c>
      <c r="L72" s="27">
        <v>200</v>
      </c>
      <c r="M72" s="27">
        <v>200</v>
      </c>
      <c r="N72" s="27">
        <v>200</v>
      </c>
      <c r="O72" s="27">
        <v>200</v>
      </c>
      <c r="P72" s="27">
        <v>200</v>
      </c>
      <c r="Q72" s="3">
        <f t="shared" si="2"/>
        <v>2400</v>
      </c>
      <c r="R72" s="39">
        <f>Q72/[7]Summary!$Q$16</f>
        <v>1.2995262036550169E-4</v>
      </c>
      <c r="S72" s="35"/>
      <c r="T72" s="40" t="e">
        <f t="shared" si="3"/>
        <v>#DIV/0!</v>
      </c>
    </row>
    <row r="73" spans="1:20" s="3" customFormat="1" ht="24.95" customHeight="1">
      <c r="A73" s="3" t="s">
        <v>598</v>
      </c>
      <c r="B73" s="3" t="s">
        <v>1021</v>
      </c>
      <c r="D73" s="26" t="s">
        <v>599</v>
      </c>
      <c r="E73" s="27"/>
      <c r="F73" s="27"/>
      <c r="G73" s="27"/>
      <c r="H73" s="27"/>
      <c r="I73" s="27"/>
      <c r="J73" s="27"/>
      <c r="K73" s="27"/>
      <c r="L73" s="27"/>
      <c r="M73" s="27"/>
      <c r="N73" s="27"/>
      <c r="O73" s="27"/>
      <c r="P73" s="27"/>
      <c r="Q73" s="3">
        <f t="shared" si="2"/>
        <v>0</v>
      </c>
      <c r="R73" s="39">
        <f>Q73/[7]Summary!$Q$16</f>
        <v>0</v>
      </c>
      <c r="S73" s="35"/>
      <c r="T73" s="40">
        <f t="shared" si="3"/>
        <v>0</v>
      </c>
    </row>
    <row r="74" spans="1:20" s="3" customFormat="1" ht="24.75" customHeight="1">
      <c r="A74" s="3" t="s">
        <v>600</v>
      </c>
      <c r="B74" s="3" t="s">
        <v>1021</v>
      </c>
      <c r="D74" s="26" t="s">
        <v>601</v>
      </c>
      <c r="E74" s="27">
        <v>300</v>
      </c>
      <c r="F74" s="27">
        <v>300</v>
      </c>
      <c r="G74" s="27">
        <v>300</v>
      </c>
      <c r="H74" s="27">
        <v>300</v>
      </c>
      <c r="I74" s="27">
        <v>300</v>
      </c>
      <c r="J74" s="27">
        <v>300</v>
      </c>
      <c r="K74" s="27">
        <v>300</v>
      </c>
      <c r="L74" s="27">
        <v>300</v>
      </c>
      <c r="M74" s="27">
        <v>300</v>
      </c>
      <c r="N74" s="27">
        <v>300</v>
      </c>
      <c r="O74" s="27">
        <v>300</v>
      </c>
      <c r="P74" s="27">
        <v>300</v>
      </c>
      <c r="Q74" s="3">
        <f t="shared" si="2"/>
        <v>3600</v>
      </c>
      <c r="R74" s="39">
        <f>Q74/[7]Summary!$Q$16</f>
        <v>1.9492893054825252E-4</v>
      </c>
      <c r="S74" s="35"/>
      <c r="T74" s="40" t="e">
        <f t="shared" si="3"/>
        <v>#DIV/0!</v>
      </c>
    </row>
    <row r="75" spans="1:20" s="3" customFormat="1" ht="24.95" customHeight="1">
      <c r="A75" s="3" t="s">
        <v>602</v>
      </c>
      <c r="B75" s="3" t="s">
        <v>1021</v>
      </c>
      <c r="D75" s="26" t="s">
        <v>603</v>
      </c>
      <c r="E75" s="27">
        <v>500</v>
      </c>
      <c r="F75" s="27">
        <v>500</v>
      </c>
      <c r="G75" s="27">
        <v>500</v>
      </c>
      <c r="H75" s="27">
        <v>500</v>
      </c>
      <c r="I75" s="27">
        <v>500</v>
      </c>
      <c r="J75" s="27">
        <v>500</v>
      </c>
      <c r="K75" s="27">
        <v>500</v>
      </c>
      <c r="L75" s="27">
        <v>500</v>
      </c>
      <c r="M75" s="27">
        <v>500</v>
      </c>
      <c r="N75" s="27">
        <v>500</v>
      </c>
      <c r="O75" s="27">
        <v>500</v>
      </c>
      <c r="P75" s="27">
        <v>500</v>
      </c>
      <c r="Q75" s="3">
        <f t="shared" si="2"/>
        <v>6000</v>
      </c>
      <c r="R75" s="39">
        <f>Q75/[7]Summary!$Q$16</f>
        <v>3.2488155091375419E-4</v>
      </c>
      <c r="S75" s="35"/>
      <c r="T75" s="40" t="e">
        <f t="shared" si="3"/>
        <v>#DIV/0!</v>
      </c>
    </row>
    <row r="76" spans="1:20" s="3" customFormat="1" ht="24.95" customHeight="1">
      <c r="A76" s="3" t="s">
        <v>604</v>
      </c>
      <c r="B76" s="3" t="s">
        <v>1021</v>
      </c>
      <c r="D76" s="26" t="s">
        <v>605</v>
      </c>
      <c r="E76" s="27"/>
      <c r="F76" s="27"/>
      <c r="G76" s="27"/>
      <c r="H76" s="27"/>
      <c r="I76" s="27"/>
      <c r="J76" s="27"/>
      <c r="K76" s="27"/>
      <c r="L76" s="27"/>
      <c r="M76" s="27"/>
      <c r="N76" s="27"/>
      <c r="O76" s="27"/>
      <c r="P76" s="27"/>
      <c r="Q76" s="3">
        <f t="shared" si="2"/>
        <v>0</v>
      </c>
      <c r="R76" s="39">
        <f>Q76/[7]Summary!$Q$16</f>
        <v>0</v>
      </c>
      <c r="S76" s="35"/>
      <c r="T76" s="40">
        <f t="shared" si="3"/>
        <v>0</v>
      </c>
    </row>
    <row r="77" spans="1:20" s="3" customFormat="1" ht="24.95" customHeight="1">
      <c r="A77" s="3" t="s">
        <v>606</v>
      </c>
      <c r="B77" s="3" t="s">
        <v>1021</v>
      </c>
      <c r="D77" s="26" t="s">
        <v>607</v>
      </c>
      <c r="E77" s="27"/>
      <c r="F77" s="27"/>
      <c r="G77" s="27"/>
      <c r="H77" s="27"/>
      <c r="I77" s="27"/>
      <c r="J77" s="27"/>
      <c r="K77" s="27"/>
      <c r="L77" s="27"/>
      <c r="M77" s="27"/>
      <c r="N77" s="27"/>
      <c r="O77" s="27"/>
      <c r="P77" s="27"/>
      <c r="Q77" s="3">
        <f t="shared" si="2"/>
        <v>0</v>
      </c>
      <c r="R77" s="39">
        <f>Q77/[7]Summary!$Q$16</f>
        <v>0</v>
      </c>
      <c r="S77" s="35"/>
      <c r="T77" s="40">
        <f t="shared" si="3"/>
        <v>0</v>
      </c>
    </row>
    <row r="78" spans="1:20" s="3" customFormat="1" ht="24.95" customHeight="1">
      <c r="A78" s="270" t="s">
        <v>863</v>
      </c>
      <c r="B78" s="3" t="s">
        <v>1021</v>
      </c>
      <c r="D78" s="26" t="s">
        <v>1019</v>
      </c>
      <c r="E78" s="27"/>
      <c r="F78" s="27"/>
      <c r="G78" s="27"/>
      <c r="H78" s="27"/>
      <c r="I78" s="27"/>
      <c r="J78" s="27"/>
      <c r="K78" s="27"/>
      <c r="L78" s="27"/>
      <c r="M78" s="27"/>
      <c r="N78" s="27"/>
      <c r="O78" s="27"/>
      <c r="P78" s="27"/>
      <c r="Q78" s="3">
        <f t="shared" si="2"/>
        <v>0</v>
      </c>
      <c r="R78" s="39">
        <f>Q78/[7]Summary!$Q$16</f>
        <v>0</v>
      </c>
      <c r="S78" s="35"/>
      <c r="T78" s="40">
        <f t="shared" si="3"/>
        <v>0</v>
      </c>
    </row>
    <row r="79" spans="1:20" s="3" customFormat="1" ht="24.95" customHeight="1">
      <c r="A79" s="3" t="s">
        <v>608</v>
      </c>
      <c r="B79" s="3" t="s">
        <v>1021</v>
      </c>
      <c r="D79" s="26" t="s">
        <v>609</v>
      </c>
      <c r="E79" s="27">
        <v>2400</v>
      </c>
      <c r="F79" s="27">
        <v>2400</v>
      </c>
      <c r="G79" s="27">
        <v>2400</v>
      </c>
      <c r="H79" s="27">
        <v>2400</v>
      </c>
      <c r="I79" s="27">
        <v>2400</v>
      </c>
      <c r="J79" s="27">
        <v>6400</v>
      </c>
      <c r="K79" s="27">
        <v>2400</v>
      </c>
      <c r="L79" s="27">
        <v>2400</v>
      </c>
      <c r="M79" s="27">
        <v>2400</v>
      </c>
      <c r="N79" s="27">
        <v>2400</v>
      </c>
      <c r="O79" s="27">
        <v>2400</v>
      </c>
      <c r="P79" s="27">
        <v>6400</v>
      </c>
      <c r="Q79" s="3">
        <f t="shared" si="2"/>
        <v>36800</v>
      </c>
      <c r="R79" s="39">
        <f>Q79/[7]Summary!$Q$16</f>
        <v>1.9926068456043592E-3</v>
      </c>
      <c r="S79" s="35"/>
      <c r="T79" s="40" t="e">
        <f t="shared" si="3"/>
        <v>#DIV/0!</v>
      </c>
    </row>
    <row r="80" spans="1:20" s="3" customFormat="1" ht="24.95" customHeight="1">
      <c r="A80" s="3" t="s">
        <v>865</v>
      </c>
      <c r="B80" s="3" t="s">
        <v>1021</v>
      </c>
      <c r="D80" s="26" t="s">
        <v>866</v>
      </c>
      <c r="E80" s="27"/>
      <c r="F80" s="27"/>
      <c r="G80" s="27"/>
      <c r="H80" s="27"/>
      <c r="I80" s="27"/>
      <c r="J80" s="27"/>
      <c r="K80" s="27"/>
      <c r="L80" s="27"/>
      <c r="M80" s="27"/>
      <c r="N80" s="27"/>
      <c r="O80" s="27"/>
      <c r="P80" s="27"/>
      <c r="Q80" s="3">
        <f t="shared" ref="Q80:Q143" si="4">SUM(E80:P80)</f>
        <v>0</v>
      </c>
      <c r="R80" s="39">
        <f>Q80/[7]Summary!$Q$16</f>
        <v>0</v>
      </c>
      <c r="S80" s="35"/>
      <c r="T80" s="40">
        <f t="shared" si="3"/>
        <v>0</v>
      </c>
    </row>
    <row r="81" spans="1:20" s="3" customFormat="1" ht="24.95" customHeight="1">
      <c r="A81" s="3" t="s">
        <v>867</v>
      </c>
      <c r="B81" s="3" t="s">
        <v>1021</v>
      </c>
      <c r="D81" s="26" t="s">
        <v>868</v>
      </c>
      <c r="E81" s="27"/>
      <c r="F81" s="27"/>
      <c r="G81" s="27"/>
      <c r="H81" s="27"/>
      <c r="I81" s="27"/>
      <c r="J81" s="27"/>
      <c r="K81" s="27"/>
      <c r="L81" s="27"/>
      <c r="M81" s="27"/>
      <c r="N81" s="27"/>
      <c r="O81" s="27"/>
      <c r="P81" s="27"/>
      <c r="Q81" s="3">
        <f t="shared" si="4"/>
        <v>0</v>
      </c>
      <c r="R81" s="39">
        <f>Q81/[7]Summary!$Q$16</f>
        <v>0</v>
      </c>
      <c r="S81" s="35"/>
      <c r="T81" s="40">
        <f t="shared" si="3"/>
        <v>0</v>
      </c>
    </row>
    <row r="82" spans="1:20" s="3" customFormat="1" ht="24.75" customHeight="1">
      <c r="A82" s="3" t="s">
        <v>869</v>
      </c>
      <c r="B82" s="3" t="s">
        <v>1021</v>
      </c>
      <c r="D82" s="26" t="s">
        <v>870</v>
      </c>
      <c r="E82" s="27"/>
      <c r="F82" s="27"/>
      <c r="G82" s="27"/>
      <c r="H82" s="27"/>
      <c r="I82" s="27"/>
      <c r="J82" s="27"/>
      <c r="K82" s="27"/>
      <c r="L82" s="27"/>
      <c r="M82" s="27"/>
      <c r="N82" s="27"/>
      <c r="O82" s="27"/>
      <c r="P82" s="27"/>
      <c r="Q82" s="3">
        <f t="shared" si="4"/>
        <v>0</v>
      </c>
      <c r="R82" s="39">
        <f>Q82/[7]Summary!$Q$16</f>
        <v>0</v>
      </c>
      <c r="S82" s="35"/>
      <c r="T82" s="40">
        <f t="shared" si="3"/>
        <v>0</v>
      </c>
    </row>
    <row r="83" spans="1:20" s="3" customFormat="1" ht="24.95" customHeight="1">
      <c r="A83" s="3" t="s">
        <v>871</v>
      </c>
      <c r="B83" s="3" t="s">
        <v>1021</v>
      </c>
      <c r="D83" s="26" t="s">
        <v>872</v>
      </c>
      <c r="E83" s="27"/>
      <c r="F83" s="27"/>
      <c r="G83" s="27"/>
      <c r="H83" s="27"/>
      <c r="I83" s="27"/>
      <c r="J83" s="27"/>
      <c r="K83" s="27"/>
      <c r="L83" s="27"/>
      <c r="M83" s="27"/>
      <c r="N83" s="27"/>
      <c r="O83" s="27"/>
      <c r="P83" s="27"/>
      <c r="Q83" s="3">
        <f t="shared" si="4"/>
        <v>0</v>
      </c>
      <c r="R83" s="39">
        <f>Q83/[7]Summary!$Q$16</f>
        <v>0</v>
      </c>
      <c r="S83" s="35"/>
      <c r="T83" s="40">
        <f t="shared" si="3"/>
        <v>0</v>
      </c>
    </row>
    <row r="84" spans="1:20" s="3" customFormat="1" ht="24.95" customHeight="1">
      <c r="A84" s="3" t="s">
        <v>873</v>
      </c>
      <c r="B84" s="3" t="s">
        <v>1021</v>
      </c>
      <c r="D84" s="26" t="s">
        <v>874</v>
      </c>
      <c r="E84" s="27"/>
      <c r="F84" s="27"/>
      <c r="G84" s="27"/>
      <c r="H84" s="27"/>
      <c r="I84" s="27"/>
      <c r="J84" s="27"/>
      <c r="K84" s="27"/>
      <c r="L84" s="27"/>
      <c r="M84" s="27"/>
      <c r="N84" s="27"/>
      <c r="O84" s="27"/>
      <c r="P84" s="27"/>
      <c r="Q84" s="3">
        <f t="shared" si="4"/>
        <v>0</v>
      </c>
      <c r="R84" s="39">
        <f>Q84/[7]Summary!$Q$16</f>
        <v>0</v>
      </c>
      <c r="S84" s="35"/>
      <c r="T84" s="40">
        <f t="shared" si="3"/>
        <v>0</v>
      </c>
    </row>
    <row r="85" spans="1:20" s="3" customFormat="1" ht="24.95" customHeight="1">
      <c r="A85" s="3" t="s">
        <v>875</v>
      </c>
      <c r="B85" s="3" t="s">
        <v>1021</v>
      </c>
      <c r="D85" s="26" t="s">
        <v>876</v>
      </c>
      <c r="E85" s="27"/>
      <c r="F85" s="27"/>
      <c r="G85" s="27"/>
      <c r="H85" s="27"/>
      <c r="I85" s="27"/>
      <c r="J85" s="27"/>
      <c r="K85" s="27"/>
      <c r="L85" s="27"/>
      <c r="M85" s="27"/>
      <c r="N85" s="27"/>
      <c r="O85" s="27"/>
      <c r="P85" s="27"/>
      <c r="Q85" s="3">
        <f t="shared" si="4"/>
        <v>0</v>
      </c>
      <c r="R85" s="39">
        <f>Q85/[7]Summary!$Q$16</f>
        <v>0</v>
      </c>
      <c r="S85" s="35"/>
      <c r="T85" s="40">
        <f t="shared" si="3"/>
        <v>0</v>
      </c>
    </row>
    <row r="86" spans="1:20" s="3" customFormat="1" ht="24.95" hidden="1" customHeight="1">
      <c r="A86" s="3" t="s">
        <v>877</v>
      </c>
      <c r="B86" s="3" t="s">
        <v>1021</v>
      </c>
      <c r="D86" s="26" t="s">
        <v>878</v>
      </c>
      <c r="E86" s="27"/>
      <c r="F86" s="27"/>
      <c r="G86" s="27"/>
      <c r="H86" s="27"/>
      <c r="I86" s="27"/>
      <c r="J86" s="27"/>
      <c r="K86" s="27"/>
      <c r="L86" s="27"/>
      <c r="M86" s="27"/>
      <c r="N86" s="27"/>
      <c r="O86" s="27"/>
      <c r="P86" s="27"/>
      <c r="Q86" s="3">
        <f t="shared" si="4"/>
        <v>0</v>
      </c>
      <c r="R86" s="39">
        <f>Q86/[7]Summary!$Q$16</f>
        <v>0</v>
      </c>
      <c r="S86" s="35"/>
      <c r="T86" s="40">
        <f t="shared" si="3"/>
        <v>0</v>
      </c>
    </row>
    <row r="87" spans="1:20" s="3" customFormat="1" ht="24.95" hidden="1" customHeight="1">
      <c r="A87" s="3" t="s">
        <v>879</v>
      </c>
      <c r="B87" s="3" t="s">
        <v>1021</v>
      </c>
      <c r="D87" s="26" t="s">
        <v>880</v>
      </c>
      <c r="E87" s="27"/>
      <c r="F87" s="27"/>
      <c r="G87" s="27"/>
      <c r="H87" s="27"/>
      <c r="I87" s="27"/>
      <c r="J87" s="27"/>
      <c r="K87" s="27"/>
      <c r="L87" s="27"/>
      <c r="M87" s="27"/>
      <c r="N87" s="27"/>
      <c r="O87" s="27"/>
      <c r="P87" s="27"/>
      <c r="Q87" s="3">
        <f t="shared" si="4"/>
        <v>0</v>
      </c>
      <c r="R87" s="39">
        <f>Q87/[7]Summary!$Q$16</f>
        <v>0</v>
      </c>
      <c r="S87" s="35"/>
      <c r="T87" s="40">
        <f t="shared" ref="T87:T150" si="5">-IF(Q87-S87=0,0,(Q87-S87)/S87)</f>
        <v>0</v>
      </c>
    </row>
    <row r="88" spans="1:20" s="3" customFormat="1" ht="24.95" hidden="1" customHeight="1">
      <c r="A88" s="3" t="s">
        <v>881</v>
      </c>
      <c r="B88" s="3" t="s">
        <v>1021</v>
      </c>
      <c r="D88" s="26" t="s">
        <v>882</v>
      </c>
      <c r="E88" s="27"/>
      <c r="F88" s="27"/>
      <c r="G88" s="27"/>
      <c r="H88" s="27"/>
      <c r="I88" s="27"/>
      <c r="J88" s="27"/>
      <c r="K88" s="27"/>
      <c r="L88" s="27"/>
      <c r="M88" s="27"/>
      <c r="N88" s="27"/>
      <c r="O88" s="27"/>
      <c r="P88" s="27"/>
      <c r="Q88" s="3">
        <f t="shared" si="4"/>
        <v>0</v>
      </c>
      <c r="R88" s="39">
        <f>Q88/[7]Summary!$Q$16</f>
        <v>0</v>
      </c>
      <c r="S88" s="35"/>
      <c r="T88" s="40">
        <f t="shared" si="5"/>
        <v>0</v>
      </c>
    </row>
    <row r="89" spans="1:20" s="3" customFormat="1" ht="24.95" hidden="1" customHeight="1">
      <c r="A89" s="3" t="s">
        <v>268</v>
      </c>
      <c r="B89" s="3" t="s">
        <v>1021</v>
      </c>
      <c r="D89" s="26" t="s">
        <v>610</v>
      </c>
      <c r="E89" s="27"/>
      <c r="F89" s="27"/>
      <c r="G89" s="27"/>
      <c r="H89" s="27"/>
      <c r="I89" s="27"/>
      <c r="J89" s="27"/>
      <c r="K89" s="27"/>
      <c r="L89" s="27"/>
      <c r="M89" s="27"/>
      <c r="N89" s="27"/>
      <c r="O89" s="27"/>
      <c r="P89" s="27"/>
      <c r="Q89" s="3">
        <f t="shared" si="4"/>
        <v>0</v>
      </c>
      <c r="R89" s="39">
        <f>Q89/[7]Summary!$Q$16</f>
        <v>0</v>
      </c>
      <c r="S89" s="35"/>
      <c r="T89" s="40">
        <f t="shared" si="5"/>
        <v>0</v>
      </c>
    </row>
    <row r="90" spans="1:20" s="3" customFormat="1" ht="24.95" customHeight="1">
      <c r="A90" s="3" t="s">
        <v>883</v>
      </c>
      <c r="B90" s="3" t="s">
        <v>1021</v>
      </c>
      <c r="D90" s="26" t="s">
        <v>884</v>
      </c>
      <c r="E90" s="27"/>
      <c r="F90" s="27"/>
      <c r="G90" s="27"/>
      <c r="H90" s="27"/>
      <c r="I90" s="27"/>
      <c r="J90" s="27"/>
      <c r="K90" s="27"/>
      <c r="L90" s="27"/>
      <c r="M90" s="27"/>
      <c r="N90" s="27"/>
      <c r="O90" s="27"/>
      <c r="P90" s="27"/>
      <c r="Q90" s="3">
        <f t="shared" si="4"/>
        <v>0</v>
      </c>
      <c r="R90" s="39">
        <f>Q90/[7]Summary!$Q$16</f>
        <v>0</v>
      </c>
      <c r="S90" s="35"/>
      <c r="T90" s="40">
        <f t="shared" si="5"/>
        <v>0</v>
      </c>
    </row>
    <row r="91" spans="1:20" s="3" customFormat="1" ht="24.95" customHeight="1">
      <c r="A91" s="3" t="s">
        <v>270</v>
      </c>
      <c r="B91" s="3" t="s">
        <v>1021</v>
      </c>
      <c r="D91" s="26" t="s">
        <v>271</v>
      </c>
      <c r="E91" s="27"/>
      <c r="F91" s="27"/>
      <c r="G91" s="27"/>
      <c r="H91" s="27"/>
      <c r="I91" s="27"/>
      <c r="J91" s="27"/>
      <c r="K91" s="27"/>
      <c r="L91" s="27"/>
      <c r="M91" s="27"/>
      <c r="N91" s="27"/>
      <c r="O91" s="27"/>
      <c r="P91" s="27"/>
      <c r="Q91" s="3">
        <f t="shared" si="4"/>
        <v>0</v>
      </c>
      <c r="R91" s="39">
        <f>Q91/[7]Summary!$Q$16</f>
        <v>0</v>
      </c>
      <c r="S91" s="35"/>
      <c r="T91" s="40">
        <f t="shared" si="5"/>
        <v>0</v>
      </c>
    </row>
    <row r="92" spans="1:20" s="3" customFormat="1" ht="24.95" hidden="1" customHeight="1">
      <c r="A92" s="3" t="s">
        <v>885</v>
      </c>
      <c r="B92" s="3" t="s">
        <v>1021</v>
      </c>
      <c r="D92" s="26" t="s">
        <v>886</v>
      </c>
      <c r="E92" s="27"/>
      <c r="F92" s="27"/>
      <c r="G92" s="27"/>
      <c r="H92" s="27"/>
      <c r="I92" s="27"/>
      <c r="J92" s="27"/>
      <c r="K92" s="27"/>
      <c r="L92" s="27"/>
      <c r="M92" s="27"/>
      <c r="N92" s="27"/>
      <c r="O92" s="27"/>
      <c r="P92" s="27"/>
      <c r="Q92" s="3">
        <f t="shared" si="4"/>
        <v>0</v>
      </c>
      <c r="R92" s="39">
        <f>Q92/[7]Summary!$Q$16</f>
        <v>0</v>
      </c>
      <c r="S92" s="35"/>
      <c r="T92" s="40">
        <f t="shared" si="5"/>
        <v>0</v>
      </c>
    </row>
    <row r="93" spans="1:20" s="3" customFormat="1" ht="24.6" hidden="1" customHeight="1">
      <c r="A93" s="3" t="s">
        <v>887</v>
      </c>
      <c r="B93" s="3" t="s">
        <v>1021</v>
      </c>
      <c r="D93" s="26" t="s">
        <v>888</v>
      </c>
      <c r="E93" s="27"/>
      <c r="F93" s="27"/>
      <c r="G93" s="27"/>
      <c r="H93" s="27"/>
      <c r="I93" s="27"/>
      <c r="J93" s="27"/>
      <c r="K93" s="27"/>
      <c r="L93" s="27"/>
      <c r="M93" s="27"/>
      <c r="N93" s="27"/>
      <c r="O93" s="27"/>
      <c r="P93" s="27"/>
      <c r="Q93" s="3">
        <f t="shared" si="4"/>
        <v>0</v>
      </c>
      <c r="R93" s="39">
        <f>Q93/[7]Summary!$Q$16</f>
        <v>0</v>
      </c>
      <c r="S93" s="35"/>
      <c r="T93" s="40">
        <f t="shared" si="5"/>
        <v>0</v>
      </c>
    </row>
    <row r="94" spans="1:20" s="372" customFormat="1" ht="24.75" customHeight="1">
      <c r="A94" s="372" t="s">
        <v>889</v>
      </c>
      <c r="B94" s="372" t="s">
        <v>1021</v>
      </c>
      <c r="D94" s="367" t="s">
        <v>890</v>
      </c>
      <c r="E94" s="27">
        <v>0</v>
      </c>
      <c r="F94" s="27">
        <v>750</v>
      </c>
      <c r="G94" s="27">
        <v>750</v>
      </c>
      <c r="H94" s="27">
        <v>380</v>
      </c>
      <c r="I94" s="27">
        <v>3380</v>
      </c>
      <c r="J94" s="27">
        <v>20000</v>
      </c>
      <c r="K94" s="27">
        <v>10000</v>
      </c>
      <c r="L94" s="27">
        <v>16000</v>
      </c>
      <c r="M94" s="27">
        <v>15000</v>
      </c>
      <c r="N94" s="27">
        <v>20000</v>
      </c>
      <c r="O94" s="27">
        <v>13000</v>
      </c>
      <c r="P94" s="27">
        <v>0</v>
      </c>
      <c r="Q94" s="372">
        <f t="shared" si="4"/>
        <v>99260</v>
      </c>
      <c r="R94" s="39">
        <f>Q94/[7]Summary!$Q$16</f>
        <v>5.3746237906165404E-3</v>
      </c>
      <c r="S94" s="375"/>
      <c r="T94" s="360" t="e">
        <f t="shared" si="5"/>
        <v>#DIV/0!</v>
      </c>
    </row>
    <row r="95" spans="1:20" s="3" customFormat="1" ht="24.75" customHeight="1">
      <c r="A95" s="3" t="s">
        <v>891</v>
      </c>
      <c r="B95" s="3" t="s">
        <v>1021</v>
      </c>
      <c r="D95" s="26" t="s">
        <v>892</v>
      </c>
      <c r="E95" s="27"/>
      <c r="F95" s="27"/>
      <c r="G95" s="27"/>
      <c r="H95" s="27"/>
      <c r="I95" s="27"/>
      <c r="J95" s="27"/>
      <c r="K95" s="27"/>
      <c r="L95" s="27"/>
      <c r="M95" s="27"/>
      <c r="N95" s="27"/>
      <c r="O95" s="27"/>
      <c r="P95" s="27"/>
      <c r="Q95" s="3">
        <f t="shared" si="4"/>
        <v>0</v>
      </c>
      <c r="R95" s="39">
        <f>Q95/[7]Summary!$Q$16</f>
        <v>0</v>
      </c>
      <c r="S95" s="35"/>
      <c r="T95" s="40">
        <f t="shared" si="5"/>
        <v>0</v>
      </c>
    </row>
    <row r="96" spans="1:20" s="3" customFormat="1" ht="24.95" customHeight="1">
      <c r="A96" s="3" t="s">
        <v>893</v>
      </c>
      <c r="B96" s="3" t="s">
        <v>1021</v>
      </c>
      <c r="D96" s="26" t="s">
        <v>894</v>
      </c>
      <c r="E96" s="27">
        <v>4750</v>
      </c>
      <c r="F96" s="27">
        <v>3750</v>
      </c>
      <c r="G96" s="27">
        <v>3750</v>
      </c>
      <c r="H96" s="27">
        <v>3750</v>
      </c>
      <c r="I96" s="27">
        <v>3750</v>
      </c>
      <c r="J96" s="27">
        <v>10750</v>
      </c>
      <c r="K96" s="27">
        <v>8750</v>
      </c>
      <c r="L96" s="27">
        <v>7750</v>
      </c>
      <c r="M96" s="27">
        <v>6750</v>
      </c>
      <c r="N96" s="27">
        <v>3750</v>
      </c>
      <c r="O96" s="27">
        <v>3750</v>
      </c>
      <c r="P96" s="27">
        <v>3750</v>
      </c>
      <c r="Q96" s="3">
        <f t="shared" si="4"/>
        <v>65000</v>
      </c>
      <c r="R96" s="39">
        <f>Q96/[7]Summary!$Q$16</f>
        <v>3.5195501348990041E-3</v>
      </c>
      <c r="S96" s="35"/>
      <c r="T96" s="40" t="e">
        <f t="shared" si="5"/>
        <v>#DIV/0!</v>
      </c>
    </row>
    <row r="97" spans="1:20" s="3" customFormat="1" ht="24.95" customHeight="1">
      <c r="A97" s="3" t="s">
        <v>895</v>
      </c>
      <c r="B97" s="3" t="s">
        <v>1021</v>
      </c>
      <c r="D97" s="26" t="s">
        <v>896</v>
      </c>
      <c r="E97" s="27"/>
      <c r="F97" s="27"/>
      <c r="G97" s="27"/>
      <c r="H97" s="27"/>
      <c r="I97" s="27"/>
      <c r="J97" s="27"/>
      <c r="K97" s="27"/>
      <c r="L97" s="27"/>
      <c r="M97" s="27"/>
      <c r="N97" s="27"/>
      <c r="O97" s="27"/>
      <c r="P97" s="27"/>
      <c r="Q97" s="3">
        <f t="shared" si="4"/>
        <v>0</v>
      </c>
      <c r="R97" s="39">
        <f>Q97/[7]Summary!$Q$16</f>
        <v>0</v>
      </c>
      <c r="S97" s="35"/>
      <c r="T97" s="40">
        <f t="shared" si="5"/>
        <v>0</v>
      </c>
    </row>
    <row r="98" spans="1:20" s="3" customFormat="1" ht="24.95" hidden="1" customHeight="1">
      <c r="A98" s="3" t="s">
        <v>897</v>
      </c>
      <c r="B98" s="3" t="s">
        <v>1021</v>
      </c>
      <c r="D98" s="26" t="s">
        <v>898</v>
      </c>
      <c r="E98" s="27"/>
      <c r="F98" s="27"/>
      <c r="G98" s="27"/>
      <c r="H98" s="27"/>
      <c r="I98" s="27"/>
      <c r="J98" s="27"/>
      <c r="K98" s="27"/>
      <c r="L98" s="27"/>
      <c r="M98" s="27"/>
      <c r="N98" s="27"/>
      <c r="O98" s="27"/>
      <c r="P98" s="27"/>
      <c r="Q98" s="3">
        <f t="shared" si="4"/>
        <v>0</v>
      </c>
      <c r="R98" s="39">
        <f>Q98/[7]Summary!$Q$16</f>
        <v>0</v>
      </c>
      <c r="S98" s="35"/>
      <c r="T98" s="40">
        <f t="shared" si="5"/>
        <v>0</v>
      </c>
    </row>
    <row r="99" spans="1:20" s="3" customFormat="1" ht="24.95" hidden="1" customHeight="1">
      <c r="A99" s="3" t="s">
        <v>899</v>
      </c>
      <c r="B99" s="3" t="s">
        <v>1021</v>
      </c>
      <c r="D99" s="26" t="s">
        <v>900</v>
      </c>
      <c r="E99" s="27"/>
      <c r="F99" s="27"/>
      <c r="G99" s="27"/>
      <c r="H99" s="27"/>
      <c r="I99" s="27"/>
      <c r="J99" s="27"/>
      <c r="K99" s="27"/>
      <c r="L99" s="27"/>
      <c r="M99" s="27"/>
      <c r="N99" s="27"/>
      <c r="O99" s="27"/>
      <c r="P99" s="27"/>
      <c r="Q99" s="3">
        <f t="shared" si="4"/>
        <v>0</v>
      </c>
      <c r="R99" s="39">
        <f>Q99/[7]Summary!$Q$16</f>
        <v>0</v>
      </c>
      <c r="S99" s="35"/>
      <c r="T99" s="40">
        <f t="shared" si="5"/>
        <v>0</v>
      </c>
    </row>
    <row r="100" spans="1:20" s="3" customFormat="1" ht="24.95" hidden="1" customHeight="1">
      <c r="A100" s="3" t="s">
        <v>901</v>
      </c>
      <c r="B100" s="3" t="s">
        <v>1021</v>
      </c>
      <c r="D100" s="26" t="s">
        <v>902</v>
      </c>
      <c r="E100" s="27"/>
      <c r="F100" s="27"/>
      <c r="G100" s="27"/>
      <c r="H100" s="27"/>
      <c r="I100" s="27"/>
      <c r="J100" s="27"/>
      <c r="K100" s="27"/>
      <c r="L100" s="27"/>
      <c r="M100" s="27"/>
      <c r="N100" s="27"/>
      <c r="O100" s="27"/>
      <c r="P100" s="27"/>
      <c r="Q100" s="3">
        <f t="shared" si="4"/>
        <v>0</v>
      </c>
      <c r="R100" s="39">
        <f>Q100/[7]Summary!$Q$16</f>
        <v>0</v>
      </c>
      <c r="S100" s="35"/>
      <c r="T100" s="40">
        <f t="shared" si="5"/>
        <v>0</v>
      </c>
    </row>
    <row r="101" spans="1:20" s="3" customFormat="1" ht="24.95" hidden="1" customHeight="1">
      <c r="A101" s="3" t="s">
        <v>903</v>
      </c>
      <c r="B101" s="3" t="s">
        <v>1021</v>
      </c>
      <c r="D101" s="26" t="s">
        <v>904</v>
      </c>
      <c r="E101" s="27"/>
      <c r="F101" s="27"/>
      <c r="G101" s="27"/>
      <c r="H101" s="27"/>
      <c r="I101" s="27"/>
      <c r="J101" s="27"/>
      <c r="K101" s="27"/>
      <c r="L101" s="27"/>
      <c r="M101" s="27"/>
      <c r="N101" s="27"/>
      <c r="O101" s="27"/>
      <c r="P101" s="27"/>
      <c r="Q101" s="3">
        <f t="shared" si="4"/>
        <v>0</v>
      </c>
      <c r="R101" s="39">
        <f>Q101/[7]Summary!$Q$16</f>
        <v>0</v>
      </c>
      <c r="S101" s="35"/>
      <c r="T101" s="40">
        <f t="shared" si="5"/>
        <v>0</v>
      </c>
    </row>
    <row r="102" spans="1:20" s="3" customFormat="1" ht="24.95" hidden="1" customHeight="1">
      <c r="A102" s="3" t="s">
        <v>905</v>
      </c>
      <c r="B102" s="3" t="s">
        <v>1021</v>
      </c>
      <c r="D102" s="26" t="s">
        <v>906</v>
      </c>
      <c r="E102" s="27"/>
      <c r="F102" s="27"/>
      <c r="G102" s="27"/>
      <c r="H102" s="27"/>
      <c r="I102" s="27"/>
      <c r="J102" s="27"/>
      <c r="K102" s="27"/>
      <c r="L102" s="27"/>
      <c r="M102" s="27"/>
      <c r="N102" s="27"/>
      <c r="O102" s="27"/>
      <c r="P102" s="27"/>
      <c r="Q102" s="3">
        <f t="shared" si="4"/>
        <v>0</v>
      </c>
      <c r="R102" s="39">
        <f>Q102/[7]Summary!$Q$16</f>
        <v>0</v>
      </c>
      <c r="S102" s="35"/>
      <c r="T102" s="40">
        <f t="shared" si="5"/>
        <v>0</v>
      </c>
    </row>
    <row r="103" spans="1:20" s="3" customFormat="1" ht="24.95" hidden="1" customHeight="1">
      <c r="A103" s="3" t="s">
        <v>907</v>
      </c>
      <c r="B103" s="3" t="s">
        <v>1021</v>
      </c>
      <c r="D103" s="26" t="s">
        <v>908</v>
      </c>
      <c r="E103" s="27"/>
      <c r="F103" s="27"/>
      <c r="G103" s="27"/>
      <c r="H103" s="27"/>
      <c r="I103" s="27"/>
      <c r="J103" s="27"/>
      <c r="K103" s="27"/>
      <c r="L103" s="27"/>
      <c r="M103" s="27"/>
      <c r="N103" s="27"/>
      <c r="O103" s="27"/>
      <c r="P103" s="27"/>
      <c r="Q103" s="3">
        <f t="shared" si="4"/>
        <v>0</v>
      </c>
      <c r="R103" s="39">
        <f>Q103/[7]Summary!$Q$16</f>
        <v>0</v>
      </c>
      <c r="S103" s="35"/>
      <c r="T103" s="40">
        <f t="shared" si="5"/>
        <v>0</v>
      </c>
    </row>
    <row r="104" spans="1:20" s="3" customFormat="1" ht="24.95" hidden="1" customHeight="1">
      <c r="A104" s="3" t="s">
        <v>909</v>
      </c>
      <c r="B104" s="3" t="s">
        <v>1021</v>
      </c>
      <c r="D104" s="26" t="s">
        <v>910</v>
      </c>
      <c r="E104" s="27"/>
      <c r="F104" s="27"/>
      <c r="G104" s="27"/>
      <c r="H104" s="27"/>
      <c r="I104" s="27"/>
      <c r="J104" s="27"/>
      <c r="K104" s="27"/>
      <c r="L104" s="27"/>
      <c r="M104" s="27"/>
      <c r="N104" s="27"/>
      <c r="O104" s="27"/>
      <c r="P104" s="27"/>
      <c r="Q104" s="3">
        <f t="shared" si="4"/>
        <v>0</v>
      </c>
      <c r="R104" s="39">
        <f>Q104/[7]Summary!$Q$16</f>
        <v>0</v>
      </c>
      <c r="S104" s="35"/>
      <c r="T104" s="40">
        <f t="shared" si="5"/>
        <v>0</v>
      </c>
    </row>
    <row r="105" spans="1:20" s="3" customFormat="1" ht="24.95" hidden="1" customHeight="1">
      <c r="A105" s="3" t="s">
        <v>911</v>
      </c>
      <c r="B105" s="3" t="s">
        <v>1021</v>
      </c>
      <c r="D105" s="26" t="s">
        <v>912</v>
      </c>
      <c r="E105" s="27"/>
      <c r="F105" s="27"/>
      <c r="G105" s="27"/>
      <c r="H105" s="27"/>
      <c r="I105" s="27"/>
      <c r="J105" s="27"/>
      <c r="K105" s="27"/>
      <c r="L105" s="27"/>
      <c r="M105" s="27"/>
      <c r="N105" s="27"/>
      <c r="O105" s="27"/>
      <c r="P105" s="27"/>
      <c r="Q105" s="3">
        <f t="shared" si="4"/>
        <v>0</v>
      </c>
      <c r="R105" s="39">
        <f>Q105/[7]Summary!$Q$16</f>
        <v>0</v>
      </c>
      <c r="S105" s="35"/>
      <c r="T105" s="40">
        <f t="shared" si="5"/>
        <v>0</v>
      </c>
    </row>
    <row r="106" spans="1:20" s="3" customFormat="1" ht="24.95" hidden="1" customHeight="1">
      <c r="A106" s="3" t="s">
        <v>913</v>
      </c>
      <c r="B106" s="3" t="s">
        <v>1021</v>
      </c>
      <c r="D106" s="26" t="s">
        <v>914</v>
      </c>
      <c r="E106" s="27"/>
      <c r="F106" s="27"/>
      <c r="G106" s="27"/>
      <c r="H106" s="27"/>
      <c r="I106" s="27"/>
      <c r="J106" s="27"/>
      <c r="K106" s="27"/>
      <c r="L106" s="27"/>
      <c r="M106" s="27"/>
      <c r="N106" s="27"/>
      <c r="O106" s="27"/>
      <c r="P106" s="27"/>
      <c r="Q106" s="3">
        <f t="shared" si="4"/>
        <v>0</v>
      </c>
      <c r="R106" s="39">
        <f>Q106/[7]Summary!$Q$16</f>
        <v>0</v>
      </c>
      <c r="S106" s="35"/>
      <c r="T106" s="40">
        <f t="shared" si="5"/>
        <v>0</v>
      </c>
    </row>
    <row r="107" spans="1:20" s="3" customFormat="1" ht="24.95" hidden="1" customHeight="1">
      <c r="A107" s="3" t="s">
        <v>915</v>
      </c>
      <c r="B107" s="3" t="s">
        <v>1021</v>
      </c>
      <c r="D107" s="26" t="s">
        <v>916</v>
      </c>
      <c r="E107" s="27"/>
      <c r="F107" s="27"/>
      <c r="G107" s="27"/>
      <c r="H107" s="27"/>
      <c r="I107" s="27"/>
      <c r="J107" s="27"/>
      <c r="K107" s="27"/>
      <c r="L107" s="27"/>
      <c r="M107" s="27"/>
      <c r="N107" s="27"/>
      <c r="O107" s="27"/>
      <c r="P107" s="27"/>
      <c r="Q107" s="3">
        <f t="shared" si="4"/>
        <v>0</v>
      </c>
      <c r="R107" s="39">
        <f>Q107/[7]Summary!$Q$16</f>
        <v>0</v>
      </c>
      <c r="S107" s="35"/>
      <c r="T107" s="40">
        <f t="shared" si="5"/>
        <v>0</v>
      </c>
    </row>
    <row r="108" spans="1:20" s="3" customFormat="1" ht="24.95" hidden="1" customHeight="1">
      <c r="A108" s="3" t="s">
        <v>917</v>
      </c>
      <c r="B108" s="3" t="s">
        <v>1021</v>
      </c>
      <c r="D108" s="26" t="s">
        <v>918</v>
      </c>
      <c r="E108" s="27"/>
      <c r="F108" s="27"/>
      <c r="G108" s="27"/>
      <c r="H108" s="27"/>
      <c r="I108" s="27"/>
      <c r="J108" s="27"/>
      <c r="K108" s="27"/>
      <c r="L108" s="27"/>
      <c r="M108" s="27"/>
      <c r="N108" s="27"/>
      <c r="O108" s="27"/>
      <c r="P108" s="27"/>
      <c r="Q108" s="3">
        <f t="shared" si="4"/>
        <v>0</v>
      </c>
      <c r="R108" s="39">
        <f>Q108/[7]Summary!$Q$16</f>
        <v>0</v>
      </c>
      <c r="S108" s="35"/>
      <c r="T108" s="40">
        <f t="shared" si="5"/>
        <v>0</v>
      </c>
    </row>
    <row r="109" spans="1:20" s="3" customFormat="1" ht="24.95" hidden="1" customHeight="1">
      <c r="A109" s="3" t="s">
        <v>919</v>
      </c>
      <c r="B109" s="3" t="s">
        <v>1021</v>
      </c>
      <c r="D109" s="26" t="s">
        <v>920</v>
      </c>
      <c r="E109" s="27"/>
      <c r="F109" s="27"/>
      <c r="G109" s="27"/>
      <c r="H109" s="27"/>
      <c r="I109" s="27"/>
      <c r="J109" s="27"/>
      <c r="K109" s="27"/>
      <c r="L109" s="27"/>
      <c r="M109" s="27"/>
      <c r="N109" s="27"/>
      <c r="O109" s="27"/>
      <c r="P109" s="27"/>
      <c r="Q109" s="3">
        <f t="shared" si="4"/>
        <v>0</v>
      </c>
      <c r="R109" s="39">
        <f>Q109/[7]Summary!$Q$16</f>
        <v>0</v>
      </c>
      <c r="S109" s="35"/>
      <c r="T109" s="40">
        <f t="shared" si="5"/>
        <v>0</v>
      </c>
    </row>
    <row r="110" spans="1:20" s="3" customFormat="1" ht="24.95" hidden="1" customHeight="1">
      <c r="A110" s="3" t="s">
        <v>921</v>
      </c>
      <c r="B110" s="3" t="s">
        <v>1021</v>
      </c>
      <c r="D110" s="26" t="s">
        <v>922</v>
      </c>
      <c r="E110" s="27"/>
      <c r="F110" s="27"/>
      <c r="G110" s="27"/>
      <c r="H110" s="27"/>
      <c r="I110" s="27"/>
      <c r="J110" s="27"/>
      <c r="K110" s="27"/>
      <c r="L110" s="27"/>
      <c r="M110" s="27"/>
      <c r="N110" s="27"/>
      <c r="O110" s="27"/>
      <c r="P110" s="27"/>
      <c r="Q110" s="3">
        <f t="shared" si="4"/>
        <v>0</v>
      </c>
      <c r="R110" s="39">
        <f>Q110/[7]Summary!$Q$16</f>
        <v>0</v>
      </c>
      <c r="S110" s="35"/>
      <c r="T110" s="40">
        <f t="shared" si="5"/>
        <v>0</v>
      </c>
    </row>
    <row r="111" spans="1:20" s="3" customFormat="1" ht="24.95" hidden="1" customHeight="1">
      <c r="A111" s="3" t="s">
        <v>923</v>
      </c>
      <c r="B111" s="3" t="s">
        <v>1021</v>
      </c>
      <c r="D111" s="26" t="s">
        <v>924</v>
      </c>
      <c r="E111" s="27"/>
      <c r="F111" s="27"/>
      <c r="G111" s="27"/>
      <c r="H111" s="27"/>
      <c r="I111" s="27"/>
      <c r="J111" s="27"/>
      <c r="K111" s="27"/>
      <c r="L111" s="27"/>
      <c r="M111" s="27"/>
      <c r="N111" s="27"/>
      <c r="O111" s="27"/>
      <c r="P111" s="27"/>
      <c r="Q111" s="3">
        <f t="shared" si="4"/>
        <v>0</v>
      </c>
      <c r="R111" s="39">
        <f>Q111/[7]Summary!$Q$16</f>
        <v>0</v>
      </c>
      <c r="S111" s="35"/>
      <c r="T111" s="40">
        <f t="shared" si="5"/>
        <v>0</v>
      </c>
    </row>
    <row r="112" spans="1:20" s="3" customFormat="1" ht="24.95" hidden="1" customHeight="1">
      <c r="A112" s="3" t="s">
        <v>925</v>
      </c>
      <c r="B112" s="3" t="s">
        <v>1021</v>
      </c>
      <c r="D112" s="26" t="s">
        <v>926</v>
      </c>
      <c r="E112" s="27"/>
      <c r="F112" s="27"/>
      <c r="G112" s="27"/>
      <c r="H112" s="27"/>
      <c r="I112" s="27"/>
      <c r="J112" s="27"/>
      <c r="K112" s="27"/>
      <c r="L112" s="27"/>
      <c r="M112" s="27"/>
      <c r="N112" s="27"/>
      <c r="O112" s="27"/>
      <c r="P112" s="27"/>
      <c r="Q112" s="3">
        <f t="shared" si="4"/>
        <v>0</v>
      </c>
      <c r="R112" s="39">
        <f>Q112/[7]Summary!$Q$16</f>
        <v>0</v>
      </c>
      <c r="S112" s="35"/>
      <c r="T112" s="40">
        <f t="shared" si="5"/>
        <v>0</v>
      </c>
    </row>
    <row r="113" spans="1:20" s="3" customFormat="1" ht="24.95" hidden="1" customHeight="1">
      <c r="A113" s="3" t="s">
        <v>927</v>
      </c>
      <c r="B113" s="3" t="s">
        <v>1021</v>
      </c>
      <c r="D113" s="26" t="s">
        <v>928</v>
      </c>
      <c r="E113" s="27"/>
      <c r="F113" s="27"/>
      <c r="G113" s="27"/>
      <c r="H113" s="27"/>
      <c r="I113" s="27"/>
      <c r="J113" s="27"/>
      <c r="K113" s="27"/>
      <c r="L113" s="27"/>
      <c r="M113" s="27"/>
      <c r="N113" s="27"/>
      <c r="O113" s="27"/>
      <c r="P113" s="27"/>
      <c r="Q113" s="3">
        <f t="shared" si="4"/>
        <v>0</v>
      </c>
      <c r="R113" s="39">
        <f>Q113/[7]Summary!$Q$16</f>
        <v>0</v>
      </c>
      <c r="S113" s="35"/>
      <c r="T113" s="40">
        <f t="shared" si="5"/>
        <v>0</v>
      </c>
    </row>
    <row r="114" spans="1:20" s="3" customFormat="1" ht="24.95" hidden="1" customHeight="1">
      <c r="A114" s="3" t="s">
        <v>929</v>
      </c>
      <c r="B114" s="3" t="s">
        <v>1021</v>
      </c>
      <c r="D114" s="26" t="s">
        <v>930</v>
      </c>
      <c r="E114" s="27"/>
      <c r="F114" s="27"/>
      <c r="G114" s="27"/>
      <c r="H114" s="27"/>
      <c r="I114" s="27"/>
      <c r="J114" s="27"/>
      <c r="K114" s="27"/>
      <c r="L114" s="27"/>
      <c r="M114" s="27"/>
      <c r="N114" s="27"/>
      <c r="O114" s="27"/>
      <c r="P114" s="27"/>
      <c r="Q114" s="3">
        <f t="shared" si="4"/>
        <v>0</v>
      </c>
      <c r="R114" s="39">
        <f>Q114/[7]Summary!$Q$16</f>
        <v>0</v>
      </c>
      <c r="S114" s="35"/>
      <c r="T114" s="40">
        <f t="shared" si="5"/>
        <v>0</v>
      </c>
    </row>
    <row r="115" spans="1:20" s="3" customFormat="1" ht="24.95" hidden="1" customHeight="1">
      <c r="A115" s="3" t="s">
        <v>931</v>
      </c>
      <c r="B115" s="3" t="s">
        <v>1021</v>
      </c>
      <c r="D115" s="26" t="s">
        <v>932</v>
      </c>
      <c r="E115" s="27"/>
      <c r="F115" s="27"/>
      <c r="G115" s="27"/>
      <c r="H115" s="27"/>
      <c r="I115" s="27"/>
      <c r="J115" s="27"/>
      <c r="K115" s="27"/>
      <c r="L115" s="27"/>
      <c r="M115" s="27"/>
      <c r="N115" s="27"/>
      <c r="O115" s="27"/>
      <c r="P115" s="27"/>
      <c r="Q115" s="3">
        <f t="shared" si="4"/>
        <v>0</v>
      </c>
      <c r="R115" s="39">
        <f>Q115/[7]Summary!$Q$16</f>
        <v>0</v>
      </c>
      <c r="S115" s="35"/>
      <c r="T115" s="40">
        <f t="shared" si="5"/>
        <v>0</v>
      </c>
    </row>
    <row r="116" spans="1:20" s="3" customFormat="1" ht="24.95" hidden="1" customHeight="1">
      <c r="A116" s="3" t="s">
        <v>933</v>
      </c>
      <c r="B116" s="3" t="s">
        <v>1021</v>
      </c>
      <c r="D116" s="26" t="s">
        <v>934</v>
      </c>
      <c r="E116" s="27"/>
      <c r="F116" s="27"/>
      <c r="G116" s="27"/>
      <c r="H116" s="27"/>
      <c r="I116" s="27"/>
      <c r="J116" s="27"/>
      <c r="K116" s="27"/>
      <c r="L116" s="27"/>
      <c r="M116" s="27"/>
      <c r="N116" s="27"/>
      <c r="O116" s="27"/>
      <c r="P116" s="27"/>
      <c r="Q116" s="3">
        <f t="shared" si="4"/>
        <v>0</v>
      </c>
      <c r="R116" s="39">
        <f>Q116/[7]Summary!$Q$16</f>
        <v>0</v>
      </c>
      <c r="S116" s="35"/>
      <c r="T116" s="40">
        <f t="shared" si="5"/>
        <v>0</v>
      </c>
    </row>
    <row r="117" spans="1:20" s="3" customFormat="1" ht="24.95" hidden="1" customHeight="1">
      <c r="A117" s="3" t="s">
        <v>935</v>
      </c>
      <c r="B117" s="3" t="s">
        <v>1021</v>
      </c>
      <c r="D117" s="26" t="s">
        <v>936</v>
      </c>
      <c r="E117" s="27"/>
      <c r="F117" s="27"/>
      <c r="G117" s="27"/>
      <c r="H117" s="27"/>
      <c r="I117" s="27"/>
      <c r="J117" s="27"/>
      <c r="K117" s="27"/>
      <c r="L117" s="27"/>
      <c r="M117" s="27"/>
      <c r="N117" s="27"/>
      <c r="O117" s="27"/>
      <c r="P117" s="27"/>
      <c r="Q117" s="3">
        <f t="shared" si="4"/>
        <v>0</v>
      </c>
      <c r="R117" s="39">
        <f>Q117/[7]Summary!$Q$16</f>
        <v>0</v>
      </c>
      <c r="S117" s="35"/>
      <c r="T117" s="40">
        <f t="shared" si="5"/>
        <v>0</v>
      </c>
    </row>
    <row r="118" spans="1:20" s="3" customFormat="1" ht="24.95" hidden="1" customHeight="1">
      <c r="A118" s="3" t="s">
        <v>937</v>
      </c>
      <c r="B118" s="3" t="s">
        <v>1021</v>
      </c>
      <c r="D118" s="26" t="s">
        <v>938</v>
      </c>
      <c r="E118" s="27"/>
      <c r="F118" s="27"/>
      <c r="G118" s="27"/>
      <c r="H118" s="27"/>
      <c r="I118" s="27"/>
      <c r="J118" s="27"/>
      <c r="K118" s="27"/>
      <c r="L118" s="27"/>
      <c r="M118" s="27"/>
      <c r="N118" s="27"/>
      <c r="O118" s="27"/>
      <c r="P118" s="27"/>
      <c r="Q118" s="3">
        <f t="shared" si="4"/>
        <v>0</v>
      </c>
      <c r="R118" s="39">
        <f>Q118/[7]Summary!$Q$16</f>
        <v>0</v>
      </c>
      <c r="S118" s="35"/>
      <c r="T118" s="40">
        <f t="shared" si="5"/>
        <v>0</v>
      </c>
    </row>
    <row r="119" spans="1:20" s="3" customFormat="1" ht="24.95" hidden="1" customHeight="1">
      <c r="A119" s="3" t="s">
        <v>939</v>
      </c>
      <c r="B119" s="3" t="s">
        <v>1021</v>
      </c>
      <c r="D119" s="26" t="s">
        <v>940</v>
      </c>
      <c r="E119" s="27"/>
      <c r="F119" s="27"/>
      <c r="G119" s="27"/>
      <c r="H119" s="27"/>
      <c r="I119" s="27"/>
      <c r="J119" s="27"/>
      <c r="K119" s="27"/>
      <c r="L119" s="27"/>
      <c r="M119" s="27"/>
      <c r="N119" s="27"/>
      <c r="O119" s="27"/>
      <c r="P119" s="27"/>
      <c r="Q119" s="3">
        <f t="shared" si="4"/>
        <v>0</v>
      </c>
      <c r="R119" s="39">
        <f>Q119/[7]Summary!$Q$16</f>
        <v>0</v>
      </c>
      <c r="S119" s="35"/>
      <c r="T119" s="40">
        <f t="shared" si="5"/>
        <v>0</v>
      </c>
    </row>
    <row r="120" spans="1:20" s="3" customFormat="1" ht="24.95" hidden="1" customHeight="1">
      <c r="A120" s="3" t="s">
        <v>941</v>
      </c>
      <c r="B120" s="3" t="s">
        <v>1021</v>
      </c>
      <c r="D120" s="26" t="s">
        <v>942</v>
      </c>
      <c r="E120" s="27"/>
      <c r="F120" s="27"/>
      <c r="G120" s="27"/>
      <c r="H120" s="27"/>
      <c r="I120" s="27"/>
      <c r="J120" s="27"/>
      <c r="K120" s="27"/>
      <c r="L120" s="27"/>
      <c r="M120" s="27"/>
      <c r="N120" s="27"/>
      <c r="O120" s="27"/>
      <c r="P120" s="27"/>
      <c r="Q120" s="3">
        <f t="shared" si="4"/>
        <v>0</v>
      </c>
      <c r="R120" s="39">
        <f>Q120/[7]Summary!$Q$16</f>
        <v>0</v>
      </c>
      <c r="S120" s="35"/>
      <c r="T120" s="40">
        <f t="shared" si="5"/>
        <v>0</v>
      </c>
    </row>
    <row r="121" spans="1:20" s="3" customFormat="1" ht="24.95" hidden="1" customHeight="1">
      <c r="A121" s="3" t="s">
        <v>943</v>
      </c>
      <c r="B121" s="3" t="s">
        <v>1021</v>
      </c>
      <c r="D121" s="26" t="s">
        <v>944</v>
      </c>
      <c r="E121" s="27"/>
      <c r="F121" s="27"/>
      <c r="G121" s="27"/>
      <c r="H121" s="27"/>
      <c r="I121" s="27"/>
      <c r="J121" s="27"/>
      <c r="K121" s="27"/>
      <c r="L121" s="27"/>
      <c r="M121" s="27"/>
      <c r="N121" s="27"/>
      <c r="O121" s="27"/>
      <c r="P121" s="27"/>
      <c r="Q121" s="3">
        <f t="shared" si="4"/>
        <v>0</v>
      </c>
      <c r="R121" s="39">
        <f>Q121/[7]Summary!$Q$16</f>
        <v>0</v>
      </c>
      <c r="S121" s="35"/>
      <c r="T121" s="40">
        <f t="shared" si="5"/>
        <v>0</v>
      </c>
    </row>
    <row r="122" spans="1:20" s="3" customFormat="1" ht="24.95" hidden="1" customHeight="1">
      <c r="A122" s="3" t="s">
        <v>945</v>
      </c>
      <c r="B122" s="3" t="s">
        <v>1021</v>
      </c>
      <c r="D122" s="26" t="s">
        <v>946</v>
      </c>
      <c r="E122" s="27"/>
      <c r="F122" s="27"/>
      <c r="G122" s="27"/>
      <c r="H122" s="27"/>
      <c r="I122" s="27"/>
      <c r="J122" s="27"/>
      <c r="K122" s="27"/>
      <c r="L122" s="27"/>
      <c r="M122" s="27"/>
      <c r="N122" s="27"/>
      <c r="O122" s="27"/>
      <c r="P122" s="27"/>
      <c r="Q122" s="3">
        <f t="shared" si="4"/>
        <v>0</v>
      </c>
      <c r="R122" s="39">
        <f>Q122/[7]Summary!$Q$16</f>
        <v>0</v>
      </c>
      <c r="S122" s="35"/>
      <c r="T122" s="40">
        <f t="shared" si="5"/>
        <v>0</v>
      </c>
    </row>
    <row r="123" spans="1:20" s="3" customFormat="1" ht="24.95" hidden="1" customHeight="1">
      <c r="A123" s="3" t="s">
        <v>947</v>
      </c>
      <c r="B123" s="3" t="s">
        <v>1021</v>
      </c>
      <c r="D123" s="26" t="s">
        <v>948</v>
      </c>
      <c r="E123" s="27"/>
      <c r="F123" s="27"/>
      <c r="G123" s="27"/>
      <c r="H123" s="27"/>
      <c r="I123" s="27"/>
      <c r="J123" s="27"/>
      <c r="K123" s="27"/>
      <c r="L123" s="27"/>
      <c r="M123" s="27"/>
      <c r="N123" s="27"/>
      <c r="O123" s="27"/>
      <c r="P123" s="27"/>
      <c r="Q123" s="3">
        <f t="shared" si="4"/>
        <v>0</v>
      </c>
      <c r="R123" s="39">
        <f>Q123/[7]Summary!$Q$16</f>
        <v>0</v>
      </c>
      <c r="S123" s="35"/>
      <c r="T123" s="40">
        <f t="shared" si="5"/>
        <v>0</v>
      </c>
    </row>
    <row r="124" spans="1:20" s="3" customFormat="1" ht="24.95" hidden="1" customHeight="1">
      <c r="A124" s="3" t="s">
        <v>949</v>
      </c>
      <c r="B124" s="3" t="s">
        <v>1021</v>
      </c>
      <c r="D124" s="26" t="s">
        <v>950</v>
      </c>
      <c r="E124" s="27"/>
      <c r="F124" s="27"/>
      <c r="G124" s="27"/>
      <c r="H124" s="27"/>
      <c r="I124" s="27"/>
      <c r="J124" s="27"/>
      <c r="K124" s="27"/>
      <c r="L124" s="27"/>
      <c r="M124" s="27"/>
      <c r="N124" s="27"/>
      <c r="O124" s="27"/>
      <c r="P124" s="27"/>
      <c r="Q124" s="3">
        <f t="shared" si="4"/>
        <v>0</v>
      </c>
      <c r="R124" s="39">
        <f>Q124/[7]Summary!$Q$16</f>
        <v>0</v>
      </c>
      <c r="S124" s="35"/>
      <c r="T124" s="40">
        <f t="shared" si="5"/>
        <v>0</v>
      </c>
    </row>
    <row r="125" spans="1:20" s="3" customFormat="1" ht="24.95" hidden="1" customHeight="1">
      <c r="A125" s="3" t="s">
        <v>951</v>
      </c>
      <c r="B125" s="3" t="s">
        <v>1021</v>
      </c>
      <c r="D125" s="26" t="s">
        <v>952</v>
      </c>
      <c r="E125" s="27"/>
      <c r="F125" s="27"/>
      <c r="G125" s="27"/>
      <c r="H125" s="27"/>
      <c r="I125" s="27"/>
      <c r="J125" s="27"/>
      <c r="K125" s="27"/>
      <c r="L125" s="27"/>
      <c r="M125" s="27"/>
      <c r="N125" s="27"/>
      <c r="O125" s="27"/>
      <c r="P125" s="27"/>
      <c r="Q125" s="3">
        <f t="shared" si="4"/>
        <v>0</v>
      </c>
      <c r="R125" s="39">
        <f>Q125/[7]Summary!$Q$16</f>
        <v>0</v>
      </c>
      <c r="S125" s="35"/>
      <c r="T125" s="40">
        <f t="shared" si="5"/>
        <v>0</v>
      </c>
    </row>
    <row r="126" spans="1:20" s="3" customFormat="1" ht="24.95" hidden="1" customHeight="1">
      <c r="A126" s="3" t="s">
        <v>953</v>
      </c>
      <c r="B126" s="3" t="s">
        <v>1021</v>
      </c>
      <c r="D126" s="26" t="s">
        <v>954</v>
      </c>
      <c r="E126" s="27"/>
      <c r="F126" s="27"/>
      <c r="G126" s="27"/>
      <c r="H126" s="27"/>
      <c r="I126" s="27"/>
      <c r="J126" s="27"/>
      <c r="K126" s="27"/>
      <c r="L126" s="27"/>
      <c r="M126" s="27"/>
      <c r="N126" s="27"/>
      <c r="O126" s="27"/>
      <c r="P126" s="27"/>
      <c r="Q126" s="3">
        <f t="shared" si="4"/>
        <v>0</v>
      </c>
      <c r="R126" s="39">
        <f>Q126/[7]Summary!$Q$16</f>
        <v>0</v>
      </c>
      <c r="S126" s="35"/>
      <c r="T126" s="40">
        <f t="shared" si="5"/>
        <v>0</v>
      </c>
    </row>
    <row r="127" spans="1:20" s="3" customFormat="1" ht="24.95" hidden="1" customHeight="1">
      <c r="A127" s="3" t="s">
        <v>955</v>
      </c>
      <c r="B127" s="3" t="s">
        <v>1021</v>
      </c>
      <c r="D127" s="26" t="s">
        <v>956</v>
      </c>
      <c r="E127" s="27"/>
      <c r="F127" s="27"/>
      <c r="G127" s="27"/>
      <c r="H127" s="27"/>
      <c r="I127" s="27"/>
      <c r="J127" s="27"/>
      <c r="K127" s="27"/>
      <c r="L127" s="27"/>
      <c r="M127" s="27"/>
      <c r="N127" s="27"/>
      <c r="O127" s="27"/>
      <c r="P127" s="27"/>
      <c r="Q127" s="3">
        <f t="shared" si="4"/>
        <v>0</v>
      </c>
      <c r="R127" s="39">
        <f>Q127/[7]Summary!$Q$16</f>
        <v>0</v>
      </c>
      <c r="S127" s="35"/>
      <c r="T127" s="40">
        <f t="shared" si="5"/>
        <v>0</v>
      </c>
    </row>
    <row r="128" spans="1:20" s="3" customFormat="1" ht="24.95" hidden="1" customHeight="1">
      <c r="A128" s="3" t="s">
        <v>957</v>
      </c>
      <c r="B128" s="3" t="s">
        <v>1021</v>
      </c>
      <c r="D128" s="26" t="s">
        <v>958</v>
      </c>
      <c r="E128" s="27"/>
      <c r="F128" s="27"/>
      <c r="G128" s="27"/>
      <c r="H128" s="27"/>
      <c r="I128" s="27"/>
      <c r="J128" s="27"/>
      <c r="K128" s="27"/>
      <c r="L128" s="27"/>
      <c r="M128" s="27"/>
      <c r="N128" s="27"/>
      <c r="O128" s="27"/>
      <c r="P128" s="27"/>
      <c r="Q128" s="3">
        <f t="shared" si="4"/>
        <v>0</v>
      </c>
      <c r="R128" s="39">
        <f>Q128/[7]Summary!$Q$16</f>
        <v>0</v>
      </c>
      <c r="S128" s="35"/>
      <c r="T128" s="40">
        <f t="shared" si="5"/>
        <v>0</v>
      </c>
    </row>
    <row r="129" spans="1:20" s="3" customFormat="1" ht="24.95" hidden="1" customHeight="1">
      <c r="A129" s="3" t="s">
        <v>959</v>
      </c>
      <c r="B129" s="3" t="s">
        <v>1021</v>
      </c>
      <c r="D129" s="26" t="s">
        <v>960</v>
      </c>
      <c r="E129" s="27"/>
      <c r="F129" s="27"/>
      <c r="G129" s="27"/>
      <c r="H129" s="27"/>
      <c r="I129" s="27"/>
      <c r="J129" s="27"/>
      <c r="K129" s="27"/>
      <c r="L129" s="27"/>
      <c r="M129" s="27"/>
      <c r="N129" s="27"/>
      <c r="O129" s="27"/>
      <c r="P129" s="27"/>
      <c r="Q129" s="3">
        <f t="shared" si="4"/>
        <v>0</v>
      </c>
      <c r="R129" s="39">
        <f>Q129/[7]Summary!$Q$16</f>
        <v>0</v>
      </c>
      <c r="S129" s="35"/>
      <c r="T129" s="40">
        <f t="shared" si="5"/>
        <v>0</v>
      </c>
    </row>
    <row r="130" spans="1:20" s="3" customFormat="1" ht="24.95" hidden="1" customHeight="1">
      <c r="A130" s="3" t="s">
        <v>961</v>
      </c>
      <c r="B130" s="3" t="s">
        <v>1021</v>
      </c>
      <c r="D130" s="26" t="s">
        <v>962</v>
      </c>
      <c r="E130" s="27"/>
      <c r="F130" s="27"/>
      <c r="G130" s="27"/>
      <c r="H130" s="27"/>
      <c r="I130" s="27"/>
      <c r="J130" s="27"/>
      <c r="K130" s="27"/>
      <c r="L130" s="27"/>
      <c r="M130" s="27"/>
      <c r="N130" s="27"/>
      <c r="O130" s="27"/>
      <c r="P130" s="27"/>
      <c r="Q130" s="3">
        <f t="shared" si="4"/>
        <v>0</v>
      </c>
      <c r="R130" s="39">
        <f>Q130/[7]Summary!$Q$16</f>
        <v>0</v>
      </c>
      <c r="S130" s="35"/>
      <c r="T130" s="40">
        <f t="shared" si="5"/>
        <v>0</v>
      </c>
    </row>
    <row r="131" spans="1:20" s="3" customFormat="1" ht="24.95" hidden="1" customHeight="1">
      <c r="A131" s="3" t="s">
        <v>963</v>
      </c>
      <c r="B131" s="3" t="s">
        <v>1021</v>
      </c>
      <c r="D131" s="26" t="s">
        <v>964</v>
      </c>
      <c r="E131" s="27"/>
      <c r="F131" s="27"/>
      <c r="G131" s="27"/>
      <c r="H131" s="27"/>
      <c r="I131" s="27"/>
      <c r="J131" s="27"/>
      <c r="K131" s="27"/>
      <c r="L131" s="27"/>
      <c r="M131" s="27"/>
      <c r="N131" s="27"/>
      <c r="O131" s="27"/>
      <c r="P131" s="27"/>
      <c r="Q131" s="3">
        <f t="shared" si="4"/>
        <v>0</v>
      </c>
      <c r="R131" s="39">
        <f>Q131/[7]Summary!$Q$16</f>
        <v>0</v>
      </c>
      <c r="S131" s="35"/>
      <c r="T131" s="40">
        <f t="shared" si="5"/>
        <v>0</v>
      </c>
    </row>
    <row r="132" spans="1:20" s="3" customFormat="1" ht="24.95" hidden="1" customHeight="1">
      <c r="A132" s="3" t="s">
        <v>965</v>
      </c>
      <c r="B132" s="3" t="s">
        <v>1021</v>
      </c>
      <c r="D132" s="26" t="s">
        <v>966</v>
      </c>
      <c r="E132" s="27"/>
      <c r="F132" s="27"/>
      <c r="G132" s="27"/>
      <c r="H132" s="27"/>
      <c r="I132" s="27"/>
      <c r="J132" s="27"/>
      <c r="K132" s="27"/>
      <c r="L132" s="27"/>
      <c r="M132" s="27"/>
      <c r="N132" s="27"/>
      <c r="O132" s="27"/>
      <c r="P132" s="27"/>
      <c r="Q132" s="3">
        <f t="shared" si="4"/>
        <v>0</v>
      </c>
      <c r="R132" s="39">
        <f>Q132/[7]Summary!$Q$16</f>
        <v>0</v>
      </c>
      <c r="S132" s="35"/>
      <c r="T132" s="40">
        <f t="shared" si="5"/>
        <v>0</v>
      </c>
    </row>
    <row r="133" spans="1:20" s="3" customFormat="1" ht="24.95" hidden="1" customHeight="1">
      <c r="A133" s="3" t="s">
        <v>967</v>
      </c>
      <c r="B133" s="3" t="s">
        <v>1021</v>
      </c>
      <c r="D133" s="26" t="s">
        <v>968</v>
      </c>
      <c r="E133" s="27"/>
      <c r="F133" s="27"/>
      <c r="G133" s="27"/>
      <c r="H133" s="27"/>
      <c r="I133" s="27"/>
      <c r="J133" s="27"/>
      <c r="K133" s="27"/>
      <c r="L133" s="27"/>
      <c r="M133" s="27"/>
      <c r="N133" s="27"/>
      <c r="O133" s="27"/>
      <c r="P133" s="27"/>
      <c r="Q133" s="3">
        <f t="shared" si="4"/>
        <v>0</v>
      </c>
      <c r="R133" s="39">
        <f>Q133/[7]Summary!$Q$16</f>
        <v>0</v>
      </c>
      <c r="S133" s="35"/>
      <c r="T133" s="40">
        <f t="shared" si="5"/>
        <v>0</v>
      </c>
    </row>
    <row r="134" spans="1:20" s="3" customFormat="1" ht="24.95" hidden="1" customHeight="1">
      <c r="A134" s="3" t="s">
        <v>969</v>
      </c>
      <c r="B134" s="3" t="s">
        <v>1021</v>
      </c>
      <c r="D134" s="26" t="s">
        <v>970</v>
      </c>
      <c r="E134" s="27"/>
      <c r="F134" s="27"/>
      <c r="G134" s="27"/>
      <c r="H134" s="27"/>
      <c r="I134" s="27"/>
      <c r="J134" s="27"/>
      <c r="K134" s="27"/>
      <c r="L134" s="27"/>
      <c r="M134" s="27"/>
      <c r="N134" s="27"/>
      <c r="O134" s="27"/>
      <c r="P134" s="27"/>
      <c r="Q134" s="3">
        <f t="shared" si="4"/>
        <v>0</v>
      </c>
      <c r="R134" s="39">
        <f>Q134/[7]Summary!$Q$16</f>
        <v>0</v>
      </c>
      <c r="S134" s="35"/>
      <c r="T134" s="40">
        <f t="shared" si="5"/>
        <v>0</v>
      </c>
    </row>
    <row r="135" spans="1:20" s="3" customFormat="1" ht="24.95" hidden="1" customHeight="1">
      <c r="A135" s="3" t="s">
        <v>971</v>
      </c>
      <c r="B135" s="3" t="s">
        <v>1021</v>
      </c>
      <c r="D135" s="26" t="s">
        <v>972</v>
      </c>
      <c r="E135" s="27"/>
      <c r="F135" s="27"/>
      <c r="G135" s="27"/>
      <c r="H135" s="27"/>
      <c r="I135" s="27"/>
      <c r="J135" s="27"/>
      <c r="K135" s="27"/>
      <c r="L135" s="27"/>
      <c r="M135" s="27"/>
      <c r="N135" s="27"/>
      <c r="O135" s="27"/>
      <c r="P135" s="27"/>
      <c r="Q135" s="3">
        <f t="shared" si="4"/>
        <v>0</v>
      </c>
      <c r="R135" s="39">
        <f>Q135/[7]Summary!$Q$16</f>
        <v>0</v>
      </c>
      <c r="S135" s="35"/>
      <c r="T135" s="40">
        <f t="shared" si="5"/>
        <v>0</v>
      </c>
    </row>
    <row r="136" spans="1:20" s="3" customFormat="1" ht="24.95" hidden="1" customHeight="1">
      <c r="A136" s="3" t="s">
        <v>973</v>
      </c>
      <c r="B136" s="3" t="s">
        <v>1021</v>
      </c>
      <c r="D136" s="26" t="s">
        <v>974</v>
      </c>
      <c r="E136" s="27"/>
      <c r="F136" s="27"/>
      <c r="G136" s="27"/>
      <c r="H136" s="27"/>
      <c r="I136" s="27"/>
      <c r="J136" s="27"/>
      <c r="K136" s="27"/>
      <c r="L136" s="27"/>
      <c r="M136" s="27"/>
      <c r="N136" s="27"/>
      <c r="O136" s="27"/>
      <c r="P136" s="27"/>
      <c r="Q136" s="3">
        <f t="shared" si="4"/>
        <v>0</v>
      </c>
      <c r="R136" s="39">
        <f>Q136/[7]Summary!$Q$16</f>
        <v>0</v>
      </c>
      <c r="S136" s="35"/>
      <c r="T136" s="40">
        <f t="shared" si="5"/>
        <v>0</v>
      </c>
    </row>
    <row r="137" spans="1:20" s="3" customFormat="1" ht="24.95" hidden="1" customHeight="1">
      <c r="A137" s="3" t="s">
        <v>975</v>
      </c>
      <c r="B137" s="3" t="s">
        <v>1021</v>
      </c>
      <c r="D137" s="26" t="s">
        <v>976</v>
      </c>
      <c r="E137" s="27"/>
      <c r="F137" s="27"/>
      <c r="G137" s="27"/>
      <c r="H137" s="27"/>
      <c r="I137" s="27"/>
      <c r="J137" s="27"/>
      <c r="K137" s="27"/>
      <c r="L137" s="27"/>
      <c r="M137" s="27"/>
      <c r="N137" s="27"/>
      <c r="O137" s="27"/>
      <c r="P137" s="27"/>
      <c r="Q137" s="3">
        <f t="shared" si="4"/>
        <v>0</v>
      </c>
      <c r="R137" s="39">
        <f>Q137/[7]Summary!$Q$16</f>
        <v>0</v>
      </c>
      <c r="S137" s="35"/>
      <c r="T137" s="40">
        <f t="shared" si="5"/>
        <v>0</v>
      </c>
    </row>
    <row r="138" spans="1:20" s="3" customFormat="1" ht="24.95" hidden="1" customHeight="1">
      <c r="A138" s="3" t="s">
        <v>977</v>
      </c>
      <c r="B138" s="3" t="s">
        <v>1021</v>
      </c>
      <c r="D138" s="26" t="s">
        <v>978</v>
      </c>
      <c r="E138" s="27"/>
      <c r="F138" s="27"/>
      <c r="G138" s="27"/>
      <c r="H138" s="27"/>
      <c r="I138" s="27"/>
      <c r="J138" s="27"/>
      <c r="K138" s="27"/>
      <c r="L138" s="27"/>
      <c r="M138" s="27"/>
      <c r="N138" s="27"/>
      <c r="O138" s="27"/>
      <c r="P138" s="27"/>
      <c r="Q138" s="3">
        <f t="shared" si="4"/>
        <v>0</v>
      </c>
      <c r="R138" s="39">
        <f>Q138/[7]Summary!$Q$16</f>
        <v>0</v>
      </c>
      <c r="S138" s="35"/>
      <c r="T138" s="40">
        <f t="shared" si="5"/>
        <v>0</v>
      </c>
    </row>
    <row r="139" spans="1:20" s="3" customFormat="1" ht="24.95" hidden="1" customHeight="1">
      <c r="A139" s="3" t="s">
        <v>979</v>
      </c>
      <c r="B139" s="3" t="s">
        <v>1021</v>
      </c>
      <c r="D139" s="26" t="s">
        <v>980</v>
      </c>
      <c r="E139" s="27"/>
      <c r="F139" s="27"/>
      <c r="G139" s="27"/>
      <c r="H139" s="27"/>
      <c r="I139" s="27"/>
      <c r="J139" s="27"/>
      <c r="K139" s="27"/>
      <c r="L139" s="27"/>
      <c r="M139" s="27"/>
      <c r="N139" s="27"/>
      <c r="O139" s="27"/>
      <c r="P139" s="27"/>
      <c r="Q139" s="3">
        <f t="shared" si="4"/>
        <v>0</v>
      </c>
      <c r="R139" s="39">
        <f>Q139/[7]Summary!$Q$16</f>
        <v>0</v>
      </c>
      <c r="S139" s="35"/>
      <c r="T139" s="40">
        <f t="shared" si="5"/>
        <v>0</v>
      </c>
    </row>
    <row r="140" spans="1:20" s="3" customFormat="1" ht="24.95" hidden="1" customHeight="1">
      <c r="A140" s="3" t="s">
        <v>981</v>
      </c>
      <c r="B140" s="3" t="s">
        <v>1021</v>
      </c>
      <c r="D140" s="26" t="s">
        <v>982</v>
      </c>
      <c r="E140" s="27"/>
      <c r="F140" s="27"/>
      <c r="G140" s="27"/>
      <c r="H140" s="27"/>
      <c r="I140" s="27"/>
      <c r="J140" s="27"/>
      <c r="K140" s="27"/>
      <c r="L140" s="27"/>
      <c r="M140" s="27"/>
      <c r="N140" s="27"/>
      <c r="O140" s="27"/>
      <c r="P140" s="27"/>
      <c r="Q140" s="3">
        <f t="shared" si="4"/>
        <v>0</v>
      </c>
      <c r="R140" s="39">
        <f>Q140/[7]Summary!$Q$16</f>
        <v>0</v>
      </c>
      <c r="S140" s="35"/>
      <c r="T140" s="40">
        <f t="shared" si="5"/>
        <v>0</v>
      </c>
    </row>
    <row r="141" spans="1:20" s="3" customFormat="1" ht="24.95" hidden="1" customHeight="1">
      <c r="A141" s="3" t="s">
        <v>983</v>
      </c>
      <c r="B141" s="3" t="s">
        <v>1021</v>
      </c>
      <c r="D141" s="26" t="s">
        <v>984</v>
      </c>
      <c r="E141" s="27"/>
      <c r="F141" s="27"/>
      <c r="G141" s="27"/>
      <c r="H141" s="27"/>
      <c r="I141" s="27"/>
      <c r="J141" s="27"/>
      <c r="K141" s="27"/>
      <c r="L141" s="27"/>
      <c r="M141" s="27"/>
      <c r="N141" s="27"/>
      <c r="O141" s="27"/>
      <c r="P141" s="27"/>
      <c r="Q141" s="3">
        <f t="shared" si="4"/>
        <v>0</v>
      </c>
      <c r="R141" s="39">
        <f>Q141/[7]Summary!$Q$16</f>
        <v>0</v>
      </c>
      <c r="S141" s="35"/>
      <c r="T141" s="40">
        <f t="shared" si="5"/>
        <v>0</v>
      </c>
    </row>
    <row r="142" spans="1:20" s="3" customFormat="1" ht="24.95" hidden="1" customHeight="1">
      <c r="A142" s="3" t="s">
        <v>985</v>
      </c>
      <c r="B142" s="3" t="s">
        <v>1021</v>
      </c>
      <c r="D142" s="26" t="s">
        <v>986</v>
      </c>
      <c r="E142" s="27"/>
      <c r="F142" s="27"/>
      <c r="G142" s="27"/>
      <c r="H142" s="27"/>
      <c r="I142" s="27"/>
      <c r="J142" s="27"/>
      <c r="K142" s="27"/>
      <c r="L142" s="27"/>
      <c r="M142" s="27"/>
      <c r="N142" s="27"/>
      <c r="O142" s="27"/>
      <c r="P142" s="27"/>
      <c r="Q142" s="3">
        <f t="shared" si="4"/>
        <v>0</v>
      </c>
      <c r="R142" s="39">
        <f>Q142/[7]Summary!$Q$16</f>
        <v>0</v>
      </c>
      <c r="S142" s="35"/>
      <c r="T142" s="40">
        <f t="shared" si="5"/>
        <v>0</v>
      </c>
    </row>
    <row r="143" spans="1:20" s="3" customFormat="1" ht="24.95" hidden="1" customHeight="1">
      <c r="A143" s="3" t="s">
        <v>987</v>
      </c>
      <c r="B143" s="3" t="s">
        <v>1021</v>
      </c>
      <c r="D143" s="26" t="s">
        <v>988</v>
      </c>
      <c r="E143" s="27"/>
      <c r="F143" s="27"/>
      <c r="G143" s="27"/>
      <c r="H143" s="27"/>
      <c r="I143" s="27"/>
      <c r="J143" s="27"/>
      <c r="K143" s="27"/>
      <c r="L143" s="27"/>
      <c r="M143" s="27"/>
      <c r="N143" s="27"/>
      <c r="O143" s="27"/>
      <c r="P143" s="27"/>
      <c r="Q143" s="3">
        <f t="shared" si="4"/>
        <v>0</v>
      </c>
      <c r="R143" s="39">
        <f>Q143/[7]Summary!$Q$16</f>
        <v>0</v>
      </c>
      <c r="S143" s="35"/>
      <c r="T143" s="40">
        <f t="shared" si="5"/>
        <v>0</v>
      </c>
    </row>
    <row r="144" spans="1:20" s="3" customFormat="1" ht="24.95" hidden="1" customHeight="1">
      <c r="A144" s="3" t="s">
        <v>989</v>
      </c>
      <c r="B144" s="3" t="s">
        <v>1021</v>
      </c>
      <c r="D144" s="26" t="s">
        <v>990</v>
      </c>
      <c r="E144" s="27"/>
      <c r="F144" s="27"/>
      <c r="G144" s="27"/>
      <c r="H144" s="27"/>
      <c r="I144" s="27"/>
      <c r="J144" s="27"/>
      <c r="K144" s="27"/>
      <c r="L144" s="27"/>
      <c r="M144" s="27"/>
      <c r="N144" s="27"/>
      <c r="O144" s="27"/>
      <c r="P144" s="27"/>
      <c r="Q144" s="3">
        <f t="shared" ref="Q144:Q157" si="6">SUM(E144:P144)</f>
        <v>0</v>
      </c>
      <c r="R144" s="39">
        <f>Q144/[7]Summary!$Q$16</f>
        <v>0</v>
      </c>
      <c r="S144" s="35"/>
      <c r="T144" s="40">
        <f t="shared" si="5"/>
        <v>0</v>
      </c>
    </row>
    <row r="145" spans="1:20" s="3" customFormat="1" ht="24.95" hidden="1" customHeight="1">
      <c r="A145" s="3" t="s">
        <v>991</v>
      </c>
      <c r="B145" s="3" t="s">
        <v>1021</v>
      </c>
      <c r="D145" s="26" t="s">
        <v>992</v>
      </c>
      <c r="E145" s="27"/>
      <c r="F145" s="27"/>
      <c r="G145" s="27"/>
      <c r="H145" s="27"/>
      <c r="I145" s="27"/>
      <c r="J145" s="27"/>
      <c r="K145" s="27"/>
      <c r="L145" s="27"/>
      <c r="M145" s="27"/>
      <c r="N145" s="27"/>
      <c r="O145" s="27"/>
      <c r="P145" s="27"/>
      <c r="Q145" s="3">
        <f t="shared" si="6"/>
        <v>0</v>
      </c>
      <c r="R145" s="39">
        <f>Q145/[7]Summary!$Q$16</f>
        <v>0</v>
      </c>
      <c r="S145" s="35"/>
      <c r="T145" s="40">
        <f t="shared" si="5"/>
        <v>0</v>
      </c>
    </row>
    <row r="146" spans="1:20" s="3" customFormat="1" ht="24.95" hidden="1" customHeight="1">
      <c r="A146" s="3" t="s">
        <v>993</v>
      </c>
      <c r="B146" s="3" t="s">
        <v>1021</v>
      </c>
      <c r="D146" s="26" t="s">
        <v>994</v>
      </c>
      <c r="E146" s="27"/>
      <c r="F146" s="27"/>
      <c r="G146" s="27"/>
      <c r="H146" s="27"/>
      <c r="I146" s="27"/>
      <c r="J146" s="27"/>
      <c r="K146" s="27"/>
      <c r="L146" s="27"/>
      <c r="M146" s="27"/>
      <c r="N146" s="27"/>
      <c r="O146" s="27"/>
      <c r="P146" s="27"/>
      <c r="Q146" s="3">
        <f t="shared" si="6"/>
        <v>0</v>
      </c>
      <c r="R146" s="39">
        <f>Q146/[7]Summary!$Q$16</f>
        <v>0</v>
      </c>
      <c r="S146" s="35"/>
      <c r="T146" s="40">
        <f t="shared" si="5"/>
        <v>0</v>
      </c>
    </row>
    <row r="147" spans="1:20" s="3" customFormat="1" ht="24.95" hidden="1" customHeight="1">
      <c r="A147" s="3" t="s">
        <v>995</v>
      </c>
      <c r="B147" s="3" t="s">
        <v>1021</v>
      </c>
      <c r="D147" s="26" t="s">
        <v>996</v>
      </c>
      <c r="E147" s="27"/>
      <c r="F147" s="27"/>
      <c r="G147" s="27"/>
      <c r="H147" s="27"/>
      <c r="I147" s="27"/>
      <c r="J147" s="27"/>
      <c r="K147" s="27"/>
      <c r="L147" s="27"/>
      <c r="M147" s="27"/>
      <c r="N147" s="27"/>
      <c r="O147" s="27"/>
      <c r="P147" s="27"/>
      <c r="Q147" s="3">
        <f t="shared" si="6"/>
        <v>0</v>
      </c>
      <c r="R147" s="39">
        <f>Q147/[7]Summary!$Q$16</f>
        <v>0</v>
      </c>
      <c r="S147" s="35"/>
      <c r="T147" s="40">
        <f t="shared" si="5"/>
        <v>0</v>
      </c>
    </row>
    <row r="148" spans="1:20" s="3" customFormat="1" ht="24.95" hidden="1" customHeight="1">
      <c r="A148" s="3" t="s">
        <v>997</v>
      </c>
      <c r="B148" s="3" t="s">
        <v>1021</v>
      </c>
      <c r="D148" s="26" t="s">
        <v>998</v>
      </c>
      <c r="E148" s="27"/>
      <c r="F148" s="27"/>
      <c r="G148" s="27"/>
      <c r="H148" s="27"/>
      <c r="I148" s="27"/>
      <c r="J148" s="27"/>
      <c r="K148" s="27"/>
      <c r="L148" s="27"/>
      <c r="M148" s="27"/>
      <c r="N148" s="27"/>
      <c r="O148" s="27"/>
      <c r="P148" s="27"/>
      <c r="Q148" s="3">
        <f t="shared" si="6"/>
        <v>0</v>
      </c>
      <c r="R148" s="39">
        <f>Q148/[7]Summary!$Q$16</f>
        <v>0</v>
      </c>
      <c r="S148" s="35"/>
      <c r="T148" s="40">
        <f t="shared" si="5"/>
        <v>0</v>
      </c>
    </row>
    <row r="149" spans="1:20" s="3" customFormat="1" ht="24.95" hidden="1" customHeight="1">
      <c r="A149" s="3" t="s">
        <v>999</v>
      </c>
      <c r="B149" s="3" t="s">
        <v>1021</v>
      </c>
      <c r="D149" s="26" t="s">
        <v>1000</v>
      </c>
      <c r="E149" s="27"/>
      <c r="F149" s="27"/>
      <c r="G149" s="27"/>
      <c r="H149" s="27"/>
      <c r="I149" s="27"/>
      <c r="J149" s="27"/>
      <c r="K149" s="27"/>
      <c r="L149" s="27"/>
      <c r="M149" s="27"/>
      <c r="N149" s="27"/>
      <c r="O149" s="27"/>
      <c r="P149" s="27"/>
      <c r="Q149" s="3">
        <f t="shared" si="6"/>
        <v>0</v>
      </c>
      <c r="R149" s="39">
        <f>Q149/[7]Summary!$Q$16</f>
        <v>0</v>
      </c>
      <c r="S149" s="35"/>
      <c r="T149" s="40">
        <f t="shared" si="5"/>
        <v>0</v>
      </c>
    </row>
    <row r="150" spans="1:20" s="3" customFormat="1" ht="24.95" hidden="1" customHeight="1">
      <c r="A150" s="3" t="s">
        <v>1001</v>
      </c>
      <c r="B150" s="3" t="s">
        <v>1021</v>
      </c>
      <c r="D150" s="26" t="s">
        <v>1002</v>
      </c>
      <c r="E150" s="27"/>
      <c r="F150" s="27"/>
      <c r="G150" s="27"/>
      <c r="H150" s="27"/>
      <c r="I150" s="27"/>
      <c r="J150" s="27"/>
      <c r="K150" s="27"/>
      <c r="L150" s="27"/>
      <c r="M150" s="27"/>
      <c r="N150" s="27"/>
      <c r="O150" s="27"/>
      <c r="P150" s="27"/>
      <c r="Q150" s="3">
        <f t="shared" si="6"/>
        <v>0</v>
      </c>
      <c r="R150" s="39">
        <f>Q150/[7]Summary!$Q$16</f>
        <v>0</v>
      </c>
      <c r="S150" s="35"/>
      <c r="T150" s="40">
        <f t="shared" si="5"/>
        <v>0</v>
      </c>
    </row>
    <row r="151" spans="1:20" s="3" customFormat="1" ht="24.95" hidden="1" customHeight="1">
      <c r="A151" s="3" t="s">
        <v>1003</v>
      </c>
      <c r="B151" s="3" t="s">
        <v>1021</v>
      </c>
      <c r="D151" s="26" t="s">
        <v>1004</v>
      </c>
      <c r="E151" s="27"/>
      <c r="F151" s="27"/>
      <c r="G151" s="27"/>
      <c r="H151" s="27"/>
      <c r="I151" s="27"/>
      <c r="J151" s="27"/>
      <c r="K151" s="27"/>
      <c r="L151" s="27"/>
      <c r="M151" s="27"/>
      <c r="N151" s="27"/>
      <c r="O151" s="27"/>
      <c r="P151" s="27"/>
      <c r="Q151" s="3">
        <f t="shared" si="6"/>
        <v>0</v>
      </c>
      <c r="R151" s="39">
        <f>Q151/[7]Summary!$Q$16</f>
        <v>0</v>
      </c>
      <c r="S151" s="35"/>
      <c r="T151" s="40">
        <f t="shared" ref="T151:T159" si="7">-IF(Q151-S151=0,0,(Q151-S151)/S151)</f>
        <v>0</v>
      </c>
    </row>
    <row r="152" spans="1:20" s="3" customFormat="1" ht="24.95" hidden="1" customHeight="1">
      <c r="A152" s="3" t="s">
        <v>1005</v>
      </c>
      <c r="B152" s="3" t="s">
        <v>1021</v>
      </c>
      <c r="D152" s="26" t="s">
        <v>1006</v>
      </c>
      <c r="E152" s="27"/>
      <c r="F152" s="27"/>
      <c r="G152" s="27"/>
      <c r="H152" s="27"/>
      <c r="I152" s="27"/>
      <c r="J152" s="27"/>
      <c r="K152" s="27"/>
      <c r="L152" s="27"/>
      <c r="M152" s="27"/>
      <c r="N152" s="27"/>
      <c r="O152" s="27"/>
      <c r="P152" s="27"/>
      <c r="Q152" s="3">
        <f t="shared" si="6"/>
        <v>0</v>
      </c>
      <c r="R152" s="39">
        <f>Q152/[7]Summary!$Q$16</f>
        <v>0</v>
      </c>
      <c r="S152" s="35"/>
      <c r="T152" s="40">
        <f t="shared" si="7"/>
        <v>0</v>
      </c>
    </row>
    <row r="153" spans="1:20" s="3" customFormat="1" ht="24.95" hidden="1" customHeight="1">
      <c r="A153" s="3" t="s">
        <v>1007</v>
      </c>
      <c r="B153" s="3" t="s">
        <v>1021</v>
      </c>
      <c r="D153" s="26" t="s">
        <v>1008</v>
      </c>
      <c r="E153" s="27"/>
      <c r="F153" s="27"/>
      <c r="G153" s="27"/>
      <c r="H153" s="27"/>
      <c r="I153" s="27"/>
      <c r="J153" s="27"/>
      <c r="K153" s="27"/>
      <c r="L153" s="27"/>
      <c r="M153" s="27"/>
      <c r="N153" s="27"/>
      <c r="O153" s="27"/>
      <c r="P153" s="27"/>
      <c r="Q153" s="3">
        <f t="shared" si="6"/>
        <v>0</v>
      </c>
      <c r="R153" s="39">
        <f>Q153/[7]Summary!$Q$16</f>
        <v>0</v>
      </c>
      <c r="S153" s="35"/>
      <c r="T153" s="40">
        <f t="shared" si="7"/>
        <v>0</v>
      </c>
    </row>
    <row r="154" spans="1:20" s="3" customFormat="1" ht="24.95" customHeight="1">
      <c r="A154" s="3" t="s">
        <v>1009</v>
      </c>
      <c r="B154" s="3" t="s">
        <v>1021</v>
      </c>
      <c r="D154" s="26" t="s">
        <v>1010</v>
      </c>
      <c r="E154" s="27"/>
      <c r="F154" s="27"/>
      <c r="G154" s="27"/>
      <c r="H154" s="27"/>
      <c r="I154" s="27"/>
      <c r="J154" s="27"/>
      <c r="K154" s="27"/>
      <c r="L154" s="27"/>
      <c r="M154" s="27"/>
      <c r="N154" s="27"/>
      <c r="O154" s="27"/>
      <c r="P154" s="27"/>
      <c r="Q154" s="3">
        <f t="shared" si="6"/>
        <v>0</v>
      </c>
      <c r="R154" s="39">
        <f>Q154/[7]Summary!$Q$16</f>
        <v>0</v>
      </c>
      <c r="S154" s="35"/>
      <c r="T154" s="40">
        <f t="shared" si="7"/>
        <v>0</v>
      </c>
    </row>
    <row r="155" spans="1:20" s="3" customFormat="1" ht="24.95" customHeight="1">
      <c r="A155" s="3" t="s">
        <v>1011</v>
      </c>
      <c r="B155" s="3" t="s">
        <v>1021</v>
      </c>
      <c r="D155" s="26" t="s">
        <v>1012</v>
      </c>
      <c r="E155" s="27"/>
      <c r="F155" s="27"/>
      <c r="G155" s="27"/>
      <c r="H155" s="27"/>
      <c r="I155" s="27"/>
      <c r="J155" s="27"/>
      <c r="K155" s="27"/>
      <c r="L155" s="27"/>
      <c r="M155" s="27"/>
      <c r="N155" s="27"/>
      <c r="O155" s="27"/>
      <c r="P155" s="27"/>
      <c r="Q155" s="3">
        <f t="shared" si="6"/>
        <v>0</v>
      </c>
      <c r="R155" s="39">
        <f>Q155/[7]Summary!$Q$16</f>
        <v>0</v>
      </c>
      <c r="S155" s="35"/>
      <c r="T155" s="40">
        <f t="shared" si="7"/>
        <v>0</v>
      </c>
    </row>
    <row r="156" spans="1:20" s="3" customFormat="1" ht="24.95" customHeight="1">
      <c r="A156" s="3" t="s">
        <v>1013</v>
      </c>
      <c r="B156" s="3" t="s">
        <v>1021</v>
      </c>
      <c r="D156" s="26" t="s">
        <v>1014</v>
      </c>
      <c r="E156" s="27"/>
      <c r="F156" s="27"/>
      <c r="G156" s="27"/>
      <c r="H156" s="27"/>
      <c r="I156" s="27"/>
      <c r="J156" s="27"/>
      <c r="K156" s="27"/>
      <c r="L156" s="27"/>
      <c r="M156" s="27"/>
      <c r="N156" s="27"/>
      <c r="O156" s="27"/>
      <c r="P156" s="27"/>
      <c r="Q156" s="3">
        <f t="shared" si="6"/>
        <v>0</v>
      </c>
      <c r="R156" s="39">
        <f>Q156/[7]Summary!$Q$16</f>
        <v>0</v>
      </c>
      <c r="S156" s="35"/>
      <c r="T156" s="40">
        <f t="shared" si="7"/>
        <v>0</v>
      </c>
    </row>
    <row r="157" spans="1:20" s="3" customFormat="1" ht="24.95" customHeight="1">
      <c r="A157" s="3" t="s">
        <v>611</v>
      </c>
      <c r="B157" s="3" t="s">
        <v>1021</v>
      </c>
      <c r="D157" s="26" t="s">
        <v>612</v>
      </c>
      <c r="E157" s="27">
        <v>200</v>
      </c>
      <c r="F157" s="27">
        <v>200</v>
      </c>
      <c r="G157" s="27">
        <v>200</v>
      </c>
      <c r="H157" s="27">
        <v>200</v>
      </c>
      <c r="I157" s="27">
        <v>200</v>
      </c>
      <c r="J157" s="27">
        <v>200</v>
      </c>
      <c r="K157" s="27">
        <v>200</v>
      </c>
      <c r="L157" s="27">
        <v>200</v>
      </c>
      <c r="M157" s="27">
        <v>200</v>
      </c>
      <c r="N157" s="27">
        <v>200</v>
      </c>
      <c r="O157" s="27">
        <v>200</v>
      </c>
      <c r="P157" s="27">
        <v>200</v>
      </c>
      <c r="Q157" s="3">
        <f t="shared" si="6"/>
        <v>2400</v>
      </c>
      <c r="R157" s="39">
        <f>Q157/[7]Summary!$Q$16</f>
        <v>1.2995262036550169E-4</v>
      </c>
      <c r="S157" s="35"/>
      <c r="T157" s="40" t="e">
        <f t="shared" si="7"/>
        <v>#DIV/0!</v>
      </c>
    </row>
    <row r="158" spans="1:20" s="19" customFormat="1" ht="24.95" customHeight="1">
      <c r="D158" s="21" t="s">
        <v>613</v>
      </c>
      <c r="E158" s="45">
        <f>SUM(E15:E157)</f>
        <v>11073.49</v>
      </c>
      <c r="F158" s="45">
        <f t="shared" ref="F158:Q158" si="8">SUM(F15:F157)</f>
        <v>10955.81</v>
      </c>
      <c r="G158" s="45">
        <f t="shared" si="8"/>
        <v>10818.6</v>
      </c>
      <c r="H158" s="45">
        <f t="shared" si="8"/>
        <v>10597.15</v>
      </c>
      <c r="I158" s="45">
        <f t="shared" si="8"/>
        <v>15615.46</v>
      </c>
      <c r="J158" s="45">
        <f t="shared" si="8"/>
        <v>41248.85</v>
      </c>
      <c r="K158" s="45">
        <f t="shared" si="8"/>
        <v>25234.1</v>
      </c>
      <c r="L158" s="45">
        <f t="shared" si="8"/>
        <v>30241.14</v>
      </c>
      <c r="M158" s="45">
        <f t="shared" si="8"/>
        <v>28333.35</v>
      </c>
      <c r="N158" s="45">
        <f t="shared" si="8"/>
        <v>34465.67</v>
      </c>
      <c r="O158" s="45">
        <f t="shared" si="8"/>
        <v>23179.87</v>
      </c>
      <c r="P158" s="45">
        <f t="shared" si="8"/>
        <v>14153.11</v>
      </c>
      <c r="Q158" s="45">
        <f t="shared" si="8"/>
        <v>255916.59999999998</v>
      </c>
      <c r="R158" s="39">
        <f>Q158/[7]Summary!$Q$16</f>
        <v>1.3857096985429144E-2</v>
      </c>
      <c r="S158" s="35"/>
      <c r="T158" s="40" t="e">
        <f t="shared" si="7"/>
        <v>#DIV/0!</v>
      </c>
    </row>
    <row r="159" spans="1:20" s="19" customFormat="1" ht="24.95" customHeight="1">
      <c r="D159" s="21" t="s">
        <v>614</v>
      </c>
      <c r="E159" s="45">
        <f>+E12+E158</f>
        <v>79424.95</v>
      </c>
      <c r="F159" s="45">
        <f t="shared" ref="F159:Q159" si="9">+F12+F158</f>
        <v>99159.45</v>
      </c>
      <c r="G159" s="45">
        <f t="shared" si="9"/>
        <v>82993.98000000001</v>
      </c>
      <c r="H159" s="45">
        <f t="shared" si="9"/>
        <v>78948.609999999986</v>
      </c>
      <c r="I159" s="45">
        <f t="shared" si="9"/>
        <v>83466.919999999984</v>
      </c>
      <c r="J159" s="45">
        <f t="shared" si="9"/>
        <v>119600.31</v>
      </c>
      <c r="K159" s="45">
        <f t="shared" si="9"/>
        <v>93409.48000000001</v>
      </c>
      <c r="L159" s="45">
        <f t="shared" si="9"/>
        <v>107916.52</v>
      </c>
      <c r="M159" s="45">
        <f t="shared" si="9"/>
        <v>100684.81</v>
      </c>
      <c r="N159" s="45">
        <f t="shared" si="9"/>
        <v>103169.31</v>
      </c>
      <c r="O159" s="45">
        <f t="shared" si="9"/>
        <v>95855.25</v>
      </c>
      <c r="P159" s="45">
        <f t="shared" si="9"/>
        <v>87328.49</v>
      </c>
      <c r="Q159" s="45">
        <f t="shared" si="9"/>
        <v>1131958.0799999998</v>
      </c>
      <c r="R159" s="39">
        <f>Q159/[7]Summary!$Q$16</f>
        <v>6.129204943329257E-2</v>
      </c>
      <c r="S159" s="35"/>
      <c r="T159" s="40" t="e">
        <f t="shared" si="7"/>
        <v>#DIV/0!</v>
      </c>
    </row>
    <row r="160" spans="1:20" s="3" customFormat="1" ht="24.95" customHeight="1">
      <c r="A160" s="84" t="s">
        <v>615</v>
      </c>
      <c r="B160" s="3" t="s">
        <v>1021</v>
      </c>
      <c r="D160" s="42" t="s">
        <v>351</v>
      </c>
      <c r="E160" s="27">
        <f t="shared" ref="E160:Q160" si="10">+E159</f>
        <v>79424.95</v>
      </c>
      <c r="F160" s="27">
        <f t="shared" si="10"/>
        <v>99159.45</v>
      </c>
      <c r="G160" s="27">
        <f t="shared" si="10"/>
        <v>82993.98000000001</v>
      </c>
      <c r="H160" s="27">
        <f t="shared" si="10"/>
        <v>78948.609999999986</v>
      </c>
      <c r="I160" s="27">
        <f t="shared" si="10"/>
        <v>83466.919999999984</v>
      </c>
      <c r="J160" s="27">
        <f t="shared" si="10"/>
        <v>119600.31</v>
      </c>
      <c r="K160" s="27">
        <f t="shared" si="10"/>
        <v>93409.48000000001</v>
      </c>
      <c r="L160" s="27">
        <f t="shared" si="10"/>
        <v>107916.52</v>
      </c>
      <c r="M160" s="27">
        <f t="shared" si="10"/>
        <v>100684.81</v>
      </c>
      <c r="N160" s="27">
        <f t="shared" si="10"/>
        <v>103169.31</v>
      </c>
      <c r="O160" s="27">
        <f t="shared" si="10"/>
        <v>95855.25</v>
      </c>
      <c r="P160" s="27">
        <f t="shared" si="10"/>
        <v>87328.49</v>
      </c>
      <c r="Q160" s="3">
        <f t="shared" si="10"/>
        <v>1131958.0799999998</v>
      </c>
      <c r="S160" s="35"/>
      <c r="T160" s="40" t="e">
        <f>IF(Q160-S160=0,0,(Q160-S160)/S160)</f>
        <v>#DIV/0!</v>
      </c>
    </row>
    <row r="161" spans="1:20" s="3" customFormat="1" ht="24.95" customHeight="1">
      <c r="D161" s="42"/>
      <c r="E161" s="74"/>
      <c r="F161" s="74"/>
      <c r="G161" s="74"/>
      <c r="H161" s="74"/>
      <c r="I161" s="74"/>
      <c r="S161" s="35"/>
      <c r="T161" s="40"/>
    </row>
    <row r="162" spans="1:20" s="3" customFormat="1" ht="24.95" customHeight="1">
      <c r="B162" s="51"/>
      <c r="D162" s="19" t="s">
        <v>618</v>
      </c>
      <c r="E162" s="48"/>
      <c r="F162" s="48"/>
      <c r="G162" s="48"/>
      <c r="H162" s="48"/>
      <c r="I162" s="48"/>
      <c r="S162" s="35"/>
      <c r="T162" s="40"/>
    </row>
    <row r="163" spans="1:20" s="3" customFormat="1" ht="24.95" customHeight="1">
      <c r="B163" s="51"/>
      <c r="D163" s="19" t="s">
        <v>444</v>
      </c>
      <c r="E163" s="48"/>
      <c r="F163" s="48"/>
      <c r="G163" s="48"/>
      <c r="H163" s="48"/>
      <c r="I163" s="48"/>
      <c r="S163" s="35"/>
      <c r="T163" s="40"/>
    </row>
    <row r="164" spans="1:20" s="3" customFormat="1" ht="24.95" customHeight="1">
      <c r="A164" s="270" t="s">
        <v>295</v>
      </c>
      <c r="B164" s="3" t="s">
        <v>1021</v>
      </c>
      <c r="D164" s="26" t="s">
        <v>297</v>
      </c>
      <c r="E164" s="43">
        <v>24780</v>
      </c>
      <c r="F164" s="27">
        <v>24780</v>
      </c>
      <c r="G164" s="27">
        <v>24780</v>
      </c>
      <c r="H164" s="27">
        <v>24780</v>
      </c>
      <c r="I164" s="27">
        <v>24780</v>
      </c>
      <c r="J164" s="27">
        <v>24780</v>
      </c>
      <c r="K164" s="27">
        <v>24780</v>
      </c>
      <c r="L164" s="27">
        <v>24780</v>
      </c>
      <c r="M164" s="27">
        <v>24780</v>
      </c>
      <c r="N164" s="27">
        <v>24780</v>
      </c>
      <c r="O164" s="27">
        <v>24780</v>
      </c>
      <c r="P164" s="27">
        <v>24780</v>
      </c>
      <c r="Q164" s="3">
        <f>SUM(E164:P164)</f>
        <v>297360</v>
      </c>
      <c r="R164" s="39">
        <f>Q164/[7]Summary!$Q$16</f>
        <v>1.6101129663285658E-2</v>
      </c>
      <c r="S164" s="35"/>
      <c r="T164" s="40" t="e">
        <f>-IF(Q164-S164=0,0,(Q164-S164)/S164)</f>
        <v>#DIV/0!</v>
      </c>
    </row>
    <row r="165" spans="1:20" s="3" customFormat="1" ht="24.95" customHeight="1">
      <c r="A165" s="50" t="s">
        <v>1106</v>
      </c>
      <c r="B165" s="3" t="s">
        <v>1021</v>
      </c>
      <c r="D165" s="26" t="s">
        <v>447</v>
      </c>
      <c r="E165" s="43">
        <v>13438</v>
      </c>
      <c r="F165" s="27">
        <v>13438</v>
      </c>
      <c r="G165" s="27">
        <v>13438</v>
      </c>
      <c r="H165" s="27">
        <v>13438</v>
      </c>
      <c r="I165" s="27">
        <v>13438</v>
      </c>
      <c r="J165" s="27">
        <v>13438</v>
      </c>
      <c r="K165" s="27">
        <v>13438</v>
      </c>
      <c r="L165" s="27">
        <v>13438</v>
      </c>
      <c r="M165" s="27">
        <v>13438</v>
      </c>
      <c r="N165" s="27">
        <v>13438</v>
      </c>
      <c r="O165" s="27">
        <v>13438</v>
      </c>
      <c r="P165" s="27">
        <v>13438</v>
      </c>
      <c r="Q165" s="3">
        <f>SUM(E165:P165)</f>
        <v>161256</v>
      </c>
      <c r="R165" s="39">
        <f>Q165/[7]Summary!$Q$16</f>
        <v>8.7315165623580576E-3</v>
      </c>
      <c r="S165" s="35"/>
      <c r="T165" s="40" t="e">
        <f>-IF(Q165-S165=0,0,(Q165-S165)/S165)</f>
        <v>#DIV/0!</v>
      </c>
    </row>
    <row r="166" spans="1:20" s="3" customFormat="1" ht="24.95" customHeight="1">
      <c r="B166" s="51"/>
      <c r="D166" s="21" t="s">
        <v>450</v>
      </c>
      <c r="E166" s="52">
        <f>SUM(E164:E165)</f>
        <v>38218</v>
      </c>
      <c r="F166" s="52">
        <f t="shared" ref="F166:Q166" si="11">SUM(F164:F165)</f>
        <v>38218</v>
      </c>
      <c r="G166" s="52">
        <f t="shared" si="11"/>
        <v>38218</v>
      </c>
      <c r="H166" s="52">
        <f t="shared" si="11"/>
        <v>38218</v>
      </c>
      <c r="I166" s="52">
        <f t="shared" si="11"/>
        <v>38218</v>
      </c>
      <c r="J166" s="52">
        <f t="shared" si="11"/>
        <v>38218</v>
      </c>
      <c r="K166" s="52">
        <f t="shared" si="11"/>
        <v>38218</v>
      </c>
      <c r="L166" s="52">
        <f t="shared" si="11"/>
        <v>38218</v>
      </c>
      <c r="M166" s="52">
        <f t="shared" si="11"/>
        <v>38218</v>
      </c>
      <c r="N166" s="52">
        <f t="shared" si="11"/>
        <v>38218</v>
      </c>
      <c r="O166" s="52">
        <f t="shared" si="11"/>
        <v>38218</v>
      </c>
      <c r="P166" s="52">
        <f t="shared" si="11"/>
        <v>38218</v>
      </c>
      <c r="Q166" s="52">
        <f t="shared" si="11"/>
        <v>458616</v>
      </c>
      <c r="R166" s="39">
        <f>Q166/[7]Summary!$Q$16</f>
        <v>2.4832646225643715E-2</v>
      </c>
      <c r="S166" s="35"/>
      <c r="T166" s="40" t="e">
        <f>-IF(Q166-S166=0,0,(Q166-S166)/S166)</f>
        <v>#DIV/0!</v>
      </c>
    </row>
    <row r="167" spans="1:20" s="3" customFormat="1" ht="24.95" customHeight="1">
      <c r="B167" s="51"/>
      <c r="E167" s="53"/>
      <c r="F167" s="53"/>
      <c r="G167" s="53"/>
      <c r="H167" s="53"/>
      <c r="I167" s="53"/>
      <c r="J167" s="53"/>
      <c r="K167" s="53"/>
      <c r="L167" s="53"/>
      <c r="M167" s="53"/>
      <c r="N167" s="53"/>
      <c r="O167" s="53"/>
      <c r="P167" s="53"/>
      <c r="S167" s="35"/>
      <c r="T167" s="40"/>
    </row>
    <row r="168" spans="1:20" s="3" customFormat="1" ht="24.6" customHeight="1">
      <c r="A168" s="271" t="s">
        <v>619</v>
      </c>
      <c r="B168" s="3" t="s">
        <v>1021</v>
      </c>
      <c r="D168" s="26" t="s">
        <v>307</v>
      </c>
      <c r="E168" s="43"/>
      <c r="F168" s="27"/>
      <c r="G168" s="27"/>
      <c r="H168" s="27"/>
      <c r="I168" s="27"/>
      <c r="J168" s="27"/>
      <c r="K168" s="27"/>
      <c r="L168" s="27"/>
      <c r="M168" s="27"/>
      <c r="N168" s="27"/>
      <c r="O168" s="27"/>
      <c r="P168" s="27"/>
      <c r="Q168" s="3">
        <f>SUM(E168:P168)</f>
        <v>0</v>
      </c>
      <c r="R168" s="39">
        <f>Q168/[7]Summary!$Q$16</f>
        <v>0</v>
      </c>
      <c r="S168" s="35"/>
      <c r="T168" s="40">
        <f>-IF(Q168-S168=0,0,(Q168-S168)/S168)</f>
        <v>0</v>
      </c>
    </row>
    <row r="169" spans="1:20" s="3" customFormat="1" ht="24.95" customHeight="1">
      <c r="A169" s="54" t="s">
        <v>308</v>
      </c>
      <c r="B169" s="3" t="s">
        <v>1021</v>
      </c>
      <c r="D169" s="26" t="s">
        <v>309</v>
      </c>
      <c r="E169" s="43">
        <f>ROUND(E166/12*1.5,2)</f>
        <v>4777.25</v>
      </c>
      <c r="F169" s="43">
        <f t="shared" ref="F169:P169" si="12">ROUND(F166/12*1.5,2)</f>
        <v>4777.25</v>
      </c>
      <c r="G169" s="43">
        <f t="shared" si="12"/>
        <v>4777.25</v>
      </c>
      <c r="H169" s="43">
        <f t="shared" si="12"/>
        <v>4777.25</v>
      </c>
      <c r="I169" s="43">
        <f t="shared" si="12"/>
        <v>4777.25</v>
      </c>
      <c r="J169" s="43">
        <f t="shared" si="12"/>
        <v>4777.25</v>
      </c>
      <c r="K169" s="43">
        <f t="shared" si="12"/>
        <v>4777.25</v>
      </c>
      <c r="L169" s="43">
        <f t="shared" si="12"/>
        <v>4777.25</v>
      </c>
      <c r="M169" s="43">
        <f t="shared" si="12"/>
        <v>4777.25</v>
      </c>
      <c r="N169" s="43">
        <f t="shared" si="12"/>
        <v>4777.25</v>
      </c>
      <c r="O169" s="43">
        <f t="shared" si="12"/>
        <v>4777.25</v>
      </c>
      <c r="P169" s="43">
        <f t="shared" si="12"/>
        <v>4777.25</v>
      </c>
      <c r="Q169" s="3">
        <f t="shared" ref="Q169:Q174" si="13">SUM(E169:P169)</f>
        <v>57327</v>
      </c>
      <c r="R169" s="39">
        <f>Q169/[7]Summary!$Q$16</f>
        <v>3.1040807782054644E-3</v>
      </c>
      <c r="S169" s="35"/>
      <c r="T169" s="40" t="e">
        <f>-IF(Q169-S169=0,0,(Q169-S169)/S169)</f>
        <v>#DIV/0!</v>
      </c>
    </row>
    <row r="170" spans="1:20" s="3" customFormat="1" ht="24.95" customHeight="1">
      <c r="A170" s="271" t="s">
        <v>620</v>
      </c>
      <c r="B170" s="3" t="s">
        <v>1021</v>
      </c>
      <c r="D170" s="26" t="s">
        <v>311</v>
      </c>
      <c r="E170" s="43">
        <v>1700</v>
      </c>
      <c r="F170" s="27">
        <v>1700</v>
      </c>
      <c r="G170" s="27">
        <v>1700</v>
      </c>
      <c r="H170" s="27">
        <v>1700</v>
      </c>
      <c r="I170" s="27">
        <v>1700</v>
      </c>
      <c r="J170" s="27">
        <v>1700</v>
      </c>
      <c r="K170" s="27">
        <v>1700</v>
      </c>
      <c r="L170" s="27">
        <v>1700</v>
      </c>
      <c r="M170" s="27">
        <v>1700</v>
      </c>
      <c r="N170" s="27">
        <v>1700</v>
      </c>
      <c r="O170" s="27">
        <v>1700</v>
      </c>
      <c r="P170" s="27">
        <v>1700</v>
      </c>
      <c r="Q170" s="3">
        <f t="shared" si="13"/>
        <v>20400</v>
      </c>
      <c r="R170" s="39">
        <f>Q170/[7]Summary!$Q$16</f>
        <v>1.1045972731067643E-3</v>
      </c>
      <c r="S170" s="35"/>
      <c r="T170" s="40" t="e">
        <f>-IF(Q170-S170=0,0,(Q170-S170)/S170)</f>
        <v>#DIV/0!</v>
      </c>
    </row>
    <row r="171" spans="1:20" s="3" customFormat="1" ht="24.95" customHeight="1">
      <c r="A171" s="271" t="s">
        <v>621</v>
      </c>
      <c r="B171" s="3" t="s">
        <v>1021</v>
      </c>
      <c r="D171" s="26" t="s">
        <v>313</v>
      </c>
      <c r="E171" s="43"/>
      <c r="F171" s="27"/>
      <c r="G171" s="27"/>
      <c r="H171" s="27"/>
      <c r="I171" s="27"/>
      <c r="J171" s="27"/>
      <c r="K171" s="27"/>
      <c r="L171" s="27"/>
      <c r="M171" s="27"/>
      <c r="N171" s="27"/>
      <c r="O171" s="27"/>
      <c r="P171" s="27"/>
      <c r="Q171" s="3">
        <f t="shared" si="13"/>
        <v>0</v>
      </c>
      <c r="R171" s="39">
        <f>Q171/[7]Summary!$Q$16</f>
        <v>0</v>
      </c>
      <c r="S171" s="35"/>
      <c r="T171" s="40"/>
    </row>
    <row r="172" spans="1:20" s="3" customFormat="1" ht="24.75" customHeight="1">
      <c r="A172" s="271" t="s">
        <v>622</v>
      </c>
      <c r="B172" s="3" t="s">
        <v>1021</v>
      </c>
      <c r="D172" s="26" t="s">
        <v>315</v>
      </c>
      <c r="E172" s="74"/>
      <c r="F172" s="27"/>
      <c r="G172" s="27"/>
      <c r="H172" s="27"/>
      <c r="I172" s="27"/>
      <c r="J172" s="27"/>
      <c r="K172" s="27"/>
      <c r="L172" s="27"/>
      <c r="M172" s="27"/>
      <c r="N172" s="27"/>
      <c r="O172" s="27"/>
      <c r="P172" s="27"/>
      <c r="Q172" s="3">
        <f t="shared" ref="Q172" si="14">SUM(E172:P172)</f>
        <v>0</v>
      </c>
      <c r="R172" s="39">
        <f>Q172/[7]Summary!$Q$16</f>
        <v>0</v>
      </c>
      <c r="S172" s="35"/>
      <c r="T172" s="40"/>
    </row>
    <row r="173" spans="1:20" s="3" customFormat="1" ht="24.75" customHeight="1">
      <c r="A173" s="271" t="s">
        <v>1109</v>
      </c>
      <c r="B173" s="3" t="s">
        <v>1021</v>
      </c>
      <c r="D173" s="26" t="s">
        <v>1113</v>
      </c>
      <c r="E173" s="74"/>
      <c r="F173" s="27"/>
      <c r="G173" s="27"/>
      <c r="H173" s="27"/>
      <c r="I173" s="27"/>
      <c r="J173" s="27"/>
      <c r="K173" s="27"/>
      <c r="L173" s="27"/>
      <c r="M173" s="27"/>
      <c r="N173" s="27"/>
      <c r="O173" s="27"/>
      <c r="P173" s="27"/>
      <c r="Q173" s="3">
        <f t="shared" si="13"/>
        <v>0</v>
      </c>
      <c r="R173" s="39">
        <f>Q173/[7]Summary!$Q$16</f>
        <v>0</v>
      </c>
      <c r="S173" s="35"/>
      <c r="T173" s="40"/>
    </row>
    <row r="174" spans="1:20" s="3" customFormat="1" ht="24.75" customHeight="1">
      <c r="A174" s="271" t="s">
        <v>1109</v>
      </c>
      <c r="B174" s="3" t="s">
        <v>1021</v>
      </c>
      <c r="D174" s="26" t="s">
        <v>1114</v>
      </c>
      <c r="E174" s="43"/>
      <c r="F174" s="27"/>
      <c r="G174" s="27"/>
      <c r="H174" s="27"/>
      <c r="I174" s="27"/>
      <c r="J174" s="27"/>
      <c r="K174" s="27"/>
      <c r="L174" s="27"/>
      <c r="M174" s="27"/>
      <c r="N174" s="27"/>
      <c r="O174" s="27"/>
      <c r="P174" s="27"/>
      <c r="Q174" s="3">
        <f t="shared" si="13"/>
        <v>0</v>
      </c>
      <c r="R174" s="39">
        <f>Q174/[7]Summary!$Q$16</f>
        <v>0</v>
      </c>
      <c r="S174" s="35"/>
      <c r="T174" s="40">
        <f>-IF(Q174-S174=0,0,(Q174-S174)/S174)</f>
        <v>0</v>
      </c>
    </row>
    <row r="175" spans="1:20" s="19" customFormat="1" ht="24.95" customHeight="1">
      <c r="A175" s="54"/>
      <c r="B175" s="51"/>
      <c r="D175" s="19" t="s">
        <v>316</v>
      </c>
      <c r="E175" s="52">
        <f>SUM(E168:E174)</f>
        <v>6477.25</v>
      </c>
      <c r="F175" s="52">
        <f t="shared" ref="F175:Q175" si="15">SUM(F168:F174)</f>
        <v>6477.25</v>
      </c>
      <c r="G175" s="52">
        <f t="shared" si="15"/>
        <v>6477.25</v>
      </c>
      <c r="H175" s="52">
        <f t="shared" si="15"/>
        <v>6477.25</v>
      </c>
      <c r="I175" s="52">
        <f t="shared" si="15"/>
        <v>6477.25</v>
      </c>
      <c r="J175" s="52">
        <f t="shared" si="15"/>
        <v>6477.25</v>
      </c>
      <c r="K175" s="52">
        <f t="shared" si="15"/>
        <v>6477.25</v>
      </c>
      <c r="L175" s="52">
        <f t="shared" si="15"/>
        <v>6477.25</v>
      </c>
      <c r="M175" s="52">
        <f t="shared" si="15"/>
        <v>6477.25</v>
      </c>
      <c r="N175" s="52">
        <f t="shared" si="15"/>
        <v>6477.25</v>
      </c>
      <c r="O175" s="52">
        <f t="shared" si="15"/>
        <v>6477.25</v>
      </c>
      <c r="P175" s="52">
        <f t="shared" si="15"/>
        <v>6477.25</v>
      </c>
      <c r="Q175" s="52">
        <f t="shared" si="15"/>
        <v>77727</v>
      </c>
      <c r="R175" s="39">
        <f>Q175/[7]Summary!$Q$16</f>
        <v>4.2086780513122292E-3</v>
      </c>
      <c r="S175" s="35"/>
      <c r="T175" s="40" t="e">
        <f>-IF(Q175-S175=0,0,(Q175-S175)/S175)</f>
        <v>#DIV/0!</v>
      </c>
    </row>
    <row r="176" spans="1:20" s="3" customFormat="1" ht="24.95" customHeight="1">
      <c r="A176" s="50"/>
      <c r="D176" s="19"/>
      <c r="E176" s="53"/>
      <c r="F176" s="53"/>
      <c r="G176" s="53"/>
      <c r="H176" s="53"/>
      <c r="I176" s="53"/>
      <c r="S176" s="35"/>
      <c r="T176" s="40"/>
    </row>
    <row r="177" spans="1:20" s="3" customFormat="1" ht="24.95" customHeight="1">
      <c r="A177" s="271" t="s">
        <v>625</v>
      </c>
      <c r="B177" s="3" t="s">
        <v>1021</v>
      </c>
      <c r="D177" s="26" t="s">
        <v>318</v>
      </c>
      <c r="E177" s="43">
        <v>6210.08</v>
      </c>
      <c r="F177" s="27">
        <v>6210.08</v>
      </c>
      <c r="G177" s="27">
        <v>6210.08</v>
      </c>
      <c r="H177" s="27">
        <v>6210.08</v>
      </c>
      <c r="I177" s="27">
        <v>6210.08</v>
      </c>
      <c r="J177" s="27">
        <v>6210.08</v>
      </c>
      <c r="K177" s="27">
        <v>6210.08</v>
      </c>
      <c r="L177" s="27">
        <v>6210.08</v>
      </c>
      <c r="M177" s="27">
        <v>6210.08</v>
      </c>
      <c r="N177" s="27">
        <v>6210.08</v>
      </c>
      <c r="O177" s="27">
        <v>6210.08</v>
      </c>
      <c r="P177" s="27">
        <v>6210.08</v>
      </c>
      <c r="Q177" s="3">
        <f>SUM(E177:P177)</f>
        <v>74520.960000000006</v>
      </c>
      <c r="R177" s="39">
        <f>Q177/[7]Summary!$Q$16</f>
        <v>4.0350808433969737E-3</v>
      </c>
      <c r="S177" s="35"/>
      <c r="T177" s="40" t="e">
        <f t="shared" ref="T177:T185" si="16">-IF(Q177-S177=0,0,(Q177-S177)/S177)</f>
        <v>#DIV/0!</v>
      </c>
    </row>
    <row r="178" spans="1:20" s="3" customFormat="1" ht="24.95" customHeight="1">
      <c r="A178" s="271" t="s">
        <v>626</v>
      </c>
      <c r="B178" s="3" t="s">
        <v>1021</v>
      </c>
      <c r="D178" s="26" t="s">
        <v>320</v>
      </c>
      <c r="E178" s="43">
        <v>2716.61</v>
      </c>
      <c r="F178" s="27">
        <v>2716.61</v>
      </c>
      <c r="G178" s="27">
        <v>2716.61</v>
      </c>
      <c r="H178" s="27">
        <v>2716.61</v>
      </c>
      <c r="I178" s="27">
        <v>2716.61</v>
      </c>
      <c r="J178" s="27">
        <v>2716.61</v>
      </c>
      <c r="K178" s="27">
        <v>2716.61</v>
      </c>
      <c r="L178" s="27">
        <v>2716.61</v>
      </c>
      <c r="M178" s="27">
        <v>2716.61</v>
      </c>
      <c r="N178" s="27">
        <v>2716.61</v>
      </c>
      <c r="O178" s="27">
        <v>2716.61</v>
      </c>
      <c r="P178" s="27">
        <v>2716.61</v>
      </c>
      <c r="Q178" s="3">
        <f t="shared" ref="Q178:Q184" si="17">SUM(E178:P178)</f>
        <v>32599.320000000003</v>
      </c>
      <c r="R178" s="39">
        <f>Q178/[7]Summary!$Q$16</f>
        <v>1.7651529400556278E-3</v>
      </c>
      <c r="S178" s="35"/>
      <c r="T178" s="40" t="e">
        <f t="shared" si="16"/>
        <v>#DIV/0!</v>
      </c>
    </row>
    <row r="179" spans="1:20" s="3" customFormat="1" ht="24.95" customHeight="1">
      <c r="A179" s="271" t="s">
        <v>627</v>
      </c>
      <c r="B179" s="3" t="s">
        <v>1021</v>
      </c>
      <c r="D179" s="26" t="s">
        <v>322</v>
      </c>
      <c r="E179" s="43">
        <v>194.07</v>
      </c>
      <c r="F179" s="27">
        <v>194.07</v>
      </c>
      <c r="G179" s="27">
        <v>194.07</v>
      </c>
      <c r="H179" s="27">
        <v>194.07</v>
      </c>
      <c r="I179" s="27">
        <v>194.07</v>
      </c>
      <c r="J179" s="27">
        <v>194.07</v>
      </c>
      <c r="K179" s="27">
        <v>194.07</v>
      </c>
      <c r="L179" s="27">
        <v>194.07</v>
      </c>
      <c r="M179" s="27">
        <v>194.07</v>
      </c>
      <c r="N179" s="27">
        <v>194.07</v>
      </c>
      <c r="O179" s="27">
        <v>194.07</v>
      </c>
      <c r="P179" s="27">
        <v>194.07</v>
      </c>
      <c r="Q179" s="3">
        <f t="shared" si="17"/>
        <v>2328.8399999999997</v>
      </c>
      <c r="R179" s="39">
        <f>Q179/[7]Summary!$Q$16</f>
        <v>1.2609952517166455E-4</v>
      </c>
      <c r="S179" s="35"/>
      <c r="T179" s="40" t="e">
        <f t="shared" si="16"/>
        <v>#DIV/0!</v>
      </c>
    </row>
    <row r="180" spans="1:20" s="3" customFormat="1" ht="24.95" customHeight="1">
      <c r="A180" s="271" t="s">
        <v>628</v>
      </c>
      <c r="B180" s="3" t="s">
        <v>1021</v>
      </c>
      <c r="D180" s="26" t="s">
        <v>324</v>
      </c>
      <c r="E180" s="43">
        <v>155.25</v>
      </c>
      <c r="F180" s="27">
        <v>155.25</v>
      </c>
      <c r="G180" s="27">
        <v>155.25</v>
      </c>
      <c r="H180" s="27">
        <v>155.25</v>
      </c>
      <c r="I180" s="27">
        <v>155.25</v>
      </c>
      <c r="J180" s="27">
        <v>155.25</v>
      </c>
      <c r="K180" s="27">
        <v>155.25</v>
      </c>
      <c r="L180" s="27">
        <v>155.25</v>
      </c>
      <c r="M180" s="27">
        <v>155.25</v>
      </c>
      <c r="N180" s="27">
        <v>155.25</v>
      </c>
      <c r="O180" s="27">
        <v>155.25</v>
      </c>
      <c r="P180" s="27">
        <v>155.25</v>
      </c>
      <c r="Q180" s="3">
        <f t="shared" si="17"/>
        <v>1863</v>
      </c>
      <c r="R180" s="39">
        <f>Q180/[7]Summary!$Q$16</f>
        <v>1.0087572155872068E-4</v>
      </c>
      <c r="S180" s="35"/>
      <c r="T180" s="40" t="e">
        <f t="shared" si="16"/>
        <v>#DIV/0!</v>
      </c>
    </row>
    <row r="181" spans="1:20" s="3" customFormat="1" ht="24.95" customHeight="1">
      <c r="A181" s="271" t="s">
        <v>629</v>
      </c>
      <c r="B181" s="3" t="s">
        <v>1021</v>
      </c>
      <c r="D181" s="26" t="s">
        <v>326</v>
      </c>
      <c r="E181" s="43">
        <v>310.5</v>
      </c>
      <c r="F181" s="27">
        <v>310.5</v>
      </c>
      <c r="G181" s="27">
        <v>310.5</v>
      </c>
      <c r="H181" s="27">
        <v>310.5</v>
      </c>
      <c r="I181" s="27">
        <v>310.5</v>
      </c>
      <c r="J181" s="27">
        <v>310.5</v>
      </c>
      <c r="K181" s="27">
        <v>310.5</v>
      </c>
      <c r="L181" s="27">
        <v>310.5</v>
      </c>
      <c r="M181" s="27">
        <v>310.5</v>
      </c>
      <c r="N181" s="27">
        <v>310.5</v>
      </c>
      <c r="O181" s="27">
        <v>310.5</v>
      </c>
      <c r="P181" s="27">
        <v>310.5</v>
      </c>
      <c r="Q181" s="3">
        <f t="shared" si="17"/>
        <v>3726</v>
      </c>
      <c r="R181" s="39">
        <f>Q181/[7]Summary!$Q$16</f>
        <v>2.0175144311744135E-4</v>
      </c>
      <c r="S181" s="35"/>
      <c r="T181" s="40" t="e">
        <f t="shared" si="16"/>
        <v>#DIV/0!</v>
      </c>
    </row>
    <row r="182" spans="1:20" s="3" customFormat="1" ht="24.95" customHeight="1">
      <c r="A182" s="271" t="s">
        <v>630</v>
      </c>
      <c r="B182" s="3" t="s">
        <v>1021</v>
      </c>
      <c r="D182" s="26" t="s">
        <v>328</v>
      </c>
      <c r="E182" s="43">
        <v>3272.3</v>
      </c>
      <c r="F182" s="27">
        <v>3272.3</v>
      </c>
      <c r="G182" s="27">
        <v>3272.3</v>
      </c>
      <c r="H182" s="27">
        <v>3272.3</v>
      </c>
      <c r="I182" s="27">
        <v>3272.3</v>
      </c>
      <c r="J182" s="27">
        <v>3272.3</v>
      </c>
      <c r="K182" s="27">
        <v>3272.3</v>
      </c>
      <c r="L182" s="27">
        <v>3272.3</v>
      </c>
      <c r="M182" s="27">
        <v>3272.3</v>
      </c>
      <c r="N182" s="27">
        <v>3272.3</v>
      </c>
      <c r="O182" s="27">
        <v>3272.3</v>
      </c>
      <c r="P182" s="27">
        <v>3272.3</v>
      </c>
      <c r="Q182" s="3">
        <f t="shared" si="17"/>
        <v>39267.599999999999</v>
      </c>
      <c r="R182" s="39">
        <f>Q182/[7]Summary!$Q$16</f>
        <v>2.1262197981101556E-3</v>
      </c>
      <c r="S182" s="35"/>
      <c r="T182" s="40" t="e">
        <f t="shared" si="16"/>
        <v>#DIV/0!</v>
      </c>
    </row>
    <row r="183" spans="1:20" s="3" customFormat="1" ht="24.95" customHeight="1">
      <c r="A183" s="271" t="s">
        <v>631</v>
      </c>
      <c r="B183" s="3" t="s">
        <v>1021</v>
      </c>
      <c r="D183" s="26" t="s">
        <v>330</v>
      </c>
      <c r="E183" s="43">
        <f>ROUND(E166*2%,2)</f>
        <v>764.36</v>
      </c>
      <c r="F183" s="43">
        <f t="shared" ref="F183:P183" si="18">ROUND(F166*2%,2)</f>
        <v>764.36</v>
      </c>
      <c r="G183" s="43">
        <f t="shared" si="18"/>
        <v>764.36</v>
      </c>
      <c r="H183" s="43">
        <f t="shared" si="18"/>
        <v>764.36</v>
      </c>
      <c r="I183" s="43">
        <f t="shared" si="18"/>
        <v>764.36</v>
      </c>
      <c r="J183" s="43">
        <f t="shared" si="18"/>
        <v>764.36</v>
      </c>
      <c r="K183" s="43">
        <f t="shared" si="18"/>
        <v>764.36</v>
      </c>
      <c r="L183" s="43">
        <f t="shared" si="18"/>
        <v>764.36</v>
      </c>
      <c r="M183" s="43">
        <f t="shared" si="18"/>
        <v>764.36</v>
      </c>
      <c r="N183" s="43">
        <f t="shared" si="18"/>
        <v>764.36</v>
      </c>
      <c r="O183" s="43">
        <f t="shared" si="18"/>
        <v>764.36</v>
      </c>
      <c r="P183" s="43">
        <f t="shared" si="18"/>
        <v>764.36</v>
      </c>
      <c r="Q183" s="3">
        <f t="shared" si="17"/>
        <v>9172.32</v>
      </c>
      <c r="R183" s="39">
        <f>Q183/[7]Summary!$Q$16</f>
        <v>4.9665292451287434E-4</v>
      </c>
      <c r="S183" s="35"/>
      <c r="T183" s="40" t="e">
        <f t="shared" si="16"/>
        <v>#DIV/0!</v>
      </c>
    </row>
    <row r="184" spans="1:20" s="3" customFormat="1" ht="24.95" customHeight="1">
      <c r="A184" s="271" t="s">
        <v>632</v>
      </c>
      <c r="B184" s="3" t="s">
        <v>1021</v>
      </c>
      <c r="D184" s="26" t="s">
        <v>332</v>
      </c>
      <c r="E184" s="74"/>
      <c r="F184" s="27"/>
      <c r="G184" s="27"/>
      <c r="H184" s="27"/>
      <c r="I184" s="27"/>
      <c r="J184" s="27"/>
      <c r="K184" s="27"/>
      <c r="L184" s="27"/>
      <c r="M184" s="27"/>
      <c r="N184" s="27"/>
      <c r="O184" s="27"/>
      <c r="P184" s="27"/>
      <c r="Q184" s="3">
        <f t="shared" si="17"/>
        <v>0</v>
      </c>
      <c r="R184" s="39">
        <f>Q184/[7]Summary!$Q$16</f>
        <v>0</v>
      </c>
      <c r="S184" s="35"/>
      <c r="T184" s="40">
        <f t="shared" si="16"/>
        <v>0</v>
      </c>
    </row>
    <row r="185" spans="1:20" s="19" customFormat="1" ht="24.95" customHeight="1">
      <c r="A185" s="54"/>
      <c r="B185" s="51"/>
      <c r="D185" s="19" t="s">
        <v>333</v>
      </c>
      <c r="E185" s="45">
        <f>SUM(E177:E184)</f>
        <v>13623.170000000002</v>
      </c>
      <c r="F185" s="45">
        <f t="shared" ref="F185:Q185" si="19">SUM(F177:F184)</f>
        <v>13623.170000000002</v>
      </c>
      <c r="G185" s="45">
        <f t="shared" si="19"/>
        <v>13623.170000000002</v>
      </c>
      <c r="H185" s="45">
        <f t="shared" si="19"/>
        <v>13623.170000000002</v>
      </c>
      <c r="I185" s="45">
        <f t="shared" si="19"/>
        <v>13623.170000000002</v>
      </c>
      <c r="J185" s="45">
        <f t="shared" si="19"/>
        <v>13623.170000000002</v>
      </c>
      <c r="K185" s="45">
        <f t="shared" si="19"/>
        <v>13623.170000000002</v>
      </c>
      <c r="L185" s="45">
        <f t="shared" si="19"/>
        <v>13623.170000000002</v>
      </c>
      <c r="M185" s="45">
        <f t="shared" si="19"/>
        <v>13623.170000000002</v>
      </c>
      <c r="N185" s="45">
        <f t="shared" si="19"/>
        <v>13623.170000000002</v>
      </c>
      <c r="O185" s="45">
        <f t="shared" si="19"/>
        <v>13623.170000000002</v>
      </c>
      <c r="P185" s="45">
        <f t="shared" si="19"/>
        <v>13623.170000000002</v>
      </c>
      <c r="Q185" s="45">
        <f t="shared" si="19"/>
        <v>163478.04</v>
      </c>
      <c r="R185" s="39">
        <f>Q185/[7]Summary!$Q$16</f>
        <v>8.8518331959234579E-3</v>
      </c>
      <c r="S185" s="35"/>
      <c r="T185" s="40" t="e">
        <f t="shared" si="16"/>
        <v>#DIV/0!</v>
      </c>
    </row>
    <row r="186" spans="1:20" s="19" customFormat="1" ht="24.95" customHeight="1">
      <c r="A186" s="54"/>
      <c r="B186" s="51"/>
      <c r="D186" s="21"/>
      <c r="E186" s="55"/>
      <c r="F186" s="55"/>
      <c r="G186" s="55"/>
      <c r="H186" s="55"/>
      <c r="I186" s="55"/>
      <c r="S186" s="35"/>
      <c r="T186" s="40"/>
    </row>
    <row r="187" spans="1:20" s="3" customFormat="1" ht="24.95" hidden="1" customHeight="1">
      <c r="A187" s="271" t="s">
        <v>633</v>
      </c>
      <c r="B187" s="3" t="s">
        <v>1021</v>
      </c>
      <c r="D187" s="26" t="s">
        <v>335</v>
      </c>
      <c r="E187" s="74">
        <v>0</v>
      </c>
      <c r="F187" s="27">
        <v>0</v>
      </c>
      <c r="G187" s="27">
        <v>0</v>
      </c>
      <c r="H187" s="27">
        <v>0</v>
      </c>
      <c r="I187" s="27">
        <v>0</v>
      </c>
      <c r="J187" s="27">
        <v>0</v>
      </c>
      <c r="K187" s="27">
        <v>0</v>
      </c>
      <c r="L187" s="27">
        <v>0</v>
      </c>
      <c r="M187" s="27">
        <v>0</v>
      </c>
      <c r="N187" s="27">
        <v>0</v>
      </c>
      <c r="O187" s="27">
        <v>0</v>
      </c>
      <c r="P187" s="27">
        <v>0</v>
      </c>
      <c r="Q187" s="3">
        <f>SUM(E187:P187)</f>
        <v>0</v>
      </c>
      <c r="R187" s="39">
        <f>Q187/[7]Summary!$Q$16</f>
        <v>0</v>
      </c>
      <c r="S187" s="35"/>
      <c r="T187" s="40">
        <f t="shared" ref="T187:T196" si="20">-IF(Q187-S187=0,0,(Q187-S187)/S187)</f>
        <v>0</v>
      </c>
    </row>
    <row r="188" spans="1:20" s="3" customFormat="1" ht="24.95" hidden="1" customHeight="1">
      <c r="A188" s="271" t="s">
        <v>634</v>
      </c>
      <c r="B188" s="3" t="s">
        <v>1021</v>
      </c>
      <c r="D188" s="3" t="s">
        <v>337</v>
      </c>
      <c r="E188" s="74">
        <v>0</v>
      </c>
      <c r="F188" s="27">
        <v>0</v>
      </c>
      <c r="G188" s="27">
        <v>0</v>
      </c>
      <c r="H188" s="27">
        <v>0</v>
      </c>
      <c r="I188" s="27">
        <v>0</v>
      </c>
      <c r="J188" s="27">
        <v>0</v>
      </c>
      <c r="K188" s="27">
        <v>0</v>
      </c>
      <c r="L188" s="27">
        <v>0</v>
      </c>
      <c r="M188" s="27">
        <v>0</v>
      </c>
      <c r="N188" s="27">
        <v>0</v>
      </c>
      <c r="O188" s="27">
        <v>0</v>
      </c>
      <c r="P188" s="27">
        <v>0</v>
      </c>
      <c r="Q188" s="3">
        <f t="shared" ref="Q188:Q194" si="21">SUM(E188:P188)</f>
        <v>0</v>
      </c>
      <c r="R188" s="39">
        <f>Q188/[7]Summary!$Q$16</f>
        <v>0</v>
      </c>
      <c r="S188" s="35"/>
      <c r="T188" s="40">
        <f t="shared" si="20"/>
        <v>0</v>
      </c>
    </row>
    <row r="189" spans="1:20" s="3" customFormat="1" ht="24.95" hidden="1" customHeight="1">
      <c r="A189" s="271" t="s">
        <v>635</v>
      </c>
      <c r="B189" s="3" t="s">
        <v>1021</v>
      </c>
      <c r="D189" s="26" t="s">
        <v>339</v>
      </c>
      <c r="E189" s="74">
        <v>0</v>
      </c>
      <c r="F189" s="27">
        <v>0</v>
      </c>
      <c r="G189" s="27">
        <v>0</v>
      </c>
      <c r="H189" s="27">
        <v>0</v>
      </c>
      <c r="I189" s="27">
        <v>0</v>
      </c>
      <c r="J189" s="27">
        <v>0</v>
      </c>
      <c r="K189" s="27">
        <v>0</v>
      </c>
      <c r="L189" s="27">
        <v>0</v>
      </c>
      <c r="M189" s="27">
        <v>0</v>
      </c>
      <c r="N189" s="27">
        <v>0</v>
      </c>
      <c r="O189" s="27">
        <v>0</v>
      </c>
      <c r="P189" s="27">
        <v>0</v>
      </c>
      <c r="Q189" s="3">
        <f t="shared" si="21"/>
        <v>0</v>
      </c>
      <c r="R189" s="39">
        <f>Q189/[7]Summary!$Q$16</f>
        <v>0</v>
      </c>
      <c r="S189" s="35"/>
      <c r="T189" s="40">
        <f t="shared" si="20"/>
        <v>0</v>
      </c>
    </row>
    <row r="190" spans="1:20" s="3" customFormat="1" ht="24.95" hidden="1" customHeight="1">
      <c r="A190" s="271" t="s">
        <v>636</v>
      </c>
      <c r="B190" s="3" t="s">
        <v>1021</v>
      </c>
      <c r="D190" s="26" t="s">
        <v>341</v>
      </c>
      <c r="E190" s="74">
        <v>0</v>
      </c>
      <c r="F190" s="27">
        <v>0</v>
      </c>
      <c r="G190" s="27">
        <v>0</v>
      </c>
      <c r="H190" s="27">
        <v>0</v>
      </c>
      <c r="I190" s="27">
        <v>0</v>
      </c>
      <c r="J190" s="27">
        <v>0</v>
      </c>
      <c r="K190" s="27">
        <v>0</v>
      </c>
      <c r="L190" s="27">
        <v>0</v>
      </c>
      <c r="M190" s="27">
        <v>0</v>
      </c>
      <c r="N190" s="27">
        <v>0</v>
      </c>
      <c r="O190" s="27">
        <v>0</v>
      </c>
      <c r="P190" s="27">
        <v>0</v>
      </c>
      <c r="Q190" s="3">
        <f t="shared" si="21"/>
        <v>0</v>
      </c>
      <c r="R190" s="39">
        <f>Q190/[7]Summary!$Q$16</f>
        <v>0</v>
      </c>
      <c r="S190" s="35"/>
      <c r="T190" s="40">
        <f t="shared" si="20"/>
        <v>0</v>
      </c>
    </row>
    <row r="191" spans="1:20" s="3" customFormat="1" ht="24.95" customHeight="1">
      <c r="A191" s="271" t="s">
        <v>637</v>
      </c>
      <c r="B191" s="3" t="s">
        <v>1021</v>
      </c>
      <c r="D191" s="26" t="s">
        <v>343</v>
      </c>
      <c r="E191" s="43"/>
      <c r="F191" s="27"/>
      <c r="G191" s="27"/>
      <c r="H191" s="27"/>
      <c r="I191" s="27"/>
      <c r="J191" s="27"/>
      <c r="K191" s="27"/>
      <c r="L191" s="27"/>
      <c r="M191" s="27"/>
      <c r="N191" s="27"/>
      <c r="O191" s="27"/>
      <c r="P191" s="27"/>
      <c r="Q191" s="3">
        <f t="shared" si="21"/>
        <v>0</v>
      </c>
      <c r="R191" s="39">
        <f>Q191/[7]Summary!$Q$16</f>
        <v>0</v>
      </c>
      <c r="S191" s="35"/>
      <c r="T191" s="40">
        <f t="shared" si="20"/>
        <v>0</v>
      </c>
    </row>
    <row r="192" spans="1:20" s="3" customFormat="1" ht="24.95" customHeight="1">
      <c r="A192" s="3" t="s">
        <v>638</v>
      </c>
      <c r="B192" s="3" t="s">
        <v>1021</v>
      </c>
      <c r="D192" s="26" t="s">
        <v>1022</v>
      </c>
      <c r="E192" s="43">
        <v>2250</v>
      </c>
      <c r="F192" s="27">
        <v>21750</v>
      </c>
      <c r="G192" s="27">
        <v>6250</v>
      </c>
      <c r="H192" s="27">
        <v>2250</v>
      </c>
      <c r="I192" s="27">
        <v>1750</v>
      </c>
      <c r="J192" s="27">
        <v>12250</v>
      </c>
      <c r="K192" s="27">
        <v>2250</v>
      </c>
      <c r="L192" s="27">
        <v>11750</v>
      </c>
      <c r="M192" s="27">
        <v>6250</v>
      </c>
      <c r="N192" s="27">
        <v>2250</v>
      </c>
      <c r="O192" s="27">
        <v>6750</v>
      </c>
      <c r="P192" s="27">
        <v>7250</v>
      </c>
      <c r="Q192" s="3">
        <f t="shared" si="21"/>
        <v>83000</v>
      </c>
      <c r="R192" s="39">
        <f>Q192/[7]Summary!$Q$16</f>
        <v>4.4941947876402663E-3</v>
      </c>
      <c r="S192" s="35"/>
      <c r="T192" s="40" t="e">
        <f t="shared" si="20"/>
        <v>#DIV/0!</v>
      </c>
    </row>
    <row r="193" spans="1:20" s="3" customFormat="1" ht="24.95" customHeight="1">
      <c r="A193" s="271" t="s">
        <v>344</v>
      </c>
      <c r="B193" s="3" t="s">
        <v>1021</v>
      </c>
      <c r="D193" s="26" t="s">
        <v>345</v>
      </c>
      <c r="E193" s="43"/>
      <c r="F193" s="27"/>
      <c r="G193" s="27"/>
      <c r="H193" s="27"/>
      <c r="I193" s="27"/>
      <c r="J193" s="27"/>
      <c r="K193" s="27"/>
      <c r="L193" s="27"/>
      <c r="M193" s="27"/>
      <c r="N193" s="27"/>
      <c r="O193" s="27"/>
      <c r="P193" s="27"/>
      <c r="Q193" s="3">
        <f t="shared" si="21"/>
        <v>0</v>
      </c>
      <c r="R193" s="39">
        <f>Q193/[7]Summary!$Q$16</f>
        <v>0</v>
      </c>
      <c r="S193" s="35"/>
      <c r="T193" s="40">
        <f t="shared" si="20"/>
        <v>0</v>
      </c>
    </row>
    <row r="194" spans="1:20" s="3" customFormat="1" ht="24.95" customHeight="1">
      <c r="A194" s="3" t="s">
        <v>640</v>
      </c>
      <c r="B194" s="3" t="s">
        <v>1021</v>
      </c>
      <c r="D194" s="26" t="s">
        <v>347</v>
      </c>
      <c r="E194" s="43">
        <f>'Staff Canteen'!E210</f>
        <v>7783.04</v>
      </c>
      <c r="F194" s="43">
        <f>'Staff Canteen'!F210</f>
        <v>8135.22</v>
      </c>
      <c r="G194" s="43">
        <f>'Staff Canteen'!G210</f>
        <v>7606.96</v>
      </c>
      <c r="H194" s="43">
        <f>'Staff Canteen'!H210</f>
        <v>7783.04</v>
      </c>
      <c r="I194" s="43">
        <f>'Staff Canteen'!I210</f>
        <v>7783.04</v>
      </c>
      <c r="J194" s="43">
        <f>'Staff Canteen'!J210</f>
        <v>7783.04</v>
      </c>
      <c r="K194" s="43">
        <f>'Staff Canteen'!K210</f>
        <v>7606.96</v>
      </c>
      <c r="L194" s="43">
        <f>'Staff Canteen'!L210</f>
        <v>7606.96</v>
      </c>
      <c r="M194" s="43">
        <f>'Staff Canteen'!M210</f>
        <v>7783.04</v>
      </c>
      <c r="N194" s="43">
        <f>'Staff Canteen'!N210</f>
        <v>8135.22</v>
      </c>
      <c r="O194" s="43">
        <f>'Staff Canteen'!O210</f>
        <v>7606.96</v>
      </c>
      <c r="P194" s="43">
        <f>'Staff Canteen'!P210</f>
        <v>7606.96</v>
      </c>
      <c r="Q194" s="3">
        <f t="shared" si="21"/>
        <v>93220.440000000017</v>
      </c>
      <c r="R194" s="39">
        <f>Q194/[7]Summary!$Q$16</f>
        <v>5.0476001873437622E-3</v>
      </c>
      <c r="S194" s="35"/>
      <c r="T194" s="40" t="e">
        <f t="shared" si="20"/>
        <v>#DIV/0!</v>
      </c>
    </row>
    <row r="195" spans="1:20" s="3" customFormat="1" ht="24.95" customHeight="1">
      <c r="A195" s="54"/>
      <c r="B195" s="51"/>
      <c r="D195" s="19" t="s">
        <v>348</v>
      </c>
      <c r="E195" s="52">
        <f>SUM(E187:E194)</f>
        <v>10033.040000000001</v>
      </c>
      <c r="F195" s="52">
        <f t="shared" ref="F195:Q195" si="22">SUM(F187:F194)</f>
        <v>29885.22</v>
      </c>
      <c r="G195" s="52">
        <f t="shared" si="22"/>
        <v>13856.96</v>
      </c>
      <c r="H195" s="52">
        <f t="shared" si="22"/>
        <v>10033.040000000001</v>
      </c>
      <c r="I195" s="52">
        <f t="shared" si="22"/>
        <v>9533.0400000000009</v>
      </c>
      <c r="J195" s="52">
        <f t="shared" si="22"/>
        <v>20033.04</v>
      </c>
      <c r="K195" s="52">
        <f t="shared" si="22"/>
        <v>9856.9599999999991</v>
      </c>
      <c r="L195" s="52">
        <f t="shared" si="22"/>
        <v>19356.96</v>
      </c>
      <c r="M195" s="52">
        <f t="shared" si="22"/>
        <v>14033.04</v>
      </c>
      <c r="N195" s="52">
        <f t="shared" si="22"/>
        <v>10385.220000000001</v>
      </c>
      <c r="O195" s="52">
        <f t="shared" si="22"/>
        <v>14356.96</v>
      </c>
      <c r="P195" s="52">
        <f t="shared" si="22"/>
        <v>14856.96</v>
      </c>
      <c r="Q195" s="52">
        <f t="shared" si="22"/>
        <v>176220.44</v>
      </c>
      <c r="R195" s="39">
        <f>Q195/[7]Summary!$Q$16</f>
        <v>9.5417949749840286E-3</v>
      </c>
      <c r="S195" s="35"/>
      <c r="T195" s="40" t="e">
        <f t="shared" si="20"/>
        <v>#DIV/0!</v>
      </c>
    </row>
    <row r="196" spans="1:20" s="3" customFormat="1" ht="24.95" customHeight="1">
      <c r="A196" s="54"/>
      <c r="B196" s="51"/>
      <c r="D196" s="19" t="s">
        <v>349</v>
      </c>
      <c r="E196" s="368">
        <f>E166+E175+E185+E195</f>
        <v>68351.459999999992</v>
      </c>
      <c r="F196" s="368">
        <f t="shared" ref="F196:Q196" si="23">F166+F175+F185+F195</f>
        <v>88203.64</v>
      </c>
      <c r="G196" s="368">
        <f t="shared" si="23"/>
        <v>72175.38</v>
      </c>
      <c r="H196" s="368">
        <f t="shared" si="23"/>
        <v>68351.459999999992</v>
      </c>
      <c r="I196" s="368">
        <f t="shared" si="23"/>
        <v>67851.459999999992</v>
      </c>
      <c r="J196" s="368">
        <f t="shared" si="23"/>
        <v>78351.459999999992</v>
      </c>
      <c r="K196" s="368">
        <f t="shared" si="23"/>
        <v>68175.38</v>
      </c>
      <c r="L196" s="368">
        <f t="shared" si="23"/>
        <v>77675.38</v>
      </c>
      <c r="M196" s="368">
        <f t="shared" si="23"/>
        <v>72351.459999999992</v>
      </c>
      <c r="N196" s="368">
        <f t="shared" si="23"/>
        <v>68703.64</v>
      </c>
      <c r="O196" s="368">
        <f t="shared" si="23"/>
        <v>72675.38</v>
      </c>
      <c r="P196" s="368">
        <f t="shared" si="23"/>
        <v>73175.38</v>
      </c>
      <c r="Q196" s="350">
        <f t="shared" si="23"/>
        <v>876041.48</v>
      </c>
      <c r="R196" s="39">
        <f>Q196/[7]Summary!$Q$16</f>
        <v>4.7434952447863429E-2</v>
      </c>
      <c r="S196" s="35"/>
      <c r="T196" s="40" t="e">
        <f t="shared" si="20"/>
        <v>#DIV/0!</v>
      </c>
    </row>
    <row r="197" spans="1:20" s="3" customFormat="1" ht="24.95" customHeight="1">
      <c r="A197" s="54"/>
      <c r="B197" s="51"/>
      <c r="D197" s="21"/>
      <c r="E197" s="53"/>
      <c r="F197" s="53"/>
      <c r="G197" s="53"/>
      <c r="H197" s="53"/>
      <c r="I197" s="53"/>
      <c r="S197" s="35"/>
      <c r="T197" s="40"/>
    </row>
    <row r="198" spans="1:20" s="3" customFormat="1" ht="24.95" customHeight="1">
      <c r="A198" s="50" t="s">
        <v>105</v>
      </c>
      <c r="B198" s="3" t="s">
        <v>1021</v>
      </c>
      <c r="D198" s="19" t="s">
        <v>352</v>
      </c>
      <c r="E198" s="27">
        <v>5</v>
      </c>
      <c r="F198" s="27">
        <v>5</v>
      </c>
      <c r="G198" s="27">
        <v>5</v>
      </c>
      <c r="H198" s="27">
        <v>5</v>
      </c>
      <c r="I198" s="27">
        <v>5</v>
      </c>
      <c r="J198" s="27">
        <v>5</v>
      </c>
      <c r="K198" s="27">
        <v>5</v>
      </c>
      <c r="L198" s="27">
        <v>5</v>
      </c>
      <c r="M198" s="27">
        <v>5</v>
      </c>
      <c r="N198" s="27">
        <v>5</v>
      </c>
      <c r="O198" s="27">
        <v>5</v>
      </c>
      <c r="P198" s="27">
        <v>5</v>
      </c>
      <c r="Q198" s="357">
        <v>5</v>
      </c>
      <c r="S198" s="35"/>
      <c r="T198" s="40" t="e">
        <f>-IF(Q198-S198=0,0,(Q198-S198)/S198)</f>
        <v>#DIV/0!</v>
      </c>
    </row>
    <row r="205" spans="1:20" ht="26.25" customHeight="1">
      <c r="H205" s="87"/>
      <c r="I205" s="87"/>
    </row>
    <row r="206" spans="1:20" ht="26.25" customHeight="1">
      <c r="H206" s="87"/>
      <c r="I206" s="87"/>
    </row>
    <row r="207" spans="1:20" ht="26.25" customHeight="1">
      <c r="H207" s="87"/>
      <c r="I207" s="87"/>
    </row>
    <row r="208" spans="1:20" ht="26.25" customHeight="1">
      <c r="H208" s="87"/>
      <c r="I208" s="87"/>
    </row>
    <row r="209" spans="8:9" ht="26.25" customHeight="1">
      <c r="H209" s="87"/>
      <c r="I209" s="87"/>
    </row>
    <row r="210" spans="8:9" ht="26.25" customHeight="1">
      <c r="H210" s="87"/>
      <c r="I210" s="87"/>
    </row>
    <row r="211" spans="8:9" ht="26.25" customHeight="1">
      <c r="H211" s="87"/>
      <c r="I211" s="87"/>
    </row>
    <row r="212" spans="8:9" ht="26.25" customHeight="1">
      <c r="H212" s="87"/>
      <c r="I212" s="87"/>
    </row>
    <row r="213" spans="8:9" ht="26.25" customHeight="1">
      <c r="H213" s="87"/>
      <c r="I213" s="87"/>
    </row>
    <row r="214" spans="8:9" ht="26.25" customHeight="1">
      <c r="H214" s="27"/>
      <c r="I214" s="27"/>
    </row>
    <row r="215" spans="8:9" ht="26.25" customHeight="1">
      <c r="H215" s="27"/>
      <c r="I215" s="27"/>
    </row>
    <row r="216" spans="8:9" ht="26.25" customHeight="1">
      <c r="H216" s="74"/>
      <c r="I216" s="74"/>
    </row>
    <row r="217" spans="8:9" ht="26.25" customHeight="1">
      <c r="H217" s="53"/>
      <c r="I217" s="53"/>
    </row>
    <row r="218" spans="8:9" ht="26.25" customHeight="1">
      <c r="H218" s="27"/>
      <c r="I218" s="27"/>
    </row>
    <row r="219" spans="8:9" ht="26.25" customHeight="1">
      <c r="H219" s="27"/>
      <c r="I219" s="27"/>
    </row>
    <row r="220" spans="8:9" ht="26.25" customHeight="1">
      <c r="H220" s="27"/>
      <c r="I220" s="27"/>
    </row>
    <row r="221" spans="8:9" ht="26.25" customHeight="1">
      <c r="H221" s="27"/>
      <c r="I221" s="27"/>
    </row>
    <row r="222" spans="8:9" ht="26.25" customHeight="1">
      <c r="H222" s="27"/>
      <c r="I222" s="27"/>
    </row>
    <row r="223" spans="8:9" ht="26.25" customHeight="1">
      <c r="H223" s="27"/>
      <c r="I223" s="27"/>
    </row>
    <row r="224" spans="8:9" ht="26.25" customHeight="1">
      <c r="H224" s="74"/>
      <c r="I224" s="74"/>
    </row>
    <row r="225" spans="8:9" ht="26.25" customHeight="1">
      <c r="H225" s="53"/>
      <c r="I225" s="53"/>
    </row>
    <row r="226" spans="8:9" ht="26.25" customHeight="1">
      <c r="H226" s="27"/>
      <c r="I226" s="27"/>
    </row>
    <row r="227" spans="8:9" ht="26.25" customHeight="1">
      <c r="H227" s="27"/>
      <c r="I227" s="27"/>
    </row>
    <row r="228" spans="8:9" ht="26.25" customHeight="1">
      <c r="H228" s="27"/>
      <c r="I228" s="27"/>
    </row>
    <row r="229" spans="8:9" ht="26.25" customHeight="1">
      <c r="H229" s="27"/>
      <c r="I229" s="27"/>
    </row>
    <row r="230" spans="8:9" ht="26.25" customHeight="1">
      <c r="H230" s="27"/>
      <c r="I230" s="27"/>
    </row>
    <row r="231" spans="8:9" ht="26.25" customHeight="1">
      <c r="H231" s="27"/>
      <c r="I231" s="27"/>
    </row>
    <row r="232" spans="8:9" ht="26.25" customHeight="1">
      <c r="H232" s="27"/>
      <c r="I232" s="27"/>
    </row>
    <row r="233" spans="8:9" ht="26.25" customHeight="1">
      <c r="H233" s="27"/>
      <c r="I233" s="27"/>
    </row>
    <row r="234" spans="8:9" ht="26.25" customHeight="1">
      <c r="H234" s="62"/>
      <c r="I234" s="62"/>
    </row>
    <row r="235" spans="8:9" ht="26.25" customHeight="1">
      <c r="H235" s="55"/>
      <c r="I235" s="55"/>
    </row>
    <row r="236" spans="8:9" ht="26.25" customHeight="1">
      <c r="H236" s="27"/>
      <c r="I236" s="27"/>
    </row>
    <row r="237" spans="8:9" ht="26.25" customHeight="1">
      <c r="H237" s="27"/>
      <c r="I237" s="27"/>
    </row>
    <row r="238" spans="8:9" ht="26.25" customHeight="1">
      <c r="H238" s="27"/>
      <c r="I238" s="27"/>
    </row>
    <row r="239" spans="8:9" ht="26.25" customHeight="1">
      <c r="H239" s="27"/>
      <c r="I239" s="27"/>
    </row>
    <row r="240" spans="8:9" ht="26.25" customHeight="1">
      <c r="H240" s="27"/>
      <c r="I240" s="27"/>
    </row>
    <row r="241" spans="8:9" ht="26.25" customHeight="1">
      <c r="H241" s="27"/>
      <c r="I241" s="27"/>
    </row>
    <row r="242" spans="8:9" ht="26.25" customHeight="1">
      <c r="H242" s="27"/>
      <c r="I242" s="27"/>
    </row>
    <row r="243" spans="8:9" ht="26.25" customHeight="1">
      <c r="H243" s="27"/>
      <c r="I243" s="27"/>
    </row>
    <row r="244" spans="8:9" ht="26.25" customHeight="1">
      <c r="H244" s="74"/>
      <c r="I244" s="74"/>
    </row>
    <row r="245" spans="8:9" ht="26.25" customHeight="1">
      <c r="H245" s="74"/>
      <c r="I245" s="74"/>
    </row>
    <row r="246" spans="8:9" ht="26.25" customHeight="1">
      <c r="H246" s="53"/>
      <c r="I246" s="53"/>
    </row>
    <row r="247" spans="8:9" ht="26.25" customHeight="1">
      <c r="H247" s="27"/>
      <c r="I247" s="27"/>
    </row>
    <row r="248" spans="8:9" ht="26.25" customHeight="1">
      <c r="H248" s="87"/>
      <c r="I248" s="87"/>
    </row>
    <row r="249" spans="8:9" ht="26.25" customHeight="1">
      <c r="H249" s="87"/>
      <c r="I249" s="87"/>
    </row>
    <row r="250" spans="8:9" ht="26.25" customHeight="1">
      <c r="H250" s="87"/>
      <c r="I250" s="87"/>
    </row>
    <row r="251" spans="8:9" ht="26.25" customHeight="1">
      <c r="H251" s="87"/>
      <c r="I251" s="87"/>
    </row>
    <row r="252" spans="8:9" ht="26.25" customHeight="1">
      <c r="H252" s="87"/>
      <c r="I252" s="87"/>
    </row>
    <row r="253" spans="8:9" ht="26.25" customHeight="1">
      <c r="H253" s="87"/>
      <c r="I253" s="87"/>
    </row>
    <row r="254" spans="8:9" ht="26.25" customHeight="1">
      <c r="H254" s="87"/>
      <c r="I254" s="87"/>
    </row>
    <row r="255" spans="8:9" ht="26.25" customHeight="1">
      <c r="H255" s="87"/>
      <c r="I255" s="87"/>
    </row>
    <row r="256" spans="8:9" ht="26.25" customHeight="1">
      <c r="H256" s="87"/>
      <c r="I256" s="87"/>
    </row>
    <row r="257" spans="8:9" ht="26.25" customHeight="1">
      <c r="H257" s="87"/>
      <c r="I257" s="87"/>
    </row>
    <row r="258" spans="8:9" ht="26.25" customHeight="1">
      <c r="H258" s="87"/>
      <c r="I258" s="87"/>
    </row>
    <row r="259" spans="8:9" ht="26.25" customHeight="1">
      <c r="H259" s="87"/>
      <c r="I259" s="87"/>
    </row>
    <row r="260" spans="8:9" ht="26.25" customHeight="1">
      <c r="H260" s="87"/>
      <c r="I260" s="87"/>
    </row>
    <row r="261" spans="8:9" ht="26.25" customHeight="1">
      <c r="H261" s="87"/>
      <c r="I261" s="87"/>
    </row>
    <row r="262" spans="8:9" ht="26.25" customHeight="1">
      <c r="H262" s="87"/>
      <c r="I262" s="87"/>
    </row>
    <row r="263" spans="8:9" ht="26.25" customHeight="1">
      <c r="H263" s="27"/>
      <c r="I263" s="27"/>
    </row>
    <row r="264" spans="8:9" ht="26.25" customHeight="1">
      <c r="H264" s="27"/>
      <c r="I264" s="27"/>
    </row>
    <row r="265" spans="8:9" ht="26.25" customHeight="1">
      <c r="H265" s="74"/>
      <c r="I265" s="74"/>
    </row>
    <row r="266" spans="8:9" ht="26.25" customHeight="1">
      <c r="H266" s="53"/>
      <c r="I266" s="53"/>
    </row>
    <row r="267" spans="8:9" ht="26.25" customHeight="1">
      <c r="H267" s="27"/>
      <c r="I267" s="27"/>
    </row>
    <row r="268" spans="8:9" ht="26.25" customHeight="1">
      <c r="H268" s="27"/>
      <c r="I268" s="27"/>
    </row>
    <row r="269" spans="8:9" ht="26.25" customHeight="1">
      <c r="H269" s="27"/>
      <c r="I269" s="27"/>
    </row>
    <row r="270" spans="8:9" ht="26.25" customHeight="1">
      <c r="H270" s="27"/>
      <c r="I270" s="27"/>
    </row>
    <row r="271" spans="8:9" ht="26.25" customHeight="1">
      <c r="H271" s="27"/>
      <c r="I271" s="27"/>
    </row>
    <row r="272" spans="8:9" ht="26.25" customHeight="1">
      <c r="H272" s="27"/>
      <c r="I272" s="27"/>
    </row>
    <row r="273" spans="8:9" ht="26.25" customHeight="1">
      <c r="H273" s="74"/>
      <c r="I273" s="74"/>
    </row>
    <row r="274" spans="8:9" ht="26.25" customHeight="1">
      <c r="H274" s="53"/>
      <c r="I274" s="53"/>
    </row>
    <row r="275" spans="8:9" ht="26.25" customHeight="1">
      <c r="H275" s="27"/>
      <c r="I275" s="27"/>
    </row>
    <row r="276" spans="8:9" ht="26.25" customHeight="1">
      <c r="H276" s="27"/>
      <c r="I276" s="27"/>
    </row>
    <row r="277" spans="8:9" ht="26.25" customHeight="1">
      <c r="H277" s="27"/>
      <c r="I277" s="27"/>
    </row>
    <row r="278" spans="8:9" ht="26.25" customHeight="1">
      <c r="H278" s="27"/>
      <c r="I278" s="27"/>
    </row>
    <row r="279" spans="8:9" ht="26.25" customHeight="1">
      <c r="H279" s="27"/>
      <c r="I279" s="27"/>
    </row>
    <row r="280" spans="8:9" ht="26.25" customHeight="1">
      <c r="H280" s="27"/>
      <c r="I280" s="27"/>
    </row>
    <row r="281" spans="8:9" ht="26.25" customHeight="1">
      <c r="H281" s="27"/>
      <c r="I281" s="27"/>
    </row>
    <row r="282" spans="8:9" ht="26.25" customHeight="1">
      <c r="H282" s="27"/>
      <c r="I282" s="27"/>
    </row>
    <row r="283" spans="8:9" ht="26.25" customHeight="1">
      <c r="H283" s="62"/>
      <c r="I283" s="62"/>
    </row>
    <row r="284" spans="8:9" ht="26.25" customHeight="1">
      <c r="H284" s="55"/>
      <c r="I284" s="55"/>
    </row>
    <row r="285" spans="8:9" ht="26.25" customHeight="1">
      <c r="H285" s="27"/>
      <c r="I285" s="27"/>
    </row>
    <row r="286" spans="8:9" ht="26.25" customHeight="1">
      <c r="H286" s="27"/>
      <c r="I286" s="27"/>
    </row>
    <row r="287" spans="8:9" ht="26.25" customHeight="1">
      <c r="H287" s="27"/>
      <c r="I287" s="27"/>
    </row>
    <row r="288" spans="8:9" ht="26.25" customHeight="1">
      <c r="H288" s="27"/>
      <c r="I288" s="27"/>
    </row>
    <row r="289" spans="8:9" ht="26.25" customHeight="1">
      <c r="H289" s="27"/>
      <c r="I289" s="27"/>
    </row>
    <row r="290" spans="8:9" ht="26.25" customHeight="1">
      <c r="H290" s="27"/>
      <c r="I290" s="27"/>
    </row>
    <row r="291" spans="8:9" ht="26.25" customHeight="1">
      <c r="H291" s="27"/>
      <c r="I291" s="27"/>
    </row>
    <row r="292" spans="8:9" ht="26.25" customHeight="1">
      <c r="H292" s="27"/>
      <c r="I292" s="27"/>
    </row>
    <row r="293" spans="8:9" ht="26.25" customHeight="1">
      <c r="H293" s="74"/>
      <c r="I293" s="74"/>
    </row>
    <row r="294" spans="8:9" ht="26.25" customHeight="1">
      <c r="H294" s="74"/>
      <c r="I294" s="74"/>
    </row>
    <row r="295" spans="8:9" ht="26.25" customHeight="1">
      <c r="H295" s="53"/>
      <c r="I295" s="53"/>
    </row>
    <row r="296" spans="8:9" ht="26.25" customHeight="1">
      <c r="H296" s="27"/>
      <c r="I296" s="27"/>
    </row>
    <row r="297" spans="8:9" ht="26.25" customHeight="1">
      <c r="H297" s="87"/>
      <c r="I297" s="87"/>
    </row>
    <row r="298" spans="8:9" ht="26.25" customHeight="1">
      <c r="H298" s="87"/>
      <c r="I298" s="87"/>
    </row>
    <row r="299" spans="8:9" ht="26.25" customHeight="1">
      <c r="H299" s="87"/>
      <c r="I299" s="87"/>
    </row>
    <row r="300" spans="8:9" ht="26.25" customHeight="1">
      <c r="H300" s="87"/>
      <c r="I300" s="87"/>
    </row>
    <row r="301" spans="8:9" ht="26.25" customHeight="1">
      <c r="H301" s="87"/>
      <c r="I301" s="87"/>
    </row>
    <row r="302" spans="8:9" ht="26.25" customHeight="1">
      <c r="H302" s="87"/>
      <c r="I302" s="87"/>
    </row>
    <row r="303" spans="8:9" ht="26.25" customHeight="1">
      <c r="H303" s="87"/>
      <c r="I303" s="87"/>
    </row>
    <row r="304" spans="8:9" ht="26.25" customHeight="1">
      <c r="H304" s="87"/>
      <c r="I304" s="87"/>
    </row>
    <row r="305" spans="8:9" ht="26.25" customHeight="1">
      <c r="H305" s="87"/>
      <c r="I305" s="87"/>
    </row>
    <row r="306" spans="8:9" ht="26.25" customHeight="1">
      <c r="H306" s="87"/>
      <c r="I306" s="87"/>
    </row>
    <row r="307" spans="8:9" ht="26.25" customHeight="1">
      <c r="H307" s="87"/>
      <c r="I307" s="87"/>
    </row>
    <row r="308" spans="8:9" ht="26.25" customHeight="1">
      <c r="H308" s="87"/>
      <c r="I308" s="87"/>
    </row>
    <row r="309" spans="8:9" ht="26.25" customHeight="1">
      <c r="H309" s="87"/>
      <c r="I309" s="87"/>
    </row>
    <row r="310" spans="8:9" ht="26.25" customHeight="1">
      <c r="H310" s="87"/>
      <c r="I310" s="87"/>
    </row>
    <row r="311" spans="8:9" ht="26.25" customHeight="1">
      <c r="H311" s="87"/>
      <c r="I311" s="87"/>
    </row>
    <row r="312" spans="8:9" ht="26.25" customHeight="1">
      <c r="H312" s="27"/>
      <c r="I312" s="27"/>
    </row>
    <row r="313" spans="8:9" ht="26.25" customHeight="1">
      <c r="H313" s="27"/>
      <c r="I313" s="27"/>
    </row>
    <row r="314" spans="8:9" ht="26.25" customHeight="1">
      <c r="H314" s="74"/>
      <c r="I314" s="74"/>
    </row>
    <row r="315" spans="8:9" ht="26.25" customHeight="1">
      <c r="H315" s="53"/>
      <c r="I315" s="53"/>
    </row>
    <row r="316" spans="8:9" ht="26.25" customHeight="1">
      <c r="H316" s="27"/>
      <c r="I316" s="27"/>
    </row>
    <row r="317" spans="8:9" ht="26.25" customHeight="1">
      <c r="H317" s="27"/>
      <c r="I317" s="27"/>
    </row>
    <row r="318" spans="8:9" ht="26.25" customHeight="1">
      <c r="H318" s="27"/>
      <c r="I318" s="27"/>
    </row>
    <row r="319" spans="8:9" ht="26.25" customHeight="1">
      <c r="H319" s="27"/>
      <c r="I319" s="27"/>
    </row>
    <row r="320" spans="8:9" ht="26.25" customHeight="1">
      <c r="H320" s="27"/>
      <c r="I320" s="27"/>
    </row>
    <row r="321" spans="8:9" ht="26.25" customHeight="1">
      <c r="H321" s="27"/>
      <c r="I321" s="27"/>
    </row>
    <row r="322" spans="8:9" ht="26.25" customHeight="1">
      <c r="H322" s="74"/>
      <c r="I322" s="74"/>
    </row>
    <row r="323" spans="8:9" ht="26.25" customHeight="1">
      <c r="H323" s="53"/>
      <c r="I323" s="53"/>
    </row>
  </sheetData>
  <phoneticPr fontId="57" type="noConversion"/>
  <dataValidations count="44">
    <dataValidation type="textLength" errorStyle="information" allowBlank="1" showInputMessage="1" showErrorMessage="1" error="XLBVal:6=6375.26_x000d__x000a_" sqref="F177:P182">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4200_x000d__x000a_" sqref="F165:P165">
      <formula1>0</formula1>
      <formula2>300</formula2>
    </dataValidation>
    <dataValidation type="textLength" errorStyle="information" allowBlank="1" showInputMessage="1" showErrorMessage="1" error="XLBVal:6=345.11_x000d__x000a_" sqref="E68:P68">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6=8666.12_x000d__x000a_" sqref="E23:P23">
      <formula1>0</formula1>
      <formula2>300</formula2>
    </dataValidation>
    <dataValidation type="textLength" errorStyle="information" allowBlank="1" showInputMessage="1" showErrorMessage="1" error="XLBVal:6=686.98_x000d__x000a_" sqref="E26:P26">
      <formula1>0</formula1>
      <formula2>300</formula2>
    </dataValidation>
    <dataValidation type="textLength" errorStyle="information" allowBlank="1" showInputMessage="1" showErrorMessage="1" error="XLBVal:6=272.8_x000d__x000a_" sqref="E50:P50">
      <formula1>0</formula1>
      <formula2>300</formula2>
    </dataValidation>
    <dataValidation type="textLength" errorStyle="information" allowBlank="1" showInputMessage="1" showErrorMessage="1" error="XLBVal:6=1776.5_x000d__x000a_" sqref="E43:P43">
      <formula1>0</formula1>
      <formula2>300</formula2>
    </dataValidation>
    <dataValidation type="textLength" errorStyle="information" allowBlank="1" showInputMessage="1" showErrorMessage="1" error="XLBVal:6=108.95_x000d__x000a_" sqref="E69:P69">
      <formula1>0</formula1>
      <formula2>300</formula2>
    </dataValidation>
    <dataValidation type="textLength" errorStyle="information" allowBlank="1" showInputMessage="1" showErrorMessage="1" error="XLBVal:6=294_x000d__x000a_" sqref="E70:P70">
      <formula1>0</formula1>
      <formula2>300</formula2>
    </dataValidation>
    <dataValidation type="textLength" errorStyle="information" allowBlank="1" showInputMessage="1" showErrorMessage="1" error="XLBVal:6=0_x000d__x000a_" sqref="E158:Q158">
      <formula1>0</formula1>
      <formula2>300</formula2>
    </dataValidation>
    <dataValidation type="textLength" errorStyle="information" allowBlank="1" showInputMessage="1" showErrorMessage="1" error="XLBVal:6=3239.86_x000d__x000a_" sqref="E159:Q159">
      <formula1>0</formula1>
      <formula2>300</formula2>
    </dataValidation>
    <dataValidation type="textLength" errorStyle="information" allowBlank="1" showInputMessage="1" showErrorMessage="1" error="XLBVal:6=253281.72_x000d__x000a_" sqref="E160:P160">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error="XLBVal:6=3678_x000d__x000a_" sqref="F186:G186 F185:Q185 E185:E186">
      <formula1>0</formula1>
      <formula2>300</formula2>
    </dataValidation>
    <dataValidation type="textLength" errorStyle="information" allowBlank="1" showInputMessage="1" showErrorMessage="1" error="XLBVal:6=870_x000d__x000a_" sqref="F170:P170">
      <formula1>0</formula1>
      <formula2>300</formula2>
    </dataValidation>
    <dataValidation type="textLength" errorStyle="information" allowBlank="1" showInputMessage="1" showErrorMessage="1" error="XLBVal:6=41200_x000d__x000a_" sqref="F164:P164">
      <formula1>0</formula1>
      <formula2>300</formula2>
    </dataValidation>
    <dataValidation type="textLength" errorStyle="information" allowBlank="1" showInputMessage="1" showErrorMessage="1" sqref="F195:Q196 H176:I176 H186:I186 F197:I197 E162:I163 E195:E197">
      <formula1>0</formula1>
      <formula2>300</formula2>
    </dataValidation>
    <dataValidation type="textLength" errorStyle="information" allowBlank="1" showInputMessage="1" showErrorMessage="1" error="XLBVal:6=1271.4_x000d__x000a_" sqref="F168:P168">
      <formula1>0</formula1>
      <formula2>300</formula2>
    </dataValidation>
    <dataValidation type="textLength" errorStyle="information" allowBlank="1" showInputMessage="1" showErrorMessage="1" error="XLBVal:6=13973.8_x000d__x000a_" sqref="F191:P191">
      <formula1>0</formula1>
      <formula2>300</formula2>
    </dataValidation>
    <dataValidation type="textLength" errorStyle="information" allowBlank="1" showInputMessage="1" showErrorMessage="1" error="XLBVal:6=7_x000d__x000a_" sqref="F198:P198">
      <formula1>0</formula1>
      <formula2>300</formula2>
    </dataValidation>
    <dataValidation type="textLength" errorStyle="information" allowBlank="1" showInputMessage="1" showErrorMessage="1" error="XLBVal:6=1260_x000d__x000a_" sqref="Q198">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2=0_x000d__x000a_" sqref="E15:E22 F13:F22 Q23:Q70 Q164:Q165 Q187:Q194 E44:P49 E71:Q157 E27:P42 F192:P193 E187:P190 E24:P25 E170:E174 G15:Q22 E51:P67 E191 E168 E193 F171:P174 E184:P184">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69013_x000d__x000a_" sqref="Q168:Q174">
      <formula1>0</formula1>
      <formula2>300</formula2>
    </dataValidation>
    <dataValidation type="textLength" errorStyle="information" allowBlank="1" showInputMessage="1" showErrorMessage="1" error="XLBVal:6=1293444_x000d__x000a_" sqref="Q177:Q184">
      <formula1>0</formula1>
      <formula2>300</formula2>
    </dataValidation>
    <dataValidation type="textLength" errorStyle="information" allowBlank="1" showInputMessage="1" showErrorMessage="1" error="XLBVal:6=470.34_x000d__x000a_" sqref="E183:P183">
      <formula1>0</formula1>
      <formula2>300</formula2>
    </dataValidation>
    <dataValidation type="textLength" errorStyle="information" allowBlank="1" showInputMessage="1" showErrorMessage="1" error="XLBVal:6=3_x000d__x000a_" sqref="E198">
      <formula1>0</formula1>
      <formula2>300</formula2>
    </dataValidation>
    <dataValidation type="textLength" errorStyle="information" allowBlank="1" showInputMessage="1" showErrorMessage="1" error="XLBVal:6=170_x000d__x000a_" sqref="E181">
      <formula1>0</formula1>
      <formula2>300</formula2>
    </dataValidation>
    <dataValidation type="textLength" errorStyle="information" allowBlank="1" showInputMessage="1" showErrorMessage="1" error="XLBVal:6=1643.16_x000d__x000a_" sqref="E194:P194">
      <formula1>0</formula1>
      <formula2>300</formula2>
    </dataValidation>
    <dataValidation type="textLength" errorStyle="information" allowBlank="1" showInputMessage="1" showErrorMessage="1" error="XLBVal:6=10739.79_x000d__x000a_" sqref="E192">
      <formula1>0</formula1>
      <formula2>300</formula2>
    </dataValidation>
    <dataValidation type="textLength" errorStyle="information" allowBlank="1" showInputMessage="1" showErrorMessage="1" error="XLBVal:6=2146_x000d__x000a_" sqref="E182">
      <formula1>0</formula1>
      <formula2>300</formula2>
    </dataValidation>
    <dataValidation type="textLength" errorStyle="information" allowBlank="1" showInputMessage="1" showErrorMessage="1" error="XLBVal:6=85.98_x000d__x000a_" sqref="E180">
      <formula1>0</formula1>
      <formula2>300</formula2>
    </dataValidation>
    <dataValidation type="textLength" errorStyle="information" allowBlank="1" showInputMessage="1" showErrorMessage="1" error="XLBVal:6=107.47_x000d__x000a_" sqref="E179">
      <formula1>0</formula1>
      <formula2>300</formula2>
    </dataValidation>
    <dataValidation type="textLength" errorStyle="information" allowBlank="1" showInputMessage="1" showErrorMessage="1" error="XLBVal:6=1700_x000d__x000a_" sqref="E178">
      <formula1>0</formula1>
      <formula2>300</formula2>
    </dataValidation>
    <dataValidation type="textLength" errorStyle="information" allowBlank="1" showInputMessage="1" showErrorMessage="1" error="XLBVal:6=3439.04_x000d__x000a_" sqref="E177">
      <formula1>0</formula1>
      <formula2>300</formula2>
    </dataValidation>
    <dataValidation type="textLength" errorStyle="information" allowBlank="1" showInputMessage="1" showErrorMessage="1" error="XLBVal:6=6517.24_x000d__x000a_" sqref="E165">
      <formula1>0</formula1>
      <formula2>300</formula2>
    </dataValidation>
    <dataValidation type="textLength" errorStyle="information" allowBlank="1" showInputMessage="1" showErrorMessage="1" error="XLBVal:6=17000_x000d__x000a_" sqref="E164">
      <formula1>0</formula1>
      <formula2>300</formula2>
    </dataValidation>
    <dataValidation type="textLength" errorStyle="information" allowBlank="1" showInputMessage="1" showErrorMessage="1" error="XLBVal:6=2166.67_x000d__x000a_" sqref="E169:P169">
      <formula1>0</formula1>
      <formula2>300</formula2>
    </dataValidation>
  </dataValidations>
  <printOptions horizontalCentered="1"/>
  <pageMargins left="0.118110236220472" right="0.118110236220472" top="0.59055118110236204" bottom="0.39370078740157499" header="0" footer="0"/>
  <pageSetup paperSize="9" scale="58" fitToHeight="0" orientation="landscape" r:id="rId1"/>
  <headerFooter>
    <oddFooter>&amp;L&amp;"微软雅黑,Regular"&amp;F&amp;C&amp;"微软雅黑,Regular"Page &amp;P of &amp;N&amp;R&amp;"微软雅黑,Regular"&amp;D</oddFooter>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3">
    <tabColor rgb="FF00B050"/>
    <pageSetUpPr fitToPage="1"/>
  </sheetPr>
  <dimension ref="A1:X197"/>
  <sheetViews>
    <sheetView zoomScale="50" zoomScaleNormal="50" zoomScaleSheetLayoutView="40" workbookViewId="0">
      <pane xSplit="4" ySplit="12" topLeftCell="E13" activePane="bottomRight" state="frozen"/>
      <selection activeCell="L7" sqref="L7"/>
      <selection pane="topRight" activeCell="L7" sqref="L7"/>
      <selection pane="bottomLeft" activeCell="L7" sqref="L7"/>
      <selection pane="bottomRight" activeCell="X71" sqref="X71"/>
    </sheetView>
  </sheetViews>
  <sheetFormatPr defaultColWidth="8.875" defaultRowHeight="26.25" customHeight="1" outlineLevelRow="1" outlineLevelCol="1"/>
  <cols>
    <col min="1" max="3" width="15.5" style="5" hidden="1" customWidth="1" outlineLevel="1"/>
    <col min="4" max="4" width="60.5" style="6" customWidth="1" collapsed="1"/>
    <col min="5" max="9" width="22.125" style="7" customWidth="1"/>
    <col min="10" max="16" width="22.125" style="5" customWidth="1"/>
    <col min="17" max="17" width="26.125" style="5" customWidth="1"/>
    <col min="18" max="18" width="28.125" style="5" hidden="1" customWidth="1"/>
    <col min="19" max="19" width="8.875" style="5"/>
    <col min="20" max="20" width="22.5" style="8" hidden="1" customWidth="1"/>
    <col min="21" max="21" width="22.5" style="5" hidden="1" customWidth="1"/>
    <col min="22" max="22" width="20.875" style="5" customWidth="1"/>
    <col min="23" max="23" width="22.5" style="5" customWidth="1"/>
    <col min="24" max="24" width="19.875" style="5" bestFit="1" customWidth="1"/>
    <col min="25" max="16384" width="8.875" style="5"/>
  </cols>
  <sheetData>
    <row r="1" spans="1:21" s="1" customFormat="1" ht="15" customHeight="1" outlineLevel="1">
      <c r="E1" s="9"/>
      <c r="F1" s="9"/>
      <c r="G1" s="9"/>
      <c r="H1" s="9"/>
      <c r="I1" s="9"/>
      <c r="J1" s="9"/>
      <c r="K1" s="9"/>
      <c r="L1" s="9"/>
      <c r="M1" s="9"/>
      <c r="N1" s="9"/>
      <c r="O1" s="9"/>
      <c r="P1" s="9"/>
      <c r="Q1" s="9"/>
      <c r="R1" s="9" t="s">
        <v>14</v>
      </c>
      <c r="T1" s="32"/>
    </row>
    <row r="2" spans="1:21" s="1" customFormat="1" ht="15" customHeight="1" outlineLevel="1">
      <c r="E2" s="9"/>
      <c r="F2" s="9"/>
      <c r="G2" s="9"/>
      <c r="H2" s="9"/>
      <c r="I2" s="9"/>
      <c r="J2" s="9"/>
      <c r="K2" s="9"/>
      <c r="L2" s="9"/>
      <c r="M2" s="9"/>
      <c r="N2" s="9"/>
      <c r="O2" s="9"/>
      <c r="P2" s="9"/>
      <c r="Q2" s="9"/>
      <c r="R2" s="9" t="s">
        <v>15</v>
      </c>
      <c r="T2" s="32"/>
    </row>
    <row r="3" spans="1:21" s="1" customFormat="1" ht="15" customHeight="1" outlineLevel="1">
      <c r="E3" s="9"/>
      <c r="F3" s="9"/>
      <c r="G3" s="9"/>
      <c r="H3" s="9"/>
      <c r="I3" s="9"/>
      <c r="J3" s="9"/>
      <c r="K3" s="9"/>
      <c r="L3" s="9"/>
      <c r="M3" s="9"/>
      <c r="N3" s="9"/>
      <c r="O3" s="9"/>
      <c r="P3" s="9"/>
      <c r="Q3" s="9"/>
      <c r="R3" s="9" t="s">
        <v>375</v>
      </c>
      <c r="T3" s="32"/>
    </row>
    <row r="4" spans="1:21" s="2" customFormat="1" ht="24.95" customHeight="1">
      <c r="D4" s="10" t="str">
        <f>Summary!$D$4</f>
        <v>Hotel Budget Report</v>
      </c>
      <c r="E4" s="11"/>
      <c r="F4" s="11"/>
      <c r="G4" s="12"/>
      <c r="H4" s="13"/>
      <c r="I4" s="13"/>
      <c r="T4" s="33"/>
    </row>
    <row r="5" spans="1:21" s="2" customFormat="1" ht="24.95" customHeight="1">
      <c r="D5" s="10" t="str">
        <f>Summary!$D$5</f>
        <v>酒店预算报表</v>
      </c>
      <c r="E5" s="11"/>
      <c r="F5" s="11"/>
      <c r="G5" s="12"/>
      <c r="H5" s="13"/>
      <c r="I5" s="13"/>
      <c r="T5" s="33"/>
    </row>
    <row r="6" spans="1:21" s="2" customFormat="1" ht="24.95" customHeight="1">
      <c r="D6" s="14" t="s">
        <v>1023</v>
      </c>
      <c r="E6" s="13"/>
      <c r="F6" s="13"/>
      <c r="G6" s="13"/>
      <c r="H6" s="13"/>
      <c r="I6" s="13"/>
      <c r="T6" s="33"/>
    </row>
    <row r="7" spans="1:21" s="2" customFormat="1" ht="24.95" customHeight="1">
      <c r="D7" s="15" t="s">
        <v>1185</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R9" s="18">
        <v>2018</v>
      </c>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T10" s="36" t="s">
        <v>24</v>
      </c>
      <c r="U10" s="37" t="s">
        <v>25</v>
      </c>
    </row>
    <row r="11" spans="1:21" s="3" customFormat="1" ht="24.95" customHeight="1">
      <c r="D11" s="21"/>
      <c r="E11" s="22"/>
      <c r="F11" s="22"/>
      <c r="G11" s="22"/>
      <c r="H11" s="23"/>
      <c r="I11" s="23"/>
      <c r="T11" s="35"/>
    </row>
    <row r="12" spans="1:21" s="3" customFormat="1" ht="24.95" customHeight="1">
      <c r="A12" s="3" t="s">
        <v>482</v>
      </c>
      <c r="B12" s="3" t="s">
        <v>1024</v>
      </c>
      <c r="D12" s="21" t="s">
        <v>137</v>
      </c>
      <c r="E12" s="43">
        <f>E195</f>
        <v>132132.51</v>
      </c>
      <c r="F12" s="43">
        <f t="shared" ref="F12:P12" si="0">F195</f>
        <v>142719.66999999998</v>
      </c>
      <c r="G12" s="43">
        <f t="shared" si="0"/>
        <v>131338.94</v>
      </c>
      <c r="H12" s="43">
        <f t="shared" si="0"/>
        <v>132260.11000000002</v>
      </c>
      <c r="I12" s="43">
        <f t="shared" si="0"/>
        <v>132260.11000000002</v>
      </c>
      <c r="J12" s="43">
        <f t="shared" si="0"/>
        <v>132260.11000000002</v>
      </c>
      <c r="K12" s="43">
        <f t="shared" si="0"/>
        <v>131338.94</v>
      </c>
      <c r="L12" s="43">
        <f t="shared" si="0"/>
        <v>131338.94</v>
      </c>
      <c r="M12" s="43">
        <f t="shared" si="0"/>
        <v>132260.11000000002</v>
      </c>
      <c r="N12" s="43">
        <f t="shared" si="0"/>
        <v>143102.44999999998</v>
      </c>
      <c r="O12" s="43">
        <f t="shared" si="0"/>
        <v>131338.94</v>
      </c>
      <c r="P12" s="43">
        <f t="shared" si="0"/>
        <v>131338.94</v>
      </c>
      <c r="Q12" s="43">
        <f>SUM(E12:P12)</f>
        <v>1603689.7699999998</v>
      </c>
      <c r="R12" s="43">
        <v>8988613.5600000005</v>
      </c>
      <c r="S12" s="39">
        <f>Q12/Summary!$Q$16</f>
        <v>4.8219972867229649E-2</v>
      </c>
      <c r="T12" s="35"/>
      <c r="U12" s="40" t="e">
        <f>-IF(Q12-T12=0,0,(Q12-T12)/T12)</f>
        <v>#DIV/0!</v>
      </c>
    </row>
    <row r="13" spans="1:21" s="3" customFormat="1" ht="24.95" customHeight="1">
      <c r="D13" s="26"/>
      <c r="E13" s="24"/>
      <c r="F13" s="24"/>
      <c r="G13" s="24"/>
      <c r="H13" s="25"/>
      <c r="I13" s="25"/>
      <c r="T13" s="35"/>
      <c r="U13" s="40"/>
    </row>
    <row r="14" spans="1:21" s="3" customFormat="1" ht="24.95" customHeight="1">
      <c r="D14" s="21" t="s">
        <v>138</v>
      </c>
      <c r="E14" s="24"/>
      <c r="F14" s="24"/>
      <c r="G14" s="307"/>
      <c r="H14" s="307"/>
      <c r="I14" s="307"/>
      <c r="J14" s="307"/>
      <c r="K14" s="307"/>
      <c r="L14" s="307"/>
      <c r="M14" s="307"/>
      <c r="N14" s="307"/>
      <c r="O14" s="307"/>
      <c r="P14" s="307"/>
      <c r="T14" s="35"/>
      <c r="U14" s="40"/>
    </row>
    <row r="15" spans="1:21" s="3" customFormat="1" ht="24.95" hidden="1" customHeight="1">
      <c r="A15" s="3" t="s">
        <v>484</v>
      </c>
      <c r="B15" s="3" t="s">
        <v>1024</v>
      </c>
      <c r="D15" s="26" t="s">
        <v>485</v>
      </c>
      <c r="E15" s="27"/>
      <c r="F15" s="27"/>
      <c r="G15" s="27"/>
      <c r="H15" s="27"/>
      <c r="I15" s="27"/>
      <c r="J15" s="27"/>
      <c r="K15" s="27"/>
      <c r="L15" s="27"/>
      <c r="M15" s="27"/>
      <c r="N15" s="27"/>
      <c r="O15" s="27"/>
      <c r="P15" s="27"/>
      <c r="Q15" s="3">
        <f>SUM(E15:P15)</f>
        <v>0</v>
      </c>
      <c r="R15" s="3">
        <v>0</v>
      </c>
      <c r="S15" s="39">
        <f>Q15/Summary!$Q$16</f>
        <v>0</v>
      </c>
      <c r="T15" s="35"/>
      <c r="U15" s="40">
        <f t="shared" ref="U15:U22" si="1">IF(Q15-T15=0,0,(Q15-T15)/T15)</f>
        <v>0</v>
      </c>
    </row>
    <row r="16" spans="1:21" s="3" customFormat="1" ht="24.95" hidden="1" customHeight="1">
      <c r="A16" s="3" t="s">
        <v>486</v>
      </c>
      <c r="B16" s="3" t="s">
        <v>1024</v>
      </c>
      <c r="D16" s="28" t="s">
        <v>487</v>
      </c>
      <c r="E16" s="27"/>
      <c r="F16" s="27"/>
      <c r="G16" s="27"/>
      <c r="H16" s="27"/>
      <c r="I16" s="27"/>
      <c r="J16" s="27"/>
      <c r="K16" s="27"/>
      <c r="L16" s="27"/>
      <c r="M16" s="27"/>
      <c r="N16" s="27"/>
      <c r="O16" s="27"/>
      <c r="P16" s="27"/>
      <c r="Q16" s="3">
        <f t="shared" ref="Q16:Q79" si="2">SUM(E16:P16)</f>
        <v>0</v>
      </c>
      <c r="R16" s="3">
        <v>0</v>
      </c>
      <c r="S16" s="39">
        <f>Q16/Summary!$Q$16</f>
        <v>0</v>
      </c>
      <c r="T16" s="35"/>
      <c r="U16" s="40">
        <f t="shared" si="1"/>
        <v>0</v>
      </c>
    </row>
    <row r="17" spans="1:21" s="3" customFormat="1" ht="24.95" hidden="1" customHeight="1">
      <c r="A17" s="3" t="s">
        <v>488</v>
      </c>
      <c r="B17" s="3" t="s">
        <v>1024</v>
      </c>
      <c r="D17" s="26" t="s">
        <v>489</v>
      </c>
      <c r="E17" s="27"/>
      <c r="F17" s="27"/>
      <c r="G17" s="27"/>
      <c r="H17" s="27"/>
      <c r="I17" s="27"/>
      <c r="J17" s="27"/>
      <c r="K17" s="27"/>
      <c r="L17" s="27"/>
      <c r="M17" s="27"/>
      <c r="N17" s="27"/>
      <c r="O17" s="27"/>
      <c r="P17" s="27"/>
      <c r="Q17" s="3">
        <f t="shared" si="2"/>
        <v>0</v>
      </c>
      <c r="R17" s="3">
        <v>0</v>
      </c>
      <c r="S17" s="39">
        <f>Q17/Summary!$Q$16</f>
        <v>0</v>
      </c>
      <c r="T17" s="35"/>
      <c r="U17" s="40">
        <f t="shared" si="1"/>
        <v>0</v>
      </c>
    </row>
    <row r="18" spans="1:21" s="3" customFormat="1" ht="24.95" hidden="1" customHeight="1">
      <c r="A18" s="3" t="s">
        <v>490</v>
      </c>
      <c r="B18" s="3" t="s">
        <v>1024</v>
      </c>
      <c r="D18" s="26" t="s">
        <v>491</v>
      </c>
      <c r="E18" s="27"/>
      <c r="F18" s="27"/>
      <c r="G18" s="27"/>
      <c r="H18" s="27"/>
      <c r="I18" s="27"/>
      <c r="J18" s="27"/>
      <c r="K18" s="27"/>
      <c r="L18" s="27"/>
      <c r="M18" s="27"/>
      <c r="N18" s="27"/>
      <c r="O18" s="27"/>
      <c r="P18" s="27"/>
      <c r="Q18" s="3">
        <f t="shared" si="2"/>
        <v>0</v>
      </c>
      <c r="R18" s="3">
        <v>0</v>
      </c>
      <c r="S18" s="39">
        <f>Q18/Summary!$Q$16</f>
        <v>0</v>
      </c>
      <c r="T18" s="35"/>
      <c r="U18" s="40">
        <f t="shared" si="1"/>
        <v>0</v>
      </c>
    </row>
    <row r="19" spans="1:21" s="3" customFormat="1" ht="24.95" hidden="1" customHeight="1">
      <c r="A19" s="3" t="s">
        <v>492</v>
      </c>
      <c r="B19" s="3" t="s">
        <v>1024</v>
      </c>
      <c r="D19" s="29" t="s">
        <v>493</v>
      </c>
      <c r="E19" s="27"/>
      <c r="F19" s="27"/>
      <c r="G19" s="27"/>
      <c r="H19" s="27"/>
      <c r="I19" s="27"/>
      <c r="J19" s="27"/>
      <c r="K19" s="27"/>
      <c r="L19" s="27"/>
      <c r="M19" s="27"/>
      <c r="N19" s="27"/>
      <c r="O19" s="27"/>
      <c r="P19" s="27"/>
      <c r="Q19" s="3">
        <f t="shared" si="2"/>
        <v>0</v>
      </c>
      <c r="R19" s="3">
        <v>0</v>
      </c>
      <c r="S19" s="39">
        <f>Q19/Summary!$Q$16</f>
        <v>0</v>
      </c>
      <c r="T19" s="35"/>
      <c r="U19" s="40">
        <f t="shared" si="1"/>
        <v>0</v>
      </c>
    </row>
    <row r="20" spans="1:21" s="3" customFormat="1" ht="24.95" hidden="1" customHeight="1">
      <c r="A20" s="3" t="s">
        <v>494</v>
      </c>
      <c r="B20" s="3" t="s">
        <v>1024</v>
      </c>
      <c r="D20" s="29" t="s">
        <v>495</v>
      </c>
      <c r="E20" s="27"/>
      <c r="F20" s="27"/>
      <c r="G20" s="27"/>
      <c r="H20" s="27"/>
      <c r="I20" s="27"/>
      <c r="J20" s="27"/>
      <c r="K20" s="27"/>
      <c r="L20" s="27"/>
      <c r="M20" s="27"/>
      <c r="N20" s="27"/>
      <c r="O20" s="27"/>
      <c r="P20" s="27"/>
      <c r="Q20" s="3">
        <f t="shared" si="2"/>
        <v>0</v>
      </c>
      <c r="R20" s="3">
        <v>0</v>
      </c>
      <c r="S20" s="39">
        <f>Q20/Summary!$Q$16</f>
        <v>0</v>
      </c>
      <c r="T20" s="35"/>
      <c r="U20" s="40">
        <f t="shared" si="1"/>
        <v>0</v>
      </c>
    </row>
    <row r="21" spans="1:21" s="3" customFormat="1" ht="24.95" hidden="1" customHeight="1">
      <c r="A21" s="3" t="s">
        <v>496</v>
      </c>
      <c r="B21" s="3" t="s">
        <v>1024</v>
      </c>
      <c r="D21" s="26" t="s">
        <v>497</v>
      </c>
      <c r="E21" s="27"/>
      <c r="F21" s="27"/>
      <c r="G21" s="27"/>
      <c r="H21" s="27"/>
      <c r="I21" s="27"/>
      <c r="J21" s="27"/>
      <c r="K21" s="27"/>
      <c r="L21" s="27"/>
      <c r="M21" s="27"/>
      <c r="N21" s="27"/>
      <c r="O21" s="27"/>
      <c r="P21" s="27"/>
      <c r="Q21" s="3">
        <f t="shared" si="2"/>
        <v>0</v>
      </c>
      <c r="R21" s="3">
        <v>0</v>
      </c>
      <c r="S21" s="39">
        <f>Q21/Summary!$Q$16</f>
        <v>0</v>
      </c>
      <c r="T21" s="35"/>
      <c r="U21" s="40">
        <f t="shared" si="1"/>
        <v>0</v>
      </c>
    </row>
    <row r="22" spans="1:21" s="3" customFormat="1" ht="24.95" customHeight="1">
      <c r="A22" s="3" t="s">
        <v>498</v>
      </c>
      <c r="B22" s="3" t="s">
        <v>1024</v>
      </c>
      <c r="D22" s="29" t="s">
        <v>499</v>
      </c>
      <c r="E22" s="27"/>
      <c r="F22" s="27"/>
      <c r="G22" s="27"/>
      <c r="H22" s="27"/>
      <c r="I22" s="27"/>
      <c r="J22" s="27"/>
      <c r="K22" s="27"/>
      <c r="L22" s="27"/>
      <c r="M22" s="27"/>
      <c r="N22" s="27"/>
      <c r="O22" s="27"/>
      <c r="P22" s="27"/>
      <c r="Q22" s="3">
        <f t="shared" si="2"/>
        <v>0</v>
      </c>
      <c r="R22" s="3">
        <v>0</v>
      </c>
      <c r="S22" s="39">
        <f>Q22/Summary!$Q$16</f>
        <v>0</v>
      </c>
      <c r="T22" s="35"/>
      <c r="U22" s="40">
        <f t="shared" si="1"/>
        <v>0</v>
      </c>
    </row>
    <row r="23" spans="1:21" s="3" customFormat="1" ht="24.95" customHeight="1">
      <c r="A23" s="3" t="s">
        <v>500</v>
      </c>
      <c r="B23" s="3" t="s">
        <v>1024</v>
      </c>
      <c r="D23" s="26" t="s">
        <v>501</v>
      </c>
      <c r="E23" s="27"/>
      <c r="F23" s="27"/>
      <c r="G23" s="27"/>
      <c r="H23" s="27"/>
      <c r="I23" s="27"/>
      <c r="J23" s="27"/>
      <c r="K23" s="27"/>
      <c r="L23" s="27"/>
      <c r="M23" s="27"/>
      <c r="N23" s="27"/>
      <c r="O23" s="27"/>
      <c r="P23" s="27"/>
      <c r="Q23" s="3">
        <f t="shared" si="2"/>
        <v>0</v>
      </c>
      <c r="R23" s="3">
        <v>719109.44</v>
      </c>
      <c r="S23" s="39">
        <f>Q23/Summary!$Q$16</f>
        <v>0</v>
      </c>
      <c r="T23" s="35"/>
      <c r="U23" s="40">
        <f>-IF(Q23-T23=0,0,(Q23-T23)/T23)</f>
        <v>0</v>
      </c>
    </row>
    <row r="24" spans="1:21" s="3" customFormat="1" ht="24.95" customHeight="1">
      <c r="A24" s="3" t="s">
        <v>502</v>
      </c>
      <c r="B24" s="3" t="s">
        <v>1024</v>
      </c>
      <c r="D24" s="26" t="s">
        <v>503</v>
      </c>
      <c r="E24" s="27"/>
      <c r="F24" s="27"/>
      <c r="G24" s="27"/>
      <c r="H24" s="27"/>
      <c r="I24" s="27"/>
      <c r="J24" s="27"/>
      <c r="K24" s="27"/>
      <c r="L24" s="27"/>
      <c r="M24" s="27"/>
      <c r="N24" s="27"/>
      <c r="O24" s="27"/>
      <c r="P24" s="27"/>
      <c r="Q24" s="3">
        <f t="shared" si="2"/>
        <v>0</v>
      </c>
      <c r="R24" s="3">
        <v>0</v>
      </c>
      <c r="S24" s="39">
        <f>Q24/Summary!$Q$16</f>
        <v>0</v>
      </c>
      <c r="T24" s="35"/>
      <c r="U24" s="40">
        <f t="shared" ref="U24:U87" si="3">-IF(Q24-T24=0,0,(Q24-T24)/T24)</f>
        <v>0</v>
      </c>
    </row>
    <row r="25" spans="1:21" s="3" customFormat="1" ht="24.95" customHeight="1">
      <c r="A25" s="3" t="s">
        <v>504</v>
      </c>
      <c r="B25" s="3" t="s">
        <v>1024</v>
      </c>
      <c r="D25" s="26" t="s">
        <v>505</v>
      </c>
      <c r="E25" s="27"/>
      <c r="F25" s="27"/>
      <c r="G25" s="27"/>
      <c r="H25" s="27"/>
      <c r="I25" s="27"/>
      <c r="J25" s="27"/>
      <c r="K25" s="27"/>
      <c r="L25" s="27"/>
      <c r="M25" s="27"/>
      <c r="N25" s="27"/>
      <c r="O25" s="27"/>
      <c r="P25" s="27"/>
      <c r="Q25" s="3">
        <f t="shared" si="2"/>
        <v>0</v>
      </c>
      <c r="R25" s="3">
        <v>2000</v>
      </c>
      <c r="S25" s="39">
        <f>Q25/Summary!$Q$16</f>
        <v>0</v>
      </c>
      <c r="T25" s="35"/>
      <c r="U25" s="40">
        <f t="shared" si="3"/>
        <v>0</v>
      </c>
    </row>
    <row r="26" spans="1:21" s="3" customFormat="1" ht="24.95" customHeight="1">
      <c r="A26" s="3" t="s">
        <v>506</v>
      </c>
      <c r="B26" s="3" t="s">
        <v>1024</v>
      </c>
      <c r="D26" s="26" t="s">
        <v>507</v>
      </c>
      <c r="E26" s="27">
        <v>1500</v>
      </c>
      <c r="F26" s="27">
        <v>1500</v>
      </c>
      <c r="G26" s="27">
        <v>1500</v>
      </c>
      <c r="H26" s="27">
        <v>1500</v>
      </c>
      <c r="I26" s="27">
        <v>1500</v>
      </c>
      <c r="J26" s="27">
        <v>1500</v>
      </c>
      <c r="K26" s="27">
        <v>1500</v>
      </c>
      <c r="L26" s="27">
        <v>1500</v>
      </c>
      <c r="M26" s="27">
        <v>1500</v>
      </c>
      <c r="N26" s="27">
        <v>1500</v>
      </c>
      <c r="O26" s="27">
        <v>1500</v>
      </c>
      <c r="P26" s="27">
        <v>1500</v>
      </c>
      <c r="Q26" s="3">
        <f t="shared" si="2"/>
        <v>18000</v>
      </c>
      <c r="R26" s="3">
        <v>154046.97</v>
      </c>
      <c r="S26" s="39">
        <f>Q26/Summary!$Q$16</f>
        <v>5.4122656878339615E-4</v>
      </c>
      <c r="T26" s="35"/>
      <c r="U26" s="40" t="e">
        <f t="shared" si="3"/>
        <v>#DIV/0!</v>
      </c>
    </row>
    <row r="27" spans="1:21" s="3" customFormat="1" ht="24.95" hidden="1" customHeight="1">
      <c r="A27" s="3" t="s">
        <v>508</v>
      </c>
      <c r="B27" s="3" t="s">
        <v>1024</v>
      </c>
      <c r="D27" s="26" t="s">
        <v>509</v>
      </c>
      <c r="E27" s="27"/>
      <c r="F27" s="27"/>
      <c r="G27" s="27"/>
      <c r="H27" s="27"/>
      <c r="I27" s="27"/>
      <c r="J27" s="27"/>
      <c r="K27" s="27"/>
      <c r="L27" s="27"/>
      <c r="M27" s="27"/>
      <c r="N27" s="27"/>
      <c r="O27" s="27"/>
      <c r="P27" s="27"/>
      <c r="Q27" s="3">
        <f t="shared" si="2"/>
        <v>0</v>
      </c>
      <c r="R27" s="3">
        <v>0</v>
      </c>
      <c r="S27" s="39">
        <f>Q27/Summary!$Q$16</f>
        <v>0</v>
      </c>
      <c r="T27" s="35"/>
      <c r="U27" s="40">
        <f t="shared" si="3"/>
        <v>0</v>
      </c>
    </row>
    <row r="28" spans="1:21" s="3" customFormat="1" ht="24.95" hidden="1" customHeight="1">
      <c r="A28" s="3" t="s">
        <v>510</v>
      </c>
      <c r="B28" s="3" t="s">
        <v>1024</v>
      </c>
      <c r="D28" s="26" t="s">
        <v>511</v>
      </c>
      <c r="E28" s="27"/>
      <c r="F28" s="27"/>
      <c r="G28" s="27"/>
      <c r="H28" s="27"/>
      <c r="I28" s="27"/>
      <c r="J28" s="27"/>
      <c r="K28" s="27"/>
      <c r="L28" s="27"/>
      <c r="M28" s="27"/>
      <c r="N28" s="27"/>
      <c r="O28" s="27"/>
      <c r="P28" s="27"/>
      <c r="Q28" s="3">
        <f t="shared" si="2"/>
        <v>0</v>
      </c>
      <c r="R28" s="3">
        <v>0</v>
      </c>
      <c r="S28" s="39">
        <f>Q28/Summary!$Q$16</f>
        <v>0</v>
      </c>
      <c r="T28" s="35"/>
      <c r="U28" s="40">
        <f t="shared" si="3"/>
        <v>0</v>
      </c>
    </row>
    <row r="29" spans="1:21" s="3" customFormat="1" ht="24.95" hidden="1" customHeight="1">
      <c r="A29" s="3" t="s">
        <v>512</v>
      </c>
      <c r="B29" s="3" t="s">
        <v>1024</v>
      </c>
      <c r="D29" s="26" t="s">
        <v>169</v>
      </c>
      <c r="E29" s="27"/>
      <c r="F29" s="27"/>
      <c r="G29" s="27"/>
      <c r="H29" s="27"/>
      <c r="I29" s="27"/>
      <c r="J29" s="27"/>
      <c r="K29" s="27"/>
      <c r="L29" s="27"/>
      <c r="M29" s="27"/>
      <c r="N29" s="27"/>
      <c r="O29" s="27"/>
      <c r="P29" s="27"/>
      <c r="Q29" s="3">
        <f t="shared" si="2"/>
        <v>0</v>
      </c>
      <c r="R29" s="3">
        <v>0</v>
      </c>
      <c r="S29" s="39">
        <f>Q29/Summary!$Q$16</f>
        <v>0</v>
      </c>
      <c r="T29" s="35"/>
      <c r="U29" s="40">
        <f t="shared" si="3"/>
        <v>0</v>
      </c>
    </row>
    <row r="30" spans="1:21" s="3" customFormat="1" ht="24.95" hidden="1" customHeight="1">
      <c r="A30" s="3" t="s">
        <v>513</v>
      </c>
      <c r="B30" s="3" t="s">
        <v>1024</v>
      </c>
      <c r="D30" s="26" t="s">
        <v>171</v>
      </c>
      <c r="E30" s="27"/>
      <c r="F30" s="27"/>
      <c r="G30" s="27"/>
      <c r="H30" s="27"/>
      <c r="I30" s="27"/>
      <c r="J30" s="27"/>
      <c r="K30" s="27"/>
      <c r="L30" s="27"/>
      <c r="M30" s="27"/>
      <c r="N30" s="27"/>
      <c r="O30" s="27"/>
      <c r="P30" s="27"/>
      <c r="Q30" s="3">
        <f t="shared" si="2"/>
        <v>0</v>
      </c>
      <c r="R30" s="3">
        <v>0</v>
      </c>
      <c r="S30" s="39">
        <f>Q30/Summary!$Q$16</f>
        <v>0</v>
      </c>
      <c r="T30" s="35"/>
      <c r="U30" s="40">
        <f t="shared" si="3"/>
        <v>0</v>
      </c>
    </row>
    <row r="31" spans="1:21" s="3" customFormat="1" ht="24.95" customHeight="1">
      <c r="A31" s="3" t="s">
        <v>514</v>
      </c>
      <c r="B31" s="3" t="s">
        <v>1024</v>
      </c>
      <c r="D31" s="26" t="s">
        <v>515</v>
      </c>
      <c r="E31" s="27"/>
      <c r="F31" s="27"/>
      <c r="G31" s="27"/>
      <c r="H31" s="27"/>
      <c r="I31" s="27"/>
      <c r="J31" s="27"/>
      <c r="K31" s="27"/>
      <c r="L31" s="27"/>
      <c r="M31" s="27"/>
      <c r="N31" s="27"/>
      <c r="O31" s="27"/>
      <c r="P31" s="27"/>
      <c r="Q31" s="3">
        <f t="shared" si="2"/>
        <v>0</v>
      </c>
      <c r="R31" s="3">
        <v>0</v>
      </c>
      <c r="S31" s="39">
        <f>Q31/Summary!$Q$16</f>
        <v>0</v>
      </c>
      <c r="T31" s="35"/>
      <c r="U31" s="40">
        <f t="shared" si="3"/>
        <v>0</v>
      </c>
    </row>
    <row r="32" spans="1:21" s="3" customFormat="1" ht="24.95" hidden="1" customHeight="1">
      <c r="A32" s="3" t="s">
        <v>516</v>
      </c>
      <c r="B32" s="3" t="s">
        <v>1024</v>
      </c>
      <c r="D32" s="26" t="s">
        <v>517</v>
      </c>
      <c r="E32" s="27"/>
      <c r="F32" s="27"/>
      <c r="G32" s="27"/>
      <c r="H32" s="27"/>
      <c r="I32" s="27"/>
      <c r="J32" s="27"/>
      <c r="K32" s="27"/>
      <c r="L32" s="27"/>
      <c r="M32" s="27"/>
      <c r="N32" s="27"/>
      <c r="O32" s="27"/>
      <c r="P32" s="27"/>
      <c r="Q32" s="3">
        <f t="shared" si="2"/>
        <v>0</v>
      </c>
      <c r="R32" s="3">
        <v>0</v>
      </c>
      <c r="S32" s="39">
        <f>Q32/Summary!$Q$16</f>
        <v>0</v>
      </c>
      <c r="T32" s="35"/>
      <c r="U32" s="40">
        <f t="shared" si="3"/>
        <v>0</v>
      </c>
    </row>
    <row r="33" spans="1:21" s="3" customFormat="1" ht="24.95" hidden="1" customHeight="1">
      <c r="A33" s="3" t="s">
        <v>518</v>
      </c>
      <c r="B33" s="3" t="s">
        <v>1024</v>
      </c>
      <c r="D33" s="26" t="s">
        <v>519</v>
      </c>
      <c r="E33" s="27"/>
      <c r="F33" s="27"/>
      <c r="G33" s="27"/>
      <c r="H33" s="27"/>
      <c r="I33" s="27"/>
      <c r="J33" s="27"/>
      <c r="K33" s="27"/>
      <c r="L33" s="27"/>
      <c r="M33" s="27"/>
      <c r="N33" s="27"/>
      <c r="O33" s="27"/>
      <c r="P33" s="27"/>
      <c r="Q33" s="3">
        <f t="shared" si="2"/>
        <v>0</v>
      </c>
      <c r="R33" s="3">
        <v>0</v>
      </c>
      <c r="S33" s="39">
        <f>Q33/Summary!$Q$16</f>
        <v>0</v>
      </c>
      <c r="T33" s="35"/>
      <c r="U33" s="40">
        <f t="shared" si="3"/>
        <v>0</v>
      </c>
    </row>
    <row r="34" spans="1:21" s="3" customFormat="1" ht="24.95" hidden="1" customHeight="1">
      <c r="A34" s="3" t="s">
        <v>520</v>
      </c>
      <c r="B34" s="3" t="s">
        <v>1024</v>
      </c>
      <c r="D34" s="26" t="s">
        <v>521</v>
      </c>
      <c r="E34" s="27"/>
      <c r="F34" s="27"/>
      <c r="G34" s="27"/>
      <c r="H34" s="27"/>
      <c r="I34" s="27"/>
      <c r="J34" s="27"/>
      <c r="K34" s="27"/>
      <c r="L34" s="27"/>
      <c r="M34" s="27"/>
      <c r="N34" s="27"/>
      <c r="O34" s="27"/>
      <c r="P34" s="27"/>
      <c r="Q34" s="3">
        <f t="shared" si="2"/>
        <v>0</v>
      </c>
      <c r="R34" s="3">
        <v>0</v>
      </c>
      <c r="S34" s="39">
        <f>Q34/Summary!$Q$16</f>
        <v>0</v>
      </c>
      <c r="T34" s="35"/>
      <c r="U34" s="40">
        <f t="shared" si="3"/>
        <v>0</v>
      </c>
    </row>
    <row r="35" spans="1:21" s="3" customFormat="1" ht="24.95" hidden="1" customHeight="1">
      <c r="A35" s="3" t="s">
        <v>522</v>
      </c>
      <c r="B35" s="3" t="s">
        <v>1024</v>
      </c>
      <c r="D35" s="26" t="s">
        <v>523</v>
      </c>
      <c r="E35" s="27"/>
      <c r="F35" s="27"/>
      <c r="G35" s="27"/>
      <c r="H35" s="27"/>
      <c r="I35" s="27"/>
      <c r="J35" s="27"/>
      <c r="K35" s="27"/>
      <c r="L35" s="27"/>
      <c r="M35" s="27"/>
      <c r="N35" s="27"/>
      <c r="O35" s="27"/>
      <c r="P35" s="27"/>
      <c r="Q35" s="3">
        <f t="shared" si="2"/>
        <v>0</v>
      </c>
      <c r="R35" s="3">
        <v>0</v>
      </c>
      <c r="S35" s="39">
        <f>Q35/Summary!$Q$16</f>
        <v>0</v>
      </c>
      <c r="T35" s="35"/>
      <c r="U35" s="40">
        <f t="shared" si="3"/>
        <v>0</v>
      </c>
    </row>
    <row r="36" spans="1:21" s="3" customFormat="1" ht="24.95" hidden="1" customHeight="1">
      <c r="A36" s="3" t="s">
        <v>524</v>
      </c>
      <c r="B36" s="3" t="s">
        <v>1024</v>
      </c>
      <c r="D36" s="26" t="s">
        <v>525</v>
      </c>
      <c r="E36" s="27"/>
      <c r="F36" s="27"/>
      <c r="G36" s="27"/>
      <c r="H36" s="27"/>
      <c r="I36" s="27"/>
      <c r="J36" s="27"/>
      <c r="K36" s="27"/>
      <c r="L36" s="27"/>
      <c r="M36" s="27"/>
      <c r="N36" s="27"/>
      <c r="O36" s="27"/>
      <c r="P36" s="27"/>
      <c r="Q36" s="3">
        <f t="shared" si="2"/>
        <v>0</v>
      </c>
      <c r="R36" s="3">
        <v>0</v>
      </c>
      <c r="S36" s="39">
        <f>Q36/Summary!$Q$16</f>
        <v>0</v>
      </c>
      <c r="T36" s="35"/>
      <c r="U36" s="40">
        <f t="shared" si="3"/>
        <v>0</v>
      </c>
    </row>
    <row r="37" spans="1:21" s="3" customFormat="1" ht="24.95" hidden="1" customHeight="1">
      <c r="A37" s="3" t="s">
        <v>526</v>
      </c>
      <c r="B37" s="3" t="s">
        <v>1024</v>
      </c>
      <c r="D37" s="26" t="s">
        <v>527</v>
      </c>
      <c r="E37" s="27"/>
      <c r="F37" s="27"/>
      <c r="G37" s="27"/>
      <c r="H37" s="27"/>
      <c r="I37" s="27"/>
      <c r="J37" s="27"/>
      <c r="K37" s="27"/>
      <c r="L37" s="27"/>
      <c r="M37" s="27"/>
      <c r="N37" s="27"/>
      <c r="O37" s="27"/>
      <c r="P37" s="27"/>
      <c r="Q37" s="3">
        <f t="shared" si="2"/>
        <v>0</v>
      </c>
      <c r="R37" s="3">
        <v>0</v>
      </c>
      <c r="S37" s="39">
        <f>Q37/Summary!$Q$16</f>
        <v>0</v>
      </c>
      <c r="T37" s="35"/>
      <c r="U37" s="40">
        <f t="shared" si="3"/>
        <v>0</v>
      </c>
    </row>
    <row r="38" spans="1:21" s="3" customFormat="1" ht="24.95" hidden="1" customHeight="1">
      <c r="A38" s="3" t="s">
        <v>528</v>
      </c>
      <c r="B38" s="3" t="s">
        <v>1024</v>
      </c>
      <c r="D38" s="26" t="s">
        <v>529</v>
      </c>
      <c r="E38" s="27"/>
      <c r="F38" s="27"/>
      <c r="G38" s="27"/>
      <c r="H38" s="27"/>
      <c r="I38" s="27"/>
      <c r="J38" s="27"/>
      <c r="K38" s="27"/>
      <c r="L38" s="27"/>
      <c r="M38" s="27"/>
      <c r="N38" s="27"/>
      <c r="O38" s="27"/>
      <c r="P38" s="27"/>
      <c r="Q38" s="3">
        <f t="shared" si="2"/>
        <v>0</v>
      </c>
      <c r="R38" s="3">
        <v>0</v>
      </c>
      <c r="S38" s="39">
        <f>Q38/Summary!$Q$16</f>
        <v>0</v>
      </c>
      <c r="T38" s="35"/>
      <c r="U38" s="40">
        <f t="shared" si="3"/>
        <v>0</v>
      </c>
    </row>
    <row r="39" spans="1:21" s="3" customFormat="1" ht="24.95" hidden="1" customHeight="1">
      <c r="A39" s="3" t="s">
        <v>530</v>
      </c>
      <c r="B39" s="3" t="s">
        <v>1024</v>
      </c>
      <c r="D39" s="26" t="s">
        <v>531</v>
      </c>
      <c r="E39" s="27"/>
      <c r="F39" s="27"/>
      <c r="G39" s="27"/>
      <c r="H39" s="27"/>
      <c r="I39" s="27"/>
      <c r="J39" s="27"/>
      <c r="K39" s="27"/>
      <c r="L39" s="27"/>
      <c r="M39" s="27"/>
      <c r="N39" s="27"/>
      <c r="O39" s="27"/>
      <c r="P39" s="27"/>
      <c r="Q39" s="3">
        <f t="shared" si="2"/>
        <v>0</v>
      </c>
      <c r="R39" s="3">
        <v>0</v>
      </c>
      <c r="S39" s="39">
        <f>Q39/Summary!$Q$16</f>
        <v>0</v>
      </c>
      <c r="T39" s="35"/>
      <c r="U39" s="40">
        <f t="shared" si="3"/>
        <v>0</v>
      </c>
    </row>
    <row r="40" spans="1:21" s="3" customFormat="1" ht="24.95" hidden="1" customHeight="1">
      <c r="A40" s="3" t="s">
        <v>532</v>
      </c>
      <c r="B40" s="3" t="s">
        <v>1024</v>
      </c>
      <c r="D40" s="26" t="s">
        <v>1182</v>
      </c>
      <c r="E40" s="27"/>
      <c r="F40" s="27"/>
      <c r="G40" s="27"/>
      <c r="H40" s="27"/>
      <c r="I40" s="27"/>
      <c r="J40" s="27"/>
      <c r="K40" s="27"/>
      <c r="L40" s="27"/>
      <c r="M40" s="27"/>
      <c r="N40" s="27"/>
      <c r="O40" s="27"/>
      <c r="P40" s="27"/>
      <c r="Q40" s="3">
        <f t="shared" si="2"/>
        <v>0</v>
      </c>
      <c r="R40" s="3">
        <v>0</v>
      </c>
      <c r="S40" s="39">
        <f>Q40/Summary!$Q$16</f>
        <v>0</v>
      </c>
      <c r="T40" s="35"/>
      <c r="U40" s="40">
        <f t="shared" si="3"/>
        <v>0</v>
      </c>
    </row>
    <row r="41" spans="1:21" s="3" customFormat="1" ht="24.95" hidden="1" customHeight="1">
      <c r="A41" s="3" t="s">
        <v>534</v>
      </c>
      <c r="B41" s="3" t="s">
        <v>1024</v>
      </c>
      <c r="D41" s="26" t="s">
        <v>535</v>
      </c>
      <c r="E41" s="27"/>
      <c r="F41" s="27"/>
      <c r="G41" s="27"/>
      <c r="H41" s="27"/>
      <c r="I41" s="27"/>
      <c r="J41" s="27"/>
      <c r="K41" s="27"/>
      <c r="L41" s="27"/>
      <c r="M41" s="27"/>
      <c r="N41" s="27"/>
      <c r="O41" s="27"/>
      <c r="P41" s="27"/>
      <c r="Q41" s="3">
        <f t="shared" si="2"/>
        <v>0</v>
      </c>
      <c r="R41" s="3">
        <v>0</v>
      </c>
      <c r="S41" s="39">
        <f>Q41/Summary!$Q$16</f>
        <v>0</v>
      </c>
      <c r="T41" s="35"/>
      <c r="U41" s="40">
        <f t="shared" si="3"/>
        <v>0</v>
      </c>
    </row>
    <row r="42" spans="1:21" s="3" customFormat="1" ht="24.95" customHeight="1">
      <c r="A42" s="3" t="s">
        <v>536</v>
      </c>
      <c r="B42" s="3" t="s">
        <v>1024</v>
      </c>
      <c r="D42" s="26" t="s">
        <v>537</v>
      </c>
      <c r="E42" s="27"/>
      <c r="F42" s="27"/>
      <c r="G42" s="27"/>
      <c r="H42" s="27"/>
      <c r="I42" s="27"/>
      <c r="J42" s="27"/>
      <c r="K42" s="27"/>
      <c r="L42" s="27"/>
      <c r="M42" s="27"/>
      <c r="N42" s="27"/>
      <c r="O42" s="27"/>
      <c r="P42" s="27"/>
      <c r="Q42" s="3">
        <f t="shared" si="2"/>
        <v>0</v>
      </c>
      <c r="R42" s="3">
        <v>0</v>
      </c>
      <c r="S42" s="39">
        <f>Q42/Summary!$Q$16</f>
        <v>0</v>
      </c>
      <c r="T42" s="35"/>
      <c r="U42" s="40">
        <f t="shared" si="3"/>
        <v>0</v>
      </c>
    </row>
    <row r="43" spans="1:21" s="3" customFormat="1" ht="24.95" customHeight="1">
      <c r="A43" s="3" t="s">
        <v>538</v>
      </c>
      <c r="B43" s="3" t="s">
        <v>1024</v>
      </c>
      <c r="D43" s="26" t="s">
        <v>539</v>
      </c>
      <c r="E43" s="27">
        <v>160</v>
      </c>
      <c r="F43" s="27">
        <v>160</v>
      </c>
      <c r="G43" s="27">
        <v>160</v>
      </c>
      <c r="H43" s="27">
        <v>160</v>
      </c>
      <c r="I43" s="27">
        <v>160</v>
      </c>
      <c r="J43" s="27">
        <v>160</v>
      </c>
      <c r="K43" s="27">
        <v>160</v>
      </c>
      <c r="L43" s="27">
        <v>160</v>
      </c>
      <c r="M43" s="27">
        <v>160</v>
      </c>
      <c r="N43" s="27">
        <v>160</v>
      </c>
      <c r="O43" s="27">
        <v>160</v>
      </c>
      <c r="P43" s="27">
        <v>160</v>
      </c>
      <c r="Q43" s="3">
        <f t="shared" si="2"/>
        <v>1920</v>
      </c>
      <c r="R43" s="3">
        <v>29590.75</v>
      </c>
      <c r="S43" s="39">
        <f>Q43/Summary!$Q$16</f>
        <v>5.7730834003562254E-5</v>
      </c>
      <c r="T43" s="35"/>
      <c r="U43" s="40" t="e">
        <f t="shared" si="3"/>
        <v>#DIV/0!</v>
      </c>
    </row>
    <row r="44" spans="1:21" s="3" customFormat="1" ht="24.95" hidden="1" customHeight="1">
      <c r="A44" s="3" t="s">
        <v>540</v>
      </c>
      <c r="B44" s="3" t="s">
        <v>1024</v>
      </c>
      <c r="D44" s="26" t="s">
        <v>541</v>
      </c>
      <c r="E44" s="27"/>
      <c r="F44" s="27"/>
      <c r="G44" s="27"/>
      <c r="H44" s="27"/>
      <c r="I44" s="27"/>
      <c r="J44" s="27"/>
      <c r="K44" s="27"/>
      <c r="L44" s="27"/>
      <c r="M44" s="27"/>
      <c r="N44" s="27"/>
      <c r="O44" s="27"/>
      <c r="P44" s="27"/>
      <c r="Q44" s="3">
        <f t="shared" si="2"/>
        <v>0</v>
      </c>
      <c r="R44" s="3">
        <v>0</v>
      </c>
      <c r="S44" s="39">
        <f>Q44/Summary!$Q$16</f>
        <v>0</v>
      </c>
      <c r="T44" s="35"/>
      <c r="U44" s="40">
        <f t="shared" si="3"/>
        <v>0</v>
      </c>
    </row>
    <row r="45" spans="1:21" s="3" customFormat="1" ht="24.95" hidden="1" customHeight="1">
      <c r="A45" s="3" t="s">
        <v>542</v>
      </c>
      <c r="B45" s="3" t="s">
        <v>1024</v>
      </c>
      <c r="D45" s="26" t="s">
        <v>543</v>
      </c>
      <c r="E45" s="27"/>
      <c r="F45" s="27"/>
      <c r="G45" s="27"/>
      <c r="H45" s="27"/>
      <c r="I45" s="27"/>
      <c r="J45" s="27"/>
      <c r="K45" s="27"/>
      <c r="L45" s="27"/>
      <c r="M45" s="27"/>
      <c r="N45" s="27"/>
      <c r="O45" s="27"/>
      <c r="P45" s="27"/>
      <c r="Q45" s="3">
        <f t="shared" si="2"/>
        <v>0</v>
      </c>
      <c r="R45" s="3">
        <v>0</v>
      </c>
      <c r="S45" s="39">
        <f>Q45/Summary!$Q$16</f>
        <v>0</v>
      </c>
      <c r="T45" s="35"/>
      <c r="U45" s="40">
        <f t="shared" si="3"/>
        <v>0</v>
      </c>
    </row>
    <row r="46" spans="1:21" s="3" customFormat="1" ht="24.95" hidden="1" customHeight="1">
      <c r="A46" s="3" t="s">
        <v>544</v>
      </c>
      <c r="B46" s="3" t="s">
        <v>1024</v>
      </c>
      <c r="D46" s="29" t="s">
        <v>545</v>
      </c>
      <c r="E46" s="27"/>
      <c r="F46" s="27"/>
      <c r="G46" s="27"/>
      <c r="H46" s="27"/>
      <c r="I46" s="27"/>
      <c r="J46" s="27"/>
      <c r="K46" s="27"/>
      <c r="L46" s="27"/>
      <c r="M46" s="27"/>
      <c r="N46" s="27"/>
      <c r="O46" s="27"/>
      <c r="P46" s="27"/>
      <c r="Q46" s="3">
        <f t="shared" si="2"/>
        <v>0</v>
      </c>
      <c r="R46" s="3">
        <v>0</v>
      </c>
      <c r="S46" s="39">
        <f>Q46/Summary!$Q$16</f>
        <v>0</v>
      </c>
      <c r="T46" s="35"/>
      <c r="U46" s="40">
        <f t="shared" si="3"/>
        <v>0</v>
      </c>
    </row>
    <row r="47" spans="1:21" s="3" customFormat="1" ht="24.95" hidden="1" customHeight="1">
      <c r="A47" s="3" t="s">
        <v>546</v>
      </c>
      <c r="B47" s="3" t="s">
        <v>1024</v>
      </c>
      <c r="D47" s="26" t="s">
        <v>547</v>
      </c>
      <c r="E47" s="27"/>
      <c r="F47" s="27"/>
      <c r="G47" s="27"/>
      <c r="H47" s="27"/>
      <c r="I47" s="27"/>
      <c r="J47" s="27"/>
      <c r="K47" s="27"/>
      <c r="L47" s="27"/>
      <c r="M47" s="27"/>
      <c r="N47" s="27"/>
      <c r="O47" s="27"/>
      <c r="P47" s="27"/>
      <c r="Q47" s="3">
        <f t="shared" si="2"/>
        <v>0</v>
      </c>
      <c r="R47" s="3">
        <v>0</v>
      </c>
      <c r="S47" s="39">
        <f>Q47/Summary!$Q$16</f>
        <v>0</v>
      </c>
      <c r="T47" s="35"/>
      <c r="U47" s="40">
        <f t="shared" si="3"/>
        <v>0</v>
      </c>
    </row>
    <row r="48" spans="1:21" s="3" customFormat="1" ht="24.95" hidden="1" customHeight="1">
      <c r="A48" s="3" t="s">
        <v>548</v>
      </c>
      <c r="B48" s="3" t="s">
        <v>1024</v>
      </c>
      <c r="D48" s="26" t="s">
        <v>549</v>
      </c>
      <c r="E48" s="27"/>
      <c r="F48" s="27"/>
      <c r="G48" s="27"/>
      <c r="H48" s="27"/>
      <c r="I48" s="27"/>
      <c r="J48" s="27"/>
      <c r="K48" s="27"/>
      <c r="L48" s="27"/>
      <c r="M48" s="27"/>
      <c r="N48" s="27"/>
      <c r="O48" s="27"/>
      <c r="P48" s="27"/>
      <c r="Q48" s="3">
        <f t="shared" si="2"/>
        <v>0</v>
      </c>
      <c r="R48" s="3">
        <v>0</v>
      </c>
      <c r="S48" s="39">
        <f>Q48/Summary!$Q$16</f>
        <v>0</v>
      </c>
      <c r="T48" s="35"/>
      <c r="U48" s="40">
        <f t="shared" si="3"/>
        <v>0</v>
      </c>
    </row>
    <row r="49" spans="1:21" s="3" customFormat="1" ht="24.95" hidden="1" customHeight="1">
      <c r="A49" s="3" t="s">
        <v>550</v>
      </c>
      <c r="B49" s="3" t="s">
        <v>1024</v>
      </c>
      <c r="D49" s="26" t="s">
        <v>551</v>
      </c>
      <c r="E49" s="27"/>
      <c r="F49" s="27"/>
      <c r="G49" s="27"/>
      <c r="H49" s="27"/>
      <c r="I49" s="27"/>
      <c r="J49" s="27"/>
      <c r="K49" s="27"/>
      <c r="L49" s="27"/>
      <c r="M49" s="27"/>
      <c r="N49" s="27"/>
      <c r="O49" s="27"/>
      <c r="P49" s="27"/>
      <c r="Q49" s="3">
        <f t="shared" si="2"/>
        <v>0</v>
      </c>
      <c r="R49" s="3">
        <v>0</v>
      </c>
      <c r="S49" s="39">
        <f>Q49/Summary!$Q$16</f>
        <v>0</v>
      </c>
      <c r="T49" s="35"/>
      <c r="U49" s="40">
        <f t="shared" si="3"/>
        <v>0</v>
      </c>
    </row>
    <row r="50" spans="1:21" s="3" customFormat="1" ht="24.95" hidden="1" customHeight="1">
      <c r="A50" s="3" t="s">
        <v>552</v>
      </c>
      <c r="B50" s="3" t="s">
        <v>1024</v>
      </c>
      <c r="D50" s="26" t="s">
        <v>553</v>
      </c>
      <c r="E50" s="27"/>
      <c r="F50" s="27"/>
      <c r="G50" s="27"/>
      <c r="H50" s="27"/>
      <c r="I50" s="27"/>
      <c r="J50" s="27"/>
      <c r="K50" s="27"/>
      <c r="L50" s="27"/>
      <c r="M50" s="27"/>
      <c r="N50" s="27"/>
      <c r="O50" s="27"/>
      <c r="P50" s="27"/>
      <c r="Q50" s="3">
        <f t="shared" si="2"/>
        <v>0</v>
      </c>
      <c r="R50" s="3">
        <v>10710.05</v>
      </c>
      <c r="S50" s="39">
        <f>Q50/Summary!$Q$16</f>
        <v>0</v>
      </c>
      <c r="T50" s="35"/>
      <c r="U50" s="40">
        <f t="shared" si="3"/>
        <v>0</v>
      </c>
    </row>
    <row r="51" spans="1:21" s="3" customFormat="1" ht="24.95" hidden="1" customHeight="1">
      <c r="A51" s="3" t="s">
        <v>554</v>
      </c>
      <c r="B51" s="3" t="s">
        <v>1024</v>
      </c>
      <c r="D51" s="26" t="s">
        <v>555</v>
      </c>
      <c r="E51" s="27"/>
      <c r="F51" s="27"/>
      <c r="G51" s="27"/>
      <c r="H51" s="27"/>
      <c r="I51" s="27"/>
      <c r="J51" s="27"/>
      <c r="K51" s="27"/>
      <c r="L51" s="27"/>
      <c r="M51" s="27"/>
      <c r="N51" s="27"/>
      <c r="O51" s="27"/>
      <c r="P51" s="27"/>
      <c r="Q51" s="3">
        <f t="shared" si="2"/>
        <v>0</v>
      </c>
      <c r="R51" s="3">
        <v>0</v>
      </c>
      <c r="S51" s="39">
        <f>Q51/Summary!$Q$16</f>
        <v>0</v>
      </c>
      <c r="T51" s="35"/>
      <c r="U51" s="40">
        <f t="shared" si="3"/>
        <v>0</v>
      </c>
    </row>
    <row r="52" spans="1:21" s="3" customFormat="1" ht="24.95" hidden="1" customHeight="1">
      <c r="A52" s="3" t="s">
        <v>556</v>
      </c>
      <c r="B52" s="3" t="s">
        <v>1024</v>
      </c>
      <c r="D52" s="26" t="s">
        <v>557</v>
      </c>
      <c r="E52" s="27"/>
      <c r="F52" s="27"/>
      <c r="G52" s="27"/>
      <c r="H52" s="27"/>
      <c r="I52" s="27"/>
      <c r="J52" s="27"/>
      <c r="K52" s="27"/>
      <c r="L52" s="27"/>
      <c r="M52" s="27"/>
      <c r="N52" s="27"/>
      <c r="O52" s="27"/>
      <c r="P52" s="27"/>
      <c r="Q52" s="3">
        <f t="shared" si="2"/>
        <v>0</v>
      </c>
      <c r="R52" s="3">
        <v>0</v>
      </c>
      <c r="S52" s="39">
        <f>Q52/Summary!$Q$16</f>
        <v>0</v>
      </c>
      <c r="T52" s="35"/>
      <c r="U52" s="40">
        <f t="shared" si="3"/>
        <v>0</v>
      </c>
    </row>
    <row r="53" spans="1:21" s="3" customFormat="1" ht="24.95" hidden="1" customHeight="1">
      <c r="A53" s="3" t="s">
        <v>558</v>
      </c>
      <c r="B53" s="3" t="s">
        <v>1024</v>
      </c>
      <c r="D53" s="29" t="s">
        <v>559</v>
      </c>
      <c r="E53" s="27"/>
      <c r="F53" s="27"/>
      <c r="G53" s="27"/>
      <c r="H53" s="27"/>
      <c r="I53" s="27"/>
      <c r="J53" s="27"/>
      <c r="K53" s="27"/>
      <c r="L53" s="27"/>
      <c r="M53" s="27"/>
      <c r="N53" s="27"/>
      <c r="O53" s="27"/>
      <c r="P53" s="27"/>
      <c r="Q53" s="3">
        <f t="shared" si="2"/>
        <v>0</v>
      </c>
      <c r="R53" s="3">
        <v>0</v>
      </c>
      <c r="S53" s="39">
        <f>Q53/Summary!$Q$16</f>
        <v>0</v>
      </c>
      <c r="T53" s="35"/>
      <c r="U53" s="40">
        <f t="shared" si="3"/>
        <v>0</v>
      </c>
    </row>
    <row r="54" spans="1:21" s="3" customFormat="1" ht="24.95" hidden="1" customHeight="1">
      <c r="A54" s="3" t="s">
        <v>560</v>
      </c>
      <c r="B54" s="3" t="s">
        <v>1024</v>
      </c>
      <c r="D54" s="26" t="s">
        <v>561</v>
      </c>
      <c r="E54" s="27"/>
      <c r="F54" s="27"/>
      <c r="G54" s="27"/>
      <c r="H54" s="27"/>
      <c r="I54" s="27"/>
      <c r="J54" s="27"/>
      <c r="K54" s="27"/>
      <c r="L54" s="27"/>
      <c r="M54" s="27"/>
      <c r="N54" s="27"/>
      <c r="O54" s="27"/>
      <c r="P54" s="27"/>
      <c r="Q54" s="3">
        <f t="shared" si="2"/>
        <v>0</v>
      </c>
      <c r="R54" s="3">
        <v>0</v>
      </c>
      <c r="S54" s="39">
        <f>Q54/Summary!$Q$16</f>
        <v>0</v>
      </c>
      <c r="T54" s="35"/>
      <c r="U54" s="40">
        <f t="shared" si="3"/>
        <v>0</v>
      </c>
    </row>
    <row r="55" spans="1:21" s="3" customFormat="1" ht="24.95" hidden="1" customHeight="1">
      <c r="A55" s="3" t="s">
        <v>562</v>
      </c>
      <c r="B55" s="3" t="s">
        <v>1024</v>
      </c>
      <c r="D55" s="29" t="s">
        <v>563</v>
      </c>
      <c r="E55" s="27"/>
      <c r="F55" s="27"/>
      <c r="G55" s="27"/>
      <c r="H55" s="27"/>
      <c r="I55" s="27"/>
      <c r="J55" s="27"/>
      <c r="K55" s="27"/>
      <c r="L55" s="27"/>
      <c r="M55" s="27"/>
      <c r="N55" s="27"/>
      <c r="O55" s="27"/>
      <c r="P55" s="27"/>
      <c r="Q55" s="3">
        <f t="shared" si="2"/>
        <v>0</v>
      </c>
      <c r="R55" s="3">
        <v>20.6</v>
      </c>
      <c r="S55" s="39">
        <f>Q55/Summary!$Q$16</f>
        <v>0</v>
      </c>
      <c r="T55" s="35"/>
      <c r="U55" s="40">
        <f t="shared" si="3"/>
        <v>0</v>
      </c>
    </row>
    <row r="56" spans="1:21" s="3" customFormat="1" ht="24.95" customHeight="1">
      <c r="A56" s="3" t="s">
        <v>564</v>
      </c>
      <c r="B56" s="3" t="s">
        <v>1024</v>
      </c>
      <c r="D56" s="26" t="s">
        <v>565</v>
      </c>
      <c r="E56" s="27"/>
      <c r="F56" s="27"/>
      <c r="G56" s="27"/>
      <c r="H56" s="27"/>
      <c r="I56" s="27"/>
      <c r="J56" s="27"/>
      <c r="K56" s="27"/>
      <c r="L56" s="27"/>
      <c r="M56" s="27"/>
      <c r="N56" s="27"/>
      <c r="O56" s="27"/>
      <c r="P56" s="27"/>
      <c r="Q56" s="3">
        <f t="shared" si="2"/>
        <v>0</v>
      </c>
      <c r="R56" s="3">
        <v>0</v>
      </c>
      <c r="S56" s="39">
        <f>Q56/Summary!$Q$16</f>
        <v>0</v>
      </c>
      <c r="T56" s="35"/>
      <c r="U56" s="40">
        <f t="shared" si="3"/>
        <v>0</v>
      </c>
    </row>
    <row r="57" spans="1:21" s="3" customFormat="1" ht="24.95" hidden="1" customHeight="1">
      <c r="A57" s="3" t="s">
        <v>566</v>
      </c>
      <c r="B57" s="3" t="s">
        <v>1024</v>
      </c>
      <c r="D57" s="26" t="s">
        <v>567</v>
      </c>
      <c r="E57" s="27"/>
      <c r="F57" s="27"/>
      <c r="G57" s="27"/>
      <c r="H57" s="27"/>
      <c r="I57" s="27"/>
      <c r="J57" s="27"/>
      <c r="K57" s="27"/>
      <c r="L57" s="27"/>
      <c r="M57" s="27"/>
      <c r="N57" s="27"/>
      <c r="O57" s="27"/>
      <c r="P57" s="27"/>
      <c r="Q57" s="3">
        <f t="shared" si="2"/>
        <v>0</v>
      </c>
      <c r="R57" s="3">
        <v>0</v>
      </c>
      <c r="S57" s="39">
        <f>Q57/Summary!$Q$16</f>
        <v>0</v>
      </c>
      <c r="T57" s="35"/>
      <c r="U57" s="40">
        <f t="shared" si="3"/>
        <v>0</v>
      </c>
    </row>
    <row r="58" spans="1:21" s="3" customFormat="1" ht="24.95" hidden="1" customHeight="1">
      <c r="A58" s="3" t="s">
        <v>568</v>
      </c>
      <c r="B58" s="3" t="s">
        <v>1024</v>
      </c>
      <c r="D58" s="26" t="s">
        <v>569</v>
      </c>
      <c r="E58" s="27"/>
      <c r="F58" s="27"/>
      <c r="G58" s="27"/>
      <c r="H58" s="27"/>
      <c r="I58" s="27"/>
      <c r="J58" s="27"/>
      <c r="K58" s="27"/>
      <c r="L58" s="27"/>
      <c r="M58" s="27"/>
      <c r="N58" s="27"/>
      <c r="O58" s="27"/>
      <c r="P58" s="27"/>
      <c r="Q58" s="3">
        <f t="shared" si="2"/>
        <v>0</v>
      </c>
      <c r="R58" s="3">
        <v>0</v>
      </c>
      <c r="S58" s="39">
        <f>Q58/Summary!$Q$16</f>
        <v>0</v>
      </c>
      <c r="T58" s="35"/>
      <c r="U58" s="40">
        <f t="shared" si="3"/>
        <v>0</v>
      </c>
    </row>
    <row r="59" spans="1:21" s="3" customFormat="1" ht="24.95" hidden="1" customHeight="1">
      <c r="A59" s="3" t="s">
        <v>570</v>
      </c>
      <c r="B59" s="3" t="s">
        <v>1024</v>
      </c>
      <c r="D59" s="26" t="s">
        <v>571</v>
      </c>
      <c r="E59" s="27"/>
      <c r="F59" s="27"/>
      <c r="G59" s="27"/>
      <c r="H59" s="27"/>
      <c r="I59" s="27"/>
      <c r="J59" s="27"/>
      <c r="K59" s="27"/>
      <c r="L59" s="27"/>
      <c r="M59" s="27"/>
      <c r="N59" s="27"/>
      <c r="O59" s="27"/>
      <c r="P59" s="27"/>
      <c r="Q59" s="3">
        <f t="shared" si="2"/>
        <v>0</v>
      </c>
      <c r="R59" s="3">
        <v>0</v>
      </c>
      <c r="S59" s="39">
        <f>Q59/Summary!$Q$16</f>
        <v>0</v>
      </c>
      <c r="T59" s="35"/>
      <c r="U59" s="40">
        <f t="shared" si="3"/>
        <v>0</v>
      </c>
    </row>
    <row r="60" spans="1:21" s="3" customFormat="1" ht="24.95" hidden="1" customHeight="1">
      <c r="A60" s="3" t="s">
        <v>572</v>
      </c>
      <c r="B60" s="3" t="s">
        <v>1024</v>
      </c>
      <c r="D60" s="26" t="s">
        <v>573</v>
      </c>
      <c r="E60" s="27"/>
      <c r="F60" s="27"/>
      <c r="G60" s="27"/>
      <c r="H60" s="27"/>
      <c r="I60" s="27"/>
      <c r="J60" s="27"/>
      <c r="K60" s="27"/>
      <c r="L60" s="27"/>
      <c r="M60" s="27"/>
      <c r="N60" s="27"/>
      <c r="O60" s="27"/>
      <c r="P60" s="27"/>
      <c r="Q60" s="3">
        <f t="shared" si="2"/>
        <v>0</v>
      </c>
      <c r="R60" s="3">
        <v>0</v>
      </c>
      <c r="S60" s="39">
        <f>Q60/Summary!$Q$16</f>
        <v>0</v>
      </c>
      <c r="T60" s="35"/>
      <c r="U60" s="40">
        <f t="shared" si="3"/>
        <v>0</v>
      </c>
    </row>
    <row r="61" spans="1:21" s="3" customFormat="1" ht="24.95" hidden="1" customHeight="1">
      <c r="A61" s="3" t="s">
        <v>574</v>
      </c>
      <c r="B61" s="3" t="s">
        <v>1024</v>
      </c>
      <c r="D61" s="26" t="s">
        <v>575</v>
      </c>
      <c r="E61" s="27"/>
      <c r="F61" s="27"/>
      <c r="G61" s="27"/>
      <c r="H61" s="27"/>
      <c r="I61" s="27"/>
      <c r="J61" s="27"/>
      <c r="K61" s="27"/>
      <c r="L61" s="27"/>
      <c r="M61" s="27"/>
      <c r="N61" s="27"/>
      <c r="O61" s="27"/>
      <c r="P61" s="27"/>
      <c r="Q61" s="3">
        <f t="shared" si="2"/>
        <v>0</v>
      </c>
      <c r="R61" s="3">
        <v>0</v>
      </c>
      <c r="S61" s="39">
        <f>Q61/Summary!$Q$16</f>
        <v>0</v>
      </c>
      <c r="T61" s="35"/>
      <c r="U61" s="40">
        <f t="shared" si="3"/>
        <v>0</v>
      </c>
    </row>
    <row r="62" spans="1:21" s="3" customFormat="1" ht="24.95" hidden="1" customHeight="1">
      <c r="A62" s="3" t="s">
        <v>576</v>
      </c>
      <c r="B62" s="3" t="s">
        <v>1024</v>
      </c>
      <c r="D62" s="26" t="s">
        <v>577</v>
      </c>
      <c r="E62" s="27"/>
      <c r="F62" s="27"/>
      <c r="G62" s="27"/>
      <c r="H62" s="27"/>
      <c r="I62" s="27"/>
      <c r="J62" s="27"/>
      <c r="K62" s="27"/>
      <c r="L62" s="27"/>
      <c r="M62" s="27"/>
      <c r="N62" s="27"/>
      <c r="O62" s="27"/>
      <c r="P62" s="27"/>
      <c r="Q62" s="3">
        <f t="shared" si="2"/>
        <v>0</v>
      </c>
      <c r="R62" s="3">
        <v>0</v>
      </c>
      <c r="S62" s="39">
        <f>Q62/Summary!$Q$16</f>
        <v>0</v>
      </c>
      <c r="T62" s="35"/>
      <c r="U62" s="40">
        <f t="shared" si="3"/>
        <v>0</v>
      </c>
    </row>
    <row r="63" spans="1:21" s="3" customFormat="1" ht="24.95" hidden="1" customHeight="1">
      <c r="A63" s="3" t="s">
        <v>578</v>
      </c>
      <c r="B63" s="3" t="s">
        <v>1024</v>
      </c>
      <c r="D63" s="26" t="s">
        <v>579</v>
      </c>
      <c r="E63" s="27"/>
      <c r="F63" s="27"/>
      <c r="G63" s="27"/>
      <c r="H63" s="27"/>
      <c r="I63" s="27"/>
      <c r="J63" s="27"/>
      <c r="K63" s="27"/>
      <c r="L63" s="27"/>
      <c r="M63" s="27"/>
      <c r="N63" s="27"/>
      <c r="O63" s="27"/>
      <c r="P63" s="27"/>
      <c r="Q63" s="3">
        <f t="shared" si="2"/>
        <v>0</v>
      </c>
      <c r="R63" s="3">
        <v>0</v>
      </c>
      <c r="S63" s="39">
        <f>Q63/Summary!$Q$16</f>
        <v>0</v>
      </c>
      <c r="T63" s="35"/>
      <c r="U63" s="40">
        <f t="shared" si="3"/>
        <v>0</v>
      </c>
    </row>
    <row r="64" spans="1:21" s="3" customFormat="1" ht="24.95" hidden="1" customHeight="1">
      <c r="A64" s="3" t="s">
        <v>580</v>
      </c>
      <c r="B64" s="3" t="s">
        <v>1024</v>
      </c>
      <c r="D64" s="26" t="s">
        <v>581</v>
      </c>
      <c r="E64" s="27"/>
      <c r="F64" s="27"/>
      <c r="G64" s="27"/>
      <c r="H64" s="27"/>
      <c r="I64" s="27"/>
      <c r="J64" s="27"/>
      <c r="K64" s="27"/>
      <c r="L64" s="27"/>
      <c r="M64" s="27"/>
      <c r="N64" s="27"/>
      <c r="O64" s="27"/>
      <c r="P64" s="27"/>
      <c r="Q64" s="3">
        <f t="shared" si="2"/>
        <v>0</v>
      </c>
      <c r="R64" s="3">
        <v>0</v>
      </c>
      <c r="S64" s="39">
        <f>Q64/Summary!$Q$16</f>
        <v>0</v>
      </c>
      <c r="T64" s="35"/>
      <c r="U64" s="40">
        <f t="shared" si="3"/>
        <v>0</v>
      </c>
    </row>
    <row r="65" spans="1:21" s="3" customFormat="1" ht="24.95" hidden="1" customHeight="1">
      <c r="A65" s="3" t="s">
        <v>582</v>
      </c>
      <c r="B65" s="3" t="s">
        <v>1024</v>
      </c>
      <c r="D65" s="26" t="s">
        <v>583</v>
      </c>
      <c r="E65" s="27"/>
      <c r="F65" s="27"/>
      <c r="G65" s="27"/>
      <c r="H65" s="27"/>
      <c r="I65" s="27"/>
      <c r="J65" s="27"/>
      <c r="K65" s="27"/>
      <c r="L65" s="27"/>
      <c r="M65" s="27"/>
      <c r="N65" s="27"/>
      <c r="O65" s="27"/>
      <c r="P65" s="27"/>
      <c r="Q65" s="3">
        <f t="shared" si="2"/>
        <v>0</v>
      </c>
      <c r="R65" s="3">
        <v>0</v>
      </c>
      <c r="S65" s="39">
        <f>Q65/Summary!$Q$16</f>
        <v>0</v>
      </c>
      <c r="T65" s="35"/>
      <c r="U65" s="40">
        <f t="shared" si="3"/>
        <v>0</v>
      </c>
    </row>
    <row r="66" spans="1:21" s="3" customFormat="1" ht="24.95" hidden="1" customHeight="1">
      <c r="A66" s="3" t="s">
        <v>584</v>
      </c>
      <c r="B66" s="3" t="s">
        <v>1024</v>
      </c>
      <c r="D66" s="26" t="s">
        <v>585</v>
      </c>
      <c r="E66" s="27"/>
      <c r="F66" s="27"/>
      <c r="G66" s="27"/>
      <c r="H66" s="27"/>
      <c r="I66" s="27"/>
      <c r="J66" s="27"/>
      <c r="K66" s="27"/>
      <c r="L66" s="27"/>
      <c r="M66" s="27"/>
      <c r="N66" s="27"/>
      <c r="O66" s="27"/>
      <c r="P66" s="27"/>
      <c r="Q66" s="3">
        <f t="shared" si="2"/>
        <v>0</v>
      </c>
      <c r="R66" s="3">
        <v>0</v>
      </c>
      <c r="S66" s="39">
        <f>Q66/Summary!$Q$16</f>
        <v>0</v>
      </c>
      <c r="T66" s="35"/>
      <c r="U66" s="40">
        <f t="shared" si="3"/>
        <v>0</v>
      </c>
    </row>
    <row r="67" spans="1:21" s="3" customFormat="1" ht="24.95" customHeight="1">
      <c r="A67" s="3" t="s">
        <v>586</v>
      </c>
      <c r="B67" s="3" t="s">
        <v>1024</v>
      </c>
      <c r="D67" s="26" t="s">
        <v>587</v>
      </c>
      <c r="E67" s="27"/>
      <c r="F67" s="27"/>
      <c r="G67" s="27"/>
      <c r="H67" s="27"/>
      <c r="I67" s="27"/>
      <c r="J67" s="27"/>
      <c r="K67" s="27"/>
      <c r="L67" s="27"/>
      <c r="M67" s="27"/>
      <c r="N67" s="27"/>
      <c r="O67" s="27"/>
      <c r="P67" s="27"/>
      <c r="Q67" s="3">
        <f t="shared" si="2"/>
        <v>0</v>
      </c>
      <c r="R67" s="3">
        <v>0</v>
      </c>
      <c r="S67" s="39">
        <f>Q67/Summary!$Q$16</f>
        <v>0</v>
      </c>
      <c r="T67" s="35"/>
      <c r="U67" s="40">
        <f t="shared" si="3"/>
        <v>0</v>
      </c>
    </row>
    <row r="68" spans="1:21" s="3" customFormat="1" ht="24.95" customHeight="1">
      <c r="A68" s="3" t="s">
        <v>588</v>
      </c>
      <c r="B68" s="3" t="s">
        <v>1024</v>
      </c>
      <c r="D68" s="26" t="s">
        <v>589</v>
      </c>
      <c r="E68" s="27"/>
      <c r="F68" s="27"/>
      <c r="G68" s="27"/>
      <c r="H68" s="27"/>
      <c r="I68" s="27"/>
      <c r="J68" s="27"/>
      <c r="K68" s="27"/>
      <c r="L68" s="27"/>
      <c r="M68" s="27"/>
      <c r="N68" s="27"/>
      <c r="O68" s="27"/>
      <c r="P68" s="27"/>
      <c r="Q68" s="3">
        <f t="shared" si="2"/>
        <v>0</v>
      </c>
      <c r="R68" s="3">
        <v>4626.67</v>
      </c>
      <c r="S68" s="39">
        <f>Q68/Summary!$Q$16</f>
        <v>0</v>
      </c>
      <c r="T68" s="35"/>
      <c r="U68" s="40">
        <f t="shared" si="3"/>
        <v>0</v>
      </c>
    </row>
    <row r="69" spans="1:21" s="3" customFormat="1" ht="24.95" customHeight="1">
      <c r="A69" s="3" t="s">
        <v>590</v>
      </c>
      <c r="B69" s="3" t="s">
        <v>1024</v>
      </c>
      <c r="D69" s="26" t="s">
        <v>591</v>
      </c>
      <c r="E69" s="27">
        <v>500</v>
      </c>
      <c r="F69" s="27">
        <v>500</v>
      </c>
      <c r="G69" s="27">
        <v>500</v>
      </c>
      <c r="H69" s="27">
        <v>500</v>
      </c>
      <c r="I69" s="27">
        <v>500</v>
      </c>
      <c r="J69" s="27">
        <v>500</v>
      </c>
      <c r="K69" s="27">
        <v>500</v>
      </c>
      <c r="L69" s="27">
        <v>500</v>
      </c>
      <c r="M69" s="27">
        <v>500</v>
      </c>
      <c r="N69" s="27">
        <v>500</v>
      </c>
      <c r="O69" s="27">
        <v>500</v>
      </c>
      <c r="P69" s="27">
        <v>500</v>
      </c>
      <c r="Q69" s="3">
        <f t="shared" si="2"/>
        <v>6000</v>
      </c>
      <c r="R69" s="3">
        <v>118770.64</v>
      </c>
      <c r="S69" s="39">
        <f>Q69/Summary!$Q$16</f>
        <v>1.8040885626113205E-4</v>
      </c>
      <c r="T69" s="35"/>
      <c r="U69" s="40" t="e">
        <f t="shared" si="3"/>
        <v>#DIV/0!</v>
      </c>
    </row>
    <row r="70" spans="1:21" s="3" customFormat="1" ht="24.95" customHeight="1">
      <c r="A70" s="3" t="s">
        <v>592</v>
      </c>
      <c r="B70" s="3" t="s">
        <v>1024</v>
      </c>
      <c r="D70" s="26" t="s">
        <v>593</v>
      </c>
      <c r="E70" s="27">
        <f>Laundry!E212</f>
        <v>5470.48</v>
      </c>
      <c r="F70" s="27">
        <f>Laundry!F212</f>
        <v>5867.43</v>
      </c>
      <c r="G70" s="27">
        <f>Laundry!G212</f>
        <v>5455.81</v>
      </c>
      <c r="H70" s="27">
        <f>Laundry!H212</f>
        <v>5901.46</v>
      </c>
      <c r="I70" s="27">
        <f>Laundry!I212</f>
        <v>5956.39</v>
      </c>
      <c r="J70" s="27">
        <f>Laundry!J212</f>
        <v>5996.54</v>
      </c>
      <c r="K70" s="27">
        <f>Laundry!K212</f>
        <v>5952.29</v>
      </c>
      <c r="L70" s="27">
        <f>Laundry!L212</f>
        <v>5973.42</v>
      </c>
      <c r="M70" s="27">
        <f>Laundry!M212</f>
        <v>6250.06</v>
      </c>
      <c r="N70" s="27">
        <f>Laundry!N212</f>
        <v>6647</v>
      </c>
      <c r="O70" s="27">
        <f>Laundry!O212</f>
        <v>5789.61</v>
      </c>
      <c r="P70" s="27">
        <f>Laundry!P212</f>
        <v>5709.33</v>
      </c>
      <c r="Q70" s="3">
        <f t="shared" si="2"/>
        <v>70969.819999999992</v>
      </c>
      <c r="R70" s="3">
        <v>31732.28</v>
      </c>
      <c r="S70" s="39">
        <f>Q70/Summary!$Q$16</f>
        <v>2.1339306758764022E-3</v>
      </c>
      <c r="T70" s="35"/>
      <c r="U70" s="40" t="e">
        <f t="shared" si="3"/>
        <v>#DIV/0!</v>
      </c>
    </row>
    <row r="71" spans="1:21" s="3" customFormat="1" ht="24.75" customHeight="1">
      <c r="A71" s="3" t="s">
        <v>594</v>
      </c>
      <c r="B71" s="3" t="s">
        <v>1024</v>
      </c>
      <c r="D71" s="26" t="s">
        <v>595</v>
      </c>
      <c r="E71" s="27"/>
      <c r="F71" s="27"/>
      <c r="G71" s="27"/>
      <c r="H71" s="27"/>
      <c r="I71" s="27"/>
      <c r="J71" s="27"/>
      <c r="K71" s="27"/>
      <c r="L71" s="27"/>
      <c r="M71" s="27"/>
      <c r="N71" s="27"/>
      <c r="O71" s="27"/>
      <c r="P71" s="27"/>
      <c r="Q71" s="3">
        <f t="shared" si="2"/>
        <v>0</v>
      </c>
      <c r="R71" s="3">
        <v>38048.019999999997</v>
      </c>
      <c r="S71" s="39">
        <f>Q71/Summary!$Q$16</f>
        <v>0</v>
      </c>
      <c r="T71" s="35"/>
      <c r="U71" s="40">
        <f t="shared" si="3"/>
        <v>0</v>
      </c>
    </row>
    <row r="72" spans="1:21" s="3" customFormat="1" ht="24.95" customHeight="1">
      <c r="A72" s="3" t="s">
        <v>596</v>
      </c>
      <c r="B72" s="3" t="s">
        <v>1024</v>
      </c>
      <c r="D72" s="26" t="s">
        <v>597</v>
      </c>
      <c r="E72" s="27">
        <v>900</v>
      </c>
      <c r="F72" s="27">
        <v>900</v>
      </c>
      <c r="G72" s="27">
        <v>900</v>
      </c>
      <c r="H72" s="27">
        <v>900</v>
      </c>
      <c r="I72" s="27">
        <v>900</v>
      </c>
      <c r="J72" s="27">
        <v>900</v>
      </c>
      <c r="K72" s="27">
        <v>900</v>
      </c>
      <c r="L72" s="27">
        <v>900</v>
      </c>
      <c r="M72" s="27">
        <v>900</v>
      </c>
      <c r="N72" s="27">
        <v>900</v>
      </c>
      <c r="O72" s="27">
        <v>900</v>
      </c>
      <c r="P72" s="27">
        <v>900</v>
      </c>
      <c r="Q72" s="3">
        <f t="shared" si="2"/>
        <v>10800</v>
      </c>
      <c r="R72" s="3">
        <v>67396.899999999994</v>
      </c>
      <c r="S72" s="39">
        <f>Q72/Summary!$Q$16</f>
        <v>3.247359412700377E-4</v>
      </c>
      <c r="T72" s="35"/>
      <c r="U72" s="40" t="e">
        <f t="shared" si="3"/>
        <v>#DIV/0!</v>
      </c>
    </row>
    <row r="73" spans="1:21" s="3" customFormat="1" ht="24.95" customHeight="1">
      <c r="A73" s="3" t="s">
        <v>598</v>
      </c>
      <c r="B73" s="3" t="s">
        <v>1024</v>
      </c>
      <c r="D73" s="26" t="s">
        <v>599</v>
      </c>
      <c r="E73" s="27"/>
      <c r="F73" s="27"/>
      <c r="G73" s="27"/>
      <c r="H73" s="27"/>
      <c r="I73" s="27"/>
      <c r="J73" s="27"/>
      <c r="K73" s="27"/>
      <c r="L73" s="27"/>
      <c r="M73" s="27"/>
      <c r="N73" s="27"/>
      <c r="O73" s="27"/>
      <c r="P73" s="27"/>
      <c r="Q73" s="3">
        <f t="shared" si="2"/>
        <v>0</v>
      </c>
      <c r="R73" s="3">
        <v>0</v>
      </c>
      <c r="S73" s="39">
        <f>Q73/Summary!$Q$16</f>
        <v>0</v>
      </c>
      <c r="T73" s="35"/>
      <c r="U73" s="40">
        <f t="shared" si="3"/>
        <v>0</v>
      </c>
    </row>
    <row r="74" spans="1:21" s="3" customFormat="1" ht="24.95" customHeight="1">
      <c r="A74" s="3" t="s">
        <v>600</v>
      </c>
      <c r="B74" s="3" t="s">
        <v>1024</v>
      </c>
      <c r="D74" s="26" t="s">
        <v>601</v>
      </c>
      <c r="E74" s="27">
        <v>300</v>
      </c>
      <c r="F74" s="27">
        <v>300</v>
      </c>
      <c r="G74" s="27">
        <v>300</v>
      </c>
      <c r="H74" s="27">
        <v>300</v>
      </c>
      <c r="I74" s="27">
        <v>300</v>
      </c>
      <c r="J74" s="27">
        <v>300</v>
      </c>
      <c r="K74" s="27">
        <v>300</v>
      </c>
      <c r="L74" s="27">
        <v>300</v>
      </c>
      <c r="M74" s="27">
        <v>300</v>
      </c>
      <c r="N74" s="27">
        <v>300</v>
      </c>
      <c r="O74" s="27">
        <v>300</v>
      </c>
      <c r="P74" s="27">
        <v>300</v>
      </c>
      <c r="Q74" s="3">
        <f t="shared" si="2"/>
        <v>3600</v>
      </c>
      <c r="R74" s="3">
        <v>199955.88</v>
      </c>
      <c r="S74" s="39">
        <f>Q74/Summary!$Q$16</f>
        <v>1.0824531375667923E-4</v>
      </c>
      <c r="T74" s="35"/>
      <c r="U74" s="40" t="e">
        <f t="shared" si="3"/>
        <v>#DIV/0!</v>
      </c>
    </row>
    <row r="75" spans="1:21" s="3" customFormat="1" ht="24.95" customHeight="1">
      <c r="A75" s="3" t="s">
        <v>602</v>
      </c>
      <c r="B75" s="3" t="s">
        <v>1024</v>
      </c>
      <c r="D75" s="26" t="s">
        <v>603</v>
      </c>
      <c r="E75" s="27"/>
      <c r="F75" s="27"/>
      <c r="G75" s="27"/>
      <c r="H75" s="27"/>
      <c r="I75" s="27"/>
      <c r="J75" s="27">
        <v>10000</v>
      </c>
      <c r="K75" s="27"/>
      <c r="L75" s="27">
        <v>5000</v>
      </c>
      <c r="M75" s="27"/>
      <c r="N75" s="27"/>
      <c r="O75" s="27"/>
      <c r="P75" s="27"/>
      <c r="Q75" s="3">
        <f t="shared" si="2"/>
        <v>15000</v>
      </c>
      <c r="R75" s="3">
        <v>60789.32</v>
      </c>
      <c r="S75" s="39">
        <f>Q75/Summary!$Q$16</f>
        <v>4.5102214065283013E-4</v>
      </c>
      <c r="T75" s="35"/>
      <c r="U75" s="40" t="e">
        <f t="shared" si="3"/>
        <v>#DIV/0!</v>
      </c>
    </row>
    <row r="76" spans="1:21" s="3" customFormat="1" ht="24.95" customHeight="1">
      <c r="A76" s="3" t="s">
        <v>604</v>
      </c>
      <c r="B76" s="3" t="s">
        <v>1024</v>
      </c>
      <c r="D76" s="26" t="s">
        <v>605</v>
      </c>
      <c r="E76" s="27"/>
      <c r="F76" s="27"/>
      <c r="G76" s="27"/>
      <c r="H76" s="27"/>
      <c r="I76" s="27"/>
      <c r="J76" s="27"/>
      <c r="K76" s="27"/>
      <c r="L76" s="27"/>
      <c r="M76" s="27"/>
      <c r="N76" s="27"/>
      <c r="O76" s="27"/>
      <c r="P76" s="27"/>
      <c r="Q76" s="3">
        <f t="shared" si="2"/>
        <v>0</v>
      </c>
      <c r="R76" s="3">
        <v>0</v>
      </c>
      <c r="S76" s="39">
        <f>Q76/Summary!$Q$16</f>
        <v>0</v>
      </c>
      <c r="T76" s="35"/>
      <c r="U76" s="40">
        <f t="shared" si="3"/>
        <v>0</v>
      </c>
    </row>
    <row r="77" spans="1:21" s="3" customFormat="1" ht="24.95" customHeight="1">
      <c r="A77" s="3" t="s">
        <v>606</v>
      </c>
      <c r="B77" s="3" t="s">
        <v>1024</v>
      </c>
      <c r="D77" s="26" t="s">
        <v>607</v>
      </c>
      <c r="E77" s="27"/>
      <c r="F77" s="27"/>
      <c r="G77" s="27"/>
      <c r="H77" s="27"/>
      <c r="I77" s="27"/>
      <c r="J77" s="27"/>
      <c r="K77" s="27"/>
      <c r="L77" s="27"/>
      <c r="M77" s="27"/>
      <c r="N77" s="27"/>
      <c r="O77" s="27"/>
      <c r="P77" s="27"/>
      <c r="Q77" s="3">
        <f t="shared" si="2"/>
        <v>0</v>
      </c>
      <c r="R77" s="3">
        <v>0</v>
      </c>
      <c r="S77" s="39">
        <f>Q77/Summary!$Q$16</f>
        <v>0</v>
      </c>
      <c r="T77" s="35"/>
      <c r="U77" s="40">
        <f t="shared" si="3"/>
        <v>0</v>
      </c>
    </row>
    <row r="78" spans="1:21" s="3" customFormat="1" ht="24.95" hidden="1" customHeight="1">
      <c r="A78" s="270" t="s">
        <v>863</v>
      </c>
      <c r="B78" s="3" t="s">
        <v>1024</v>
      </c>
      <c r="D78" s="26" t="s">
        <v>864</v>
      </c>
      <c r="E78" s="27"/>
      <c r="F78" s="27"/>
      <c r="G78" s="27"/>
      <c r="H78" s="27"/>
      <c r="I78" s="27"/>
      <c r="J78" s="27"/>
      <c r="K78" s="27"/>
      <c r="L78" s="27"/>
      <c r="M78" s="27"/>
      <c r="N78" s="27"/>
      <c r="O78" s="27"/>
      <c r="P78" s="27"/>
      <c r="Q78" s="3">
        <f t="shared" si="2"/>
        <v>0</v>
      </c>
      <c r="R78" s="3">
        <v>0</v>
      </c>
      <c r="S78" s="39">
        <f>Q78/Summary!$Q$16</f>
        <v>0</v>
      </c>
      <c r="T78" s="35"/>
      <c r="U78" s="40">
        <f t="shared" si="3"/>
        <v>0</v>
      </c>
    </row>
    <row r="79" spans="1:21" s="3" customFormat="1" ht="24.95" customHeight="1">
      <c r="A79" s="3" t="s">
        <v>608</v>
      </c>
      <c r="B79" s="3" t="s">
        <v>1024</v>
      </c>
      <c r="D79" s="26" t="s">
        <v>609</v>
      </c>
      <c r="E79" s="27"/>
      <c r="F79" s="27"/>
      <c r="G79" s="27"/>
      <c r="H79" s="27"/>
      <c r="I79" s="27"/>
      <c r="J79" s="27">
        <v>4000</v>
      </c>
      <c r="K79" s="27"/>
      <c r="L79" s="27"/>
      <c r="M79" s="27"/>
      <c r="N79" s="27"/>
      <c r="O79" s="27"/>
      <c r="P79" s="27">
        <v>1000</v>
      </c>
      <c r="Q79" s="3">
        <f t="shared" si="2"/>
        <v>5000</v>
      </c>
      <c r="R79" s="3">
        <v>0</v>
      </c>
      <c r="S79" s="39">
        <f>Q79/Summary!$Q$16</f>
        <v>1.5034071355094338E-4</v>
      </c>
      <c r="T79" s="35"/>
      <c r="U79" s="40" t="e">
        <f t="shared" si="3"/>
        <v>#DIV/0!</v>
      </c>
    </row>
    <row r="80" spans="1:21" s="3" customFormat="1" ht="24.95" hidden="1" customHeight="1">
      <c r="A80" s="3" t="s">
        <v>865</v>
      </c>
      <c r="B80" s="3" t="s">
        <v>1024</v>
      </c>
      <c r="D80" s="26" t="s">
        <v>866</v>
      </c>
      <c r="E80" s="27"/>
      <c r="F80" s="27"/>
      <c r="G80" s="27"/>
      <c r="H80" s="27"/>
      <c r="I80" s="27"/>
      <c r="J80" s="27"/>
      <c r="K80" s="27"/>
      <c r="L80" s="27"/>
      <c r="M80" s="27"/>
      <c r="N80" s="27"/>
      <c r="O80" s="27"/>
      <c r="P80" s="27"/>
      <c r="Q80" s="3">
        <f t="shared" ref="Q80:Q143" si="4">SUM(E80:P80)</f>
        <v>0</v>
      </c>
      <c r="R80" s="3">
        <v>0</v>
      </c>
      <c r="S80" s="39">
        <f>Q80/Summary!$Q$16</f>
        <v>0</v>
      </c>
      <c r="T80" s="35"/>
      <c r="U80" s="40">
        <f t="shared" si="3"/>
        <v>0</v>
      </c>
    </row>
    <row r="81" spans="1:21" s="3" customFormat="1" ht="24.95" hidden="1" customHeight="1">
      <c r="A81" s="3" t="s">
        <v>867</v>
      </c>
      <c r="B81" s="3" t="s">
        <v>1024</v>
      </c>
      <c r="D81" s="26" t="s">
        <v>868</v>
      </c>
      <c r="E81" s="27"/>
      <c r="F81" s="27"/>
      <c r="G81" s="27"/>
      <c r="H81" s="27"/>
      <c r="I81" s="27"/>
      <c r="J81" s="27"/>
      <c r="K81" s="27"/>
      <c r="L81" s="27"/>
      <c r="M81" s="27"/>
      <c r="N81" s="27"/>
      <c r="O81" s="27"/>
      <c r="P81" s="27"/>
      <c r="Q81" s="3">
        <f t="shared" si="4"/>
        <v>0</v>
      </c>
      <c r="R81" s="3">
        <v>40393.06</v>
      </c>
      <c r="S81" s="39">
        <f>Q81/Summary!$Q$16</f>
        <v>0</v>
      </c>
      <c r="T81" s="35"/>
      <c r="U81" s="40">
        <f t="shared" si="3"/>
        <v>0</v>
      </c>
    </row>
    <row r="82" spans="1:21" s="3" customFormat="1" ht="24.95" hidden="1" customHeight="1">
      <c r="A82" s="3" t="s">
        <v>869</v>
      </c>
      <c r="B82" s="3" t="s">
        <v>1024</v>
      </c>
      <c r="D82" s="26" t="s">
        <v>870</v>
      </c>
      <c r="E82" s="27"/>
      <c r="F82" s="27"/>
      <c r="G82" s="27"/>
      <c r="H82" s="27"/>
      <c r="I82" s="27"/>
      <c r="J82" s="27"/>
      <c r="K82" s="27"/>
      <c r="L82" s="27"/>
      <c r="M82" s="27"/>
      <c r="N82" s="27"/>
      <c r="O82" s="27"/>
      <c r="P82" s="27"/>
      <c r="Q82" s="3">
        <f t="shared" si="4"/>
        <v>0</v>
      </c>
      <c r="R82" s="3">
        <v>0</v>
      </c>
      <c r="S82" s="39">
        <f>Q82/Summary!$Q$16</f>
        <v>0</v>
      </c>
      <c r="T82" s="35"/>
      <c r="U82" s="40">
        <f t="shared" si="3"/>
        <v>0</v>
      </c>
    </row>
    <row r="83" spans="1:21" s="3" customFormat="1" ht="24.95" hidden="1" customHeight="1">
      <c r="A83" s="3" t="s">
        <v>871</v>
      </c>
      <c r="B83" s="3" t="s">
        <v>1024</v>
      </c>
      <c r="D83" s="26" t="s">
        <v>872</v>
      </c>
      <c r="E83" s="27"/>
      <c r="F83" s="27"/>
      <c r="G83" s="27"/>
      <c r="H83" s="27"/>
      <c r="I83" s="27"/>
      <c r="J83" s="27"/>
      <c r="K83" s="27"/>
      <c r="L83" s="27"/>
      <c r="M83" s="27"/>
      <c r="N83" s="27"/>
      <c r="O83" s="27"/>
      <c r="P83" s="27"/>
      <c r="Q83" s="3">
        <f t="shared" si="4"/>
        <v>0</v>
      </c>
      <c r="R83" s="3">
        <v>5000</v>
      </c>
      <c r="S83" s="39">
        <f>Q83/Summary!$Q$16</f>
        <v>0</v>
      </c>
      <c r="T83" s="35"/>
      <c r="U83" s="40">
        <f t="shared" si="3"/>
        <v>0</v>
      </c>
    </row>
    <row r="84" spans="1:21" s="3" customFormat="1" ht="24.95" hidden="1" customHeight="1">
      <c r="A84" s="3" t="s">
        <v>873</v>
      </c>
      <c r="B84" s="3" t="s">
        <v>1024</v>
      </c>
      <c r="D84" s="26" t="s">
        <v>874</v>
      </c>
      <c r="E84" s="27"/>
      <c r="F84" s="27"/>
      <c r="G84" s="27"/>
      <c r="H84" s="27"/>
      <c r="I84" s="27"/>
      <c r="J84" s="27"/>
      <c r="K84" s="27"/>
      <c r="L84" s="27"/>
      <c r="M84" s="27"/>
      <c r="N84" s="27"/>
      <c r="O84" s="27"/>
      <c r="P84" s="27"/>
      <c r="Q84" s="3">
        <f t="shared" si="4"/>
        <v>0</v>
      </c>
      <c r="R84" s="3">
        <v>0</v>
      </c>
      <c r="S84" s="39">
        <f>Q84/Summary!$Q$16</f>
        <v>0</v>
      </c>
      <c r="T84" s="35"/>
      <c r="U84" s="40">
        <f t="shared" si="3"/>
        <v>0</v>
      </c>
    </row>
    <row r="85" spans="1:21" s="3" customFormat="1" ht="24.95" hidden="1" customHeight="1">
      <c r="A85" s="3" t="s">
        <v>875</v>
      </c>
      <c r="B85" s="3" t="s">
        <v>1024</v>
      </c>
      <c r="D85" s="26" t="s">
        <v>876</v>
      </c>
      <c r="E85" s="27"/>
      <c r="F85" s="27"/>
      <c r="G85" s="27"/>
      <c r="H85" s="27"/>
      <c r="I85" s="27"/>
      <c r="J85" s="27"/>
      <c r="K85" s="27"/>
      <c r="L85" s="27"/>
      <c r="M85" s="27"/>
      <c r="N85" s="27"/>
      <c r="O85" s="27"/>
      <c r="P85" s="27"/>
      <c r="Q85" s="3">
        <f t="shared" si="4"/>
        <v>0</v>
      </c>
      <c r="R85" s="3">
        <v>0</v>
      </c>
      <c r="S85" s="39">
        <f>Q85/Summary!$Q$16</f>
        <v>0</v>
      </c>
      <c r="T85" s="35"/>
      <c r="U85" s="40">
        <f t="shared" si="3"/>
        <v>0</v>
      </c>
    </row>
    <row r="86" spans="1:21" s="3" customFormat="1" ht="24.95" hidden="1" customHeight="1">
      <c r="A86" s="3" t="s">
        <v>877</v>
      </c>
      <c r="B86" s="3" t="s">
        <v>1024</v>
      </c>
      <c r="D86" s="26" t="s">
        <v>878</v>
      </c>
      <c r="E86" s="27"/>
      <c r="F86" s="27"/>
      <c r="G86" s="27"/>
      <c r="H86" s="27"/>
      <c r="I86" s="27"/>
      <c r="J86" s="27"/>
      <c r="K86" s="27"/>
      <c r="L86" s="27"/>
      <c r="M86" s="27"/>
      <c r="N86" s="27"/>
      <c r="O86" s="27"/>
      <c r="P86" s="27"/>
      <c r="Q86" s="3">
        <f t="shared" si="4"/>
        <v>0</v>
      </c>
      <c r="R86" s="3">
        <v>-36.409999999999997</v>
      </c>
      <c r="S86" s="39">
        <f>Q86/Summary!$Q$16</f>
        <v>0</v>
      </c>
      <c r="T86" s="35"/>
      <c r="U86" s="40">
        <f t="shared" si="3"/>
        <v>0</v>
      </c>
    </row>
    <row r="87" spans="1:21" s="3" customFormat="1" ht="24.95" hidden="1" customHeight="1">
      <c r="A87" s="3" t="s">
        <v>879</v>
      </c>
      <c r="B87" s="3" t="s">
        <v>1024</v>
      </c>
      <c r="D87" s="26" t="s">
        <v>880</v>
      </c>
      <c r="E87" s="27"/>
      <c r="F87" s="27"/>
      <c r="G87" s="27"/>
      <c r="H87" s="27"/>
      <c r="I87" s="27"/>
      <c r="J87" s="27"/>
      <c r="K87" s="27"/>
      <c r="L87" s="27"/>
      <c r="M87" s="27"/>
      <c r="N87" s="27"/>
      <c r="O87" s="27"/>
      <c r="P87" s="27"/>
      <c r="Q87" s="3">
        <f t="shared" si="4"/>
        <v>0</v>
      </c>
      <c r="R87" s="3">
        <v>301294.25</v>
      </c>
      <c r="S87" s="39">
        <f>Q87/Summary!$Q$16</f>
        <v>0</v>
      </c>
      <c r="T87" s="35"/>
      <c r="U87" s="40">
        <f t="shared" si="3"/>
        <v>0</v>
      </c>
    </row>
    <row r="88" spans="1:21" s="3" customFormat="1" ht="24.95" hidden="1" customHeight="1">
      <c r="A88" s="3" t="s">
        <v>881</v>
      </c>
      <c r="B88" s="3" t="s">
        <v>1024</v>
      </c>
      <c r="D88" s="26" t="s">
        <v>882</v>
      </c>
      <c r="E88" s="27"/>
      <c r="F88" s="27"/>
      <c r="G88" s="27"/>
      <c r="H88" s="27"/>
      <c r="I88" s="27"/>
      <c r="J88" s="27"/>
      <c r="K88" s="27"/>
      <c r="L88" s="27"/>
      <c r="M88" s="27"/>
      <c r="N88" s="27"/>
      <c r="O88" s="27"/>
      <c r="P88" s="27"/>
      <c r="Q88" s="3">
        <f t="shared" si="4"/>
        <v>0</v>
      </c>
      <c r="R88" s="3">
        <v>0</v>
      </c>
      <c r="S88" s="39">
        <f>Q88/Summary!$Q$16</f>
        <v>0</v>
      </c>
      <c r="T88" s="35"/>
      <c r="U88" s="40">
        <f t="shared" ref="U88:U151" si="5">-IF(Q88-T88=0,0,(Q88-T88)/T88)</f>
        <v>0</v>
      </c>
    </row>
    <row r="89" spans="1:21" s="3" customFormat="1" ht="24.95" hidden="1" customHeight="1">
      <c r="A89" s="3" t="s">
        <v>268</v>
      </c>
      <c r="B89" s="3" t="s">
        <v>1024</v>
      </c>
      <c r="D89" s="26" t="s">
        <v>610</v>
      </c>
      <c r="E89" s="27"/>
      <c r="F89" s="27"/>
      <c r="G89" s="27"/>
      <c r="H89" s="27"/>
      <c r="I89" s="27"/>
      <c r="J89" s="27"/>
      <c r="K89" s="27"/>
      <c r="L89" s="27"/>
      <c r="M89" s="27"/>
      <c r="N89" s="27"/>
      <c r="O89" s="27"/>
      <c r="P89" s="27"/>
      <c r="Q89" s="3">
        <f t="shared" si="4"/>
        <v>0</v>
      </c>
      <c r="R89" s="3">
        <v>0</v>
      </c>
      <c r="S89" s="39">
        <f>Q89/Summary!$Q$16</f>
        <v>0</v>
      </c>
      <c r="T89" s="35"/>
      <c r="U89" s="40">
        <f t="shared" si="5"/>
        <v>0</v>
      </c>
    </row>
    <row r="90" spans="1:21" s="3" customFormat="1" ht="24.95" hidden="1" customHeight="1">
      <c r="A90" s="3" t="s">
        <v>883</v>
      </c>
      <c r="B90" s="3" t="s">
        <v>1024</v>
      </c>
      <c r="D90" s="26" t="s">
        <v>884</v>
      </c>
      <c r="E90" s="27"/>
      <c r="F90" s="27"/>
      <c r="G90" s="27"/>
      <c r="H90" s="27"/>
      <c r="I90" s="27"/>
      <c r="J90" s="27"/>
      <c r="K90" s="27"/>
      <c r="L90" s="27"/>
      <c r="M90" s="27"/>
      <c r="N90" s="27"/>
      <c r="O90" s="27"/>
      <c r="P90" s="27"/>
      <c r="Q90" s="3">
        <f t="shared" si="4"/>
        <v>0</v>
      </c>
      <c r="R90" s="3">
        <v>0</v>
      </c>
      <c r="S90" s="39">
        <f>Q90/Summary!$Q$16</f>
        <v>0</v>
      </c>
      <c r="T90" s="35"/>
      <c r="U90" s="40">
        <f t="shared" si="5"/>
        <v>0</v>
      </c>
    </row>
    <row r="91" spans="1:21" s="3" customFormat="1" ht="24.95" hidden="1" customHeight="1">
      <c r="A91" s="3" t="s">
        <v>270</v>
      </c>
      <c r="B91" s="3" t="s">
        <v>1024</v>
      </c>
      <c r="D91" s="26" t="s">
        <v>271</v>
      </c>
      <c r="E91" s="27"/>
      <c r="F91" s="27"/>
      <c r="G91" s="27"/>
      <c r="H91" s="27"/>
      <c r="I91" s="27"/>
      <c r="J91" s="27"/>
      <c r="K91" s="27"/>
      <c r="L91" s="27"/>
      <c r="M91" s="27"/>
      <c r="N91" s="27"/>
      <c r="O91" s="27"/>
      <c r="P91" s="27"/>
      <c r="Q91" s="3">
        <f t="shared" si="4"/>
        <v>0</v>
      </c>
      <c r="R91" s="3">
        <v>0</v>
      </c>
      <c r="S91" s="39">
        <f>Q91/Summary!$Q$16</f>
        <v>0</v>
      </c>
      <c r="T91" s="35"/>
      <c r="U91" s="40">
        <f t="shared" si="5"/>
        <v>0</v>
      </c>
    </row>
    <row r="92" spans="1:21" s="3" customFormat="1" ht="24.95" hidden="1" customHeight="1">
      <c r="A92" s="3" t="s">
        <v>885</v>
      </c>
      <c r="B92" s="3" t="s">
        <v>1024</v>
      </c>
      <c r="D92" s="26" t="s">
        <v>886</v>
      </c>
      <c r="E92" s="27"/>
      <c r="F92" s="27"/>
      <c r="G92" s="27"/>
      <c r="H92" s="27"/>
      <c r="I92" s="27"/>
      <c r="J92" s="27"/>
      <c r="K92" s="27"/>
      <c r="L92" s="27"/>
      <c r="M92" s="27"/>
      <c r="N92" s="27"/>
      <c r="O92" s="27"/>
      <c r="P92" s="27"/>
      <c r="Q92" s="3">
        <f t="shared" si="4"/>
        <v>0</v>
      </c>
      <c r="R92" s="3">
        <v>0</v>
      </c>
      <c r="S92" s="39">
        <f>Q92/Summary!$Q$16</f>
        <v>0</v>
      </c>
      <c r="T92" s="35"/>
      <c r="U92" s="40">
        <f t="shared" si="5"/>
        <v>0</v>
      </c>
    </row>
    <row r="93" spans="1:21" s="3" customFormat="1" ht="24.95" hidden="1" customHeight="1">
      <c r="A93" s="3" t="s">
        <v>887</v>
      </c>
      <c r="B93" s="3" t="s">
        <v>1024</v>
      </c>
      <c r="D93" s="26" t="s">
        <v>888</v>
      </c>
      <c r="E93" s="27"/>
      <c r="F93" s="27"/>
      <c r="G93" s="27"/>
      <c r="H93" s="27"/>
      <c r="I93" s="27"/>
      <c r="J93" s="27"/>
      <c r="K93" s="27"/>
      <c r="L93" s="27"/>
      <c r="M93" s="27"/>
      <c r="N93" s="27"/>
      <c r="O93" s="27"/>
      <c r="P93" s="27"/>
      <c r="Q93" s="3">
        <f t="shared" si="4"/>
        <v>0</v>
      </c>
      <c r="R93" s="3">
        <v>1676.31</v>
      </c>
      <c r="S93" s="39">
        <f>Q93/Summary!$Q$16</f>
        <v>0</v>
      </c>
      <c r="T93" s="35"/>
      <c r="U93" s="40">
        <f t="shared" si="5"/>
        <v>0</v>
      </c>
    </row>
    <row r="94" spans="1:21" s="3" customFormat="1" ht="24.95" hidden="1" customHeight="1">
      <c r="A94" s="3" t="s">
        <v>889</v>
      </c>
      <c r="B94" s="3" t="s">
        <v>1024</v>
      </c>
      <c r="D94" s="26" t="s">
        <v>890</v>
      </c>
      <c r="E94" s="27"/>
      <c r="F94" s="27"/>
      <c r="G94" s="27"/>
      <c r="H94" s="27"/>
      <c r="I94" s="27"/>
      <c r="J94" s="27"/>
      <c r="K94" s="27"/>
      <c r="L94" s="27"/>
      <c r="M94" s="27"/>
      <c r="N94" s="27"/>
      <c r="O94" s="27"/>
      <c r="P94" s="27"/>
      <c r="Q94" s="3">
        <f t="shared" si="4"/>
        <v>0</v>
      </c>
      <c r="R94" s="3">
        <v>116291.22</v>
      </c>
      <c r="S94" s="39">
        <f>Q94/Summary!$Q$16</f>
        <v>0</v>
      </c>
      <c r="T94" s="35"/>
      <c r="U94" s="40">
        <f t="shared" si="5"/>
        <v>0</v>
      </c>
    </row>
    <row r="95" spans="1:21" s="3" customFormat="1" ht="24.95" hidden="1" customHeight="1">
      <c r="A95" s="3" t="s">
        <v>891</v>
      </c>
      <c r="B95" s="3" t="s">
        <v>1024</v>
      </c>
      <c r="D95" s="26" t="s">
        <v>892</v>
      </c>
      <c r="E95" s="27"/>
      <c r="F95" s="27"/>
      <c r="G95" s="27"/>
      <c r="H95" s="27"/>
      <c r="I95" s="27"/>
      <c r="J95" s="27"/>
      <c r="K95" s="27"/>
      <c r="L95" s="27"/>
      <c r="M95" s="27"/>
      <c r="N95" s="27"/>
      <c r="O95" s="27"/>
      <c r="P95" s="27"/>
      <c r="Q95" s="3">
        <f t="shared" si="4"/>
        <v>0</v>
      </c>
      <c r="R95" s="3">
        <v>0</v>
      </c>
      <c r="S95" s="39">
        <f>Q95/Summary!$Q$16</f>
        <v>0</v>
      </c>
      <c r="T95" s="35"/>
      <c r="U95" s="40">
        <f t="shared" si="5"/>
        <v>0</v>
      </c>
    </row>
    <row r="96" spans="1:21" s="3" customFormat="1" ht="24.95" hidden="1" customHeight="1">
      <c r="A96" s="3" t="s">
        <v>893</v>
      </c>
      <c r="B96" s="3" t="s">
        <v>1024</v>
      </c>
      <c r="D96" s="26" t="s">
        <v>894</v>
      </c>
      <c r="E96" s="27"/>
      <c r="F96" s="27"/>
      <c r="G96" s="27"/>
      <c r="H96" s="27"/>
      <c r="I96" s="27"/>
      <c r="J96" s="27"/>
      <c r="K96" s="27"/>
      <c r="L96" s="27"/>
      <c r="M96" s="27"/>
      <c r="N96" s="27"/>
      <c r="O96" s="27"/>
      <c r="P96" s="27"/>
      <c r="Q96" s="3">
        <f t="shared" si="4"/>
        <v>0</v>
      </c>
      <c r="R96" s="3">
        <v>42156.800000000003</v>
      </c>
      <c r="S96" s="39">
        <f>Q96/Summary!$Q$16</f>
        <v>0</v>
      </c>
      <c r="T96" s="35"/>
      <c r="U96" s="40">
        <f t="shared" si="5"/>
        <v>0</v>
      </c>
    </row>
    <row r="97" spans="1:21" s="3" customFormat="1" ht="24.95" hidden="1" customHeight="1">
      <c r="A97" s="3" t="s">
        <v>895</v>
      </c>
      <c r="B97" s="3" t="s">
        <v>1024</v>
      </c>
      <c r="D97" s="26" t="s">
        <v>896</v>
      </c>
      <c r="E97" s="27"/>
      <c r="F97" s="27"/>
      <c r="G97" s="27"/>
      <c r="H97" s="27"/>
      <c r="I97" s="27"/>
      <c r="J97" s="27"/>
      <c r="K97" s="27"/>
      <c r="L97" s="27"/>
      <c r="M97" s="27"/>
      <c r="N97" s="27"/>
      <c r="O97" s="27"/>
      <c r="P97" s="27"/>
      <c r="Q97" s="3">
        <f t="shared" si="4"/>
        <v>0</v>
      </c>
      <c r="R97" s="3">
        <v>1050</v>
      </c>
      <c r="S97" s="39">
        <f>Q97/Summary!$Q$16</f>
        <v>0</v>
      </c>
      <c r="T97" s="35"/>
      <c r="U97" s="40">
        <f t="shared" si="5"/>
        <v>0</v>
      </c>
    </row>
    <row r="98" spans="1:21" s="3" customFormat="1" ht="24.95" hidden="1" customHeight="1">
      <c r="A98" s="3" t="s">
        <v>897</v>
      </c>
      <c r="B98" s="3" t="s">
        <v>1024</v>
      </c>
      <c r="D98" s="26" t="s">
        <v>898</v>
      </c>
      <c r="E98" s="27"/>
      <c r="F98" s="27"/>
      <c r="G98" s="27"/>
      <c r="H98" s="27"/>
      <c r="I98" s="27"/>
      <c r="J98" s="27"/>
      <c r="K98" s="27"/>
      <c r="L98" s="27"/>
      <c r="M98" s="27"/>
      <c r="N98" s="27"/>
      <c r="O98" s="27"/>
      <c r="P98" s="27"/>
      <c r="Q98" s="3">
        <f t="shared" si="4"/>
        <v>0</v>
      </c>
      <c r="R98" s="3">
        <v>0</v>
      </c>
      <c r="S98" s="39">
        <f>Q98/Summary!$Q$16</f>
        <v>0</v>
      </c>
      <c r="T98" s="35"/>
      <c r="U98" s="40">
        <f t="shared" si="5"/>
        <v>0</v>
      </c>
    </row>
    <row r="99" spans="1:21" s="3" customFormat="1" ht="24.95" hidden="1" customHeight="1">
      <c r="A99" s="3" t="s">
        <v>899</v>
      </c>
      <c r="B99" s="3" t="s">
        <v>1024</v>
      </c>
      <c r="D99" s="26" t="s">
        <v>900</v>
      </c>
      <c r="E99" s="27"/>
      <c r="F99" s="27"/>
      <c r="G99" s="27"/>
      <c r="H99" s="27"/>
      <c r="I99" s="27"/>
      <c r="J99" s="27"/>
      <c r="K99" s="27"/>
      <c r="L99" s="27"/>
      <c r="M99" s="27"/>
      <c r="N99" s="27"/>
      <c r="O99" s="27"/>
      <c r="P99" s="27"/>
      <c r="Q99" s="3">
        <f t="shared" si="4"/>
        <v>0</v>
      </c>
      <c r="R99" s="3">
        <v>0</v>
      </c>
      <c r="S99" s="39">
        <f>Q99/Summary!$Q$16</f>
        <v>0</v>
      </c>
      <c r="T99" s="35"/>
      <c r="U99" s="40">
        <f t="shared" si="5"/>
        <v>0</v>
      </c>
    </row>
    <row r="100" spans="1:21" s="3" customFormat="1" ht="24.95" hidden="1" customHeight="1">
      <c r="A100" s="3" t="s">
        <v>901</v>
      </c>
      <c r="B100" s="3" t="s">
        <v>1024</v>
      </c>
      <c r="D100" s="26" t="s">
        <v>902</v>
      </c>
      <c r="E100" s="27"/>
      <c r="F100" s="27"/>
      <c r="G100" s="27"/>
      <c r="H100" s="27"/>
      <c r="I100" s="27"/>
      <c r="J100" s="27"/>
      <c r="K100" s="27"/>
      <c r="L100" s="27"/>
      <c r="M100" s="27"/>
      <c r="N100" s="27"/>
      <c r="O100" s="27"/>
      <c r="P100" s="27"/>
      <c r="Q100" s="3">
        <f t="shared" si="4"/>
        <v>0</v>
      </c>
      <c r="R100" s="3">
        <v>0</v>
      </c>
      <c r="S100" s="39">
        <f>Q100/Summary!$Q$16</f>
        <v>0</v>
      </c>
      <c r="T100" s="35"/>
      <c r="U100" s="40">
        <f t="shared" si="5"/>
        <v>0</v>
      </c>
    </row>
    <row r="101" spans="1:21" s="3" customFormat="1" ht="24.95" hidden="1" customHeight="1">
      <c r="A101" s="3" t="s">
        <v>903</v>
      </c>
      <c r="B101" s="3" t="s">
        <v>1024</v>
      </c>
      <c r="D101" s="26" t="s">
        <v>904</v>
      </c>
      <c r="E101" s="27"/>
      <c r="F101" s="27"/>
      <c r="G101" s="27"/>
      <c r="H101" s="27"/>
      <c r="I101" s="27"/>
      <c r="J101" s="27"/>
      <c r="K101" s="27"/>
      <c r="L101" s="27"/>
      <c r="M101" s="27"/>
      <c r="N101" s="27"/>
      <c r="O101" s="27"/>
      <c r="P101" s="27"/>
      <c r="Q101" s="3">
        <f t="shared" si="4"/>
        <v>0</v>
      </c>
      <c r="R101" s="3">
        <v>0</v>
      </c>
      <c r="S101" s="39">
        <f>Q101/Summary!$Q$16</f>
        <v>0</v>
      </c>
      <c r="T101" s="35"/>
      <c r="U101" s="40">
        <f t="shared" si="5"/>
        <v>0</v>
      </c>
    </row>
    <row r="102" spans="1:21" s="3" customFormat="1" ht="24.95" hidden="1" customHeight="1">
      <c r="A102" s="3" t="s">
        <v>905</v>
      </c>
      <c r="B102" s="3" t="s">
        <v>1024</v>
      </c>
      <c r="D102" s="26" t="s">
        <v>906</v>
      </c>
      <c r="E102" s="27"/>
      <c r="F102" s="27"/>
      <c r="G102" s="27"/>
      <c r="H102" s="27"/>
      <c r="I102" s="27"/>
      <c r="J102" s="27"/>
      <c r="K102" s="27"/>
      <c r="L102" s="27"/>
      <c r="M102" s="27"/>
      <c r="N102" s="27"/>
      <c r="O102" s="27"/>
      <c r="P102" s="27"/>
      <c r="Q102" s="3">
        <f t="shared" si="4"/>
        <v>0</v>
      </c>
      <c r="R102" s="3">
        <v>0</v>
      </c>
      <c r="S102" s="39">
        <f>Q102/Summary!$Q$16</f>
        <v>0</v>
      </c>
      <c r="T102" s="35"/>
      <c r="U102" s="40">
        <f t="shared" si="5"/>
        <v>0</v>
      </c>
    </row>
    <row r="103" spans="1:21" s="3" customFormat="1" ht="24.95" hidden="1" customHeight="1">
      <c r="A103" s="3" t="s">
        <v>907</v>
      </c>
      <c r="B103" s="3" t="s">
        <v>1024</v>
      </c>
      <c r="D103" s="26" t="s">
        <v>908</v>
      </c>
      <c r="E103" s="27"/>
      <c r="F103" s="27"/>
      <c r="G103" s="27"/>
      <c r="H103" s="27"/>
      <c r="I103" s="27"/>
      <c r="J103" s="27"/>
      <c r="K103" s="27"/>
      <c r="L103" s="27"/>
      <c r="M103" s="27"/>
      <c r="N103" s="27"/>
      <c r="O103" s="27"/>
      <c r="P103" s="27"/>
      <c r="Q103" s="3">
        <f t="shared" si="4"/>
        <v>0</v>
      </c>
      <c r="R103" s="3">
        <v>0</v>
      </c>
      <c r="S103" s="39">
        <f>Q103/Summary!$Q$16</f>
        <v>0</v>
      </c>
      <c r="T103" s="35"/>
      <c r="U103" s="40">
        <f t="shared" si="5"/>
        <v>0</v>
      </c>
    </row>
    <row r="104" spans="1:21" s="3" customFormat="1" ht="24.95" customHeight="1">
      <c r="A104" s="3" t="s">
        <v>909</v>
      </c>
      <c r="B104" s="3" t="s">
        <v>1024</v>
      </c>
      <c r="D104" s="26" t="s">
        <v>910</v>
      </c>
      <c r="E104" s="27"/>
      <c r="F104" s="27"/>
      <c r="G104" s="27"/>
      <c r="H104" s="27"/>
      <c r="I104" s="27"/>
      <c r="J104" s="27"/>
      <c r="K104" s="27"/>
      <c r="L104" s="27"/>
      <c r="M104" s="27"/>
      <c r="N104" s="27"/>
      <c r="O104" s="27"/>
      <c r="P104" s="27"/>
      <c r="Q104" s="3">
        <f t="shared" si="4"/>
        <v>0</v>
      </c>
      <c r="R104" s="3">
        <v>0</v>
      </c>
      <c r="S104" s="39">
        <f>Q104/Summary!$Q$16</f>
        <v>0</v>
      </c>
      <c r="T104" s="35"/>
      <c r="U104" s="40">
        <f t="shared" si="5"/>
        <v>0</v>
      </c>
    </row>
    <row r="105" spans="1:21" s="3" customFormat="1" ht="24.95" hidden="1" customHeight="1">
      <c r="A105" s="3" t="s">
        <v>911</v>
      </c>
      <c r="B105" s="3" t="s">
        <v>1024</v>
      </c>
      <c r="D105" s="26" t="s">
        <v>912</v>
      </c>
      <c r="E105" s="27"/>
      <c r="F105" s="27"/>
      <c r="G105" s="27"/>
      <c r="H105" s="27"/>
      <c r="I105" s="27"/>
      <c r="J105" s="27"/>
      <c r="K105" s="27"/>
      <c r="L105" s="27"/>
      <c r="M105" s="27"/>
      <c r="N105" s="27"/>
      <c r="O105" s="27"/>
      <c r="P105" s="27"/>
      <c r="Q105" s="3">
        <f t="shared" si="4"/>
        <v>0</v>
      </c>
      <c r="R105" s="3">
        <v>0</v>
      </c>
      <c r="S105" s="39">
        <f>Q105/Summary!$Q$16</f>
        <v>0</v>
      </c>
      <c r="T105" s="35"/>
      <c r="U105" s="40">
        <f t="shared" si="5"/>
        <v>0</v>
      </c>
    </row>
    <row r="106" spans="1:21" s="3" customFormat="1" ht="24.95" hidden="1" customHeight="1">
      <c r="A106" s="3" t="s">
        <v>913</v>
      </c>
      <c r="B106" s="3" t="s">
        <v>1024</v>
      </c>
      <c r="D106" s="26" t="s">
        <v>914</v>
      </c>
      <c r="E106" s="27"/>
      <c r="F106" s="27"/>
      <c r="G106" s="27"/>
      <c r="H106" s="27"/>
      <c r="I106" s="27"/>
      <c r="J106" s="27"/>
      <c r="K106" s="27"/>
      <c r="L106" s="27"/>
      <c r="M106" s="27"/>
      <c r="N106" s="27"/>
      <c r="O106" s="27"/>
      <c r="P106" s="27"/>
      <c r="Q106" s="3">
        <f t="shared" si="4"/>
        <v>0</v>
      </c>
      <c r="R106" s="3">
        <v>0</v>
      </c>
      <c r="S106" s="39">
        <f>Q106/Summary!$Q$16</f>
        <v>0</v>
      </c>
      <c r="T106" s="35"/>
      <c r="U106" s="40">
        <f t="shared" si="5"/>
        <v>0</v>
      </c>
    </row>
    <row r="107" spans="1:21" s="3" customFormat="1" ht="24.95" hidden="1" customHeight="1">
      <c r="A107" s="3" t="s">
        <v>915</v>
      </c>
      <c r="B107" s="3" t="s">
        <v>1024</v>
      </c>
      <c r="D107" s="26" t="s">
        <v>916</v>
      </c>
      <c r="E107" s="27"/>
      <c r="F107" s="27"/>
      <c r="G107" s="27"/>
      <c r="H107" s="27"/>
      <c r="I107" s="27"/>
      <c r="J107" s="27"/>
      <c r="K107" s="27"/>
      <c r="L107" s="27"/>
      <c r="M107" s="27"/>
      <c r="N107" s="27"/>
      <c r="O107" s="27"/>
      <c r="P107" s="27"/>
      <c r="Q107" s="3">
        <f t="shared" si="4"/>
        <v>0</v>
      </c>
      <c r="R107" s="3">
        <v>0</v>
      </c>
      <c r="S107" s="39">
        <f>Q107/Summary!$Q$16</f>
        <v>0</v>
      </c>
      <c r="T107" s="35"/>
      <c r="U107" s="40">
        <f t="shared" si="5"/>
        <v>0</v>
      </c>
    </row>
    <row r="108" spans="1:21" s="3" customFormat="1" ht="24.95" hidden="1" customHeight="1">
      <c r="A108" s="3" t="s">
        <v>917</v>
      </c>
      <c r="B108" s="3" t="s">
        <v>1024</v>
      </c>
      <c r="D108" s="26" t="s">
        <v>918</v>
      </c>
      <c r="E108" s="27"/>
      <c r="F108" s="27"/>
      <c r="G108" s="27"/>
      <c r="H108" s="27"/>
      <c r="I108" s="27"/>
      <c r="J108" s="27"/>
      <c r="K108" s="27"/>
      <c r="L108" s="27"/>
      <c r="M108" s="27"/>
      <c r="N108" s="27"/>
      <c r="O108" s="27"/>
      <c r="P108" s="27"/>
      <c r="Q108" s="3">
        <f t="shared" si="4"/>
        <v>0</v>
      </c>
      <c r="R108" s="3">
        <v>0</v>
      </c>
      <c r="S108" s="39">
        <f>Q108/Summary!$Q$16</f>
        <v>0</v>
      </c>
      <c r="T108" s="35"/>
      <c r="U108" s="40">
        <f t="shared" si="5"/>
        <v>0</v>
      </c>
    </row>
    <row r="109" spans="1:21" s="3" customFormat="1" ht="24.95" hidden="1" customHeight="1">
      <c r="A109" s="3" t="s">
        <v>919</v>
      </c>
      <c r="B109" s="3" t="s">
        <v>1024</v>
      </c>
      <c r="D109" s="26" t="s">
        <v>920</v>
      </c>
      <c r="E109" s="27"/>
      <c r="F109" s="27"/>
      <c r="G109" s="27"/>
      <c r="H109" s="27"/>
      <c r="I109" s="27"/>
      <c r="J109" s="27"/>
      <c r="K109" s="27"/>
      <c r="L109" s="27"/>
      <c r="M109" s="27"/>
      <c r="N109" s="27"/>
      <c r="O109" s="27"/>
      <c r="P109" s="27"/>
      <c r="Q109" s="3">
        <f t="shared" si="4"/>
        <v>0</v>
      </c>
      <c r="R109" s="3">
        <v>0</v>
      </c>
      <c r="S109" s="39">
        <f>Q109/Summary!$Q$16</f>
        <v>0</v>
      </c>
      <c r="T109" s="35"/>
      <c r="U109" s="40">
        <f t="shared" si="5"/>
        <v>0</v>
      </c>
    </row>
    <row r="110" spans="1:21" s="3" customFormat="1" ht="24.95" hidden="1" customHeight="1">
      <c r="A110" s="3" t="s">
        <v>921</v>
      </c>
      <c r="B110" s="3" t="s">
        <v>1024</v>
      </c>
      <c r="D110" s="26" t="s">
        <v>922</v>
      </c>
      <c r="E110" s="27"/>
      <c r="F110" s="27"/>
      <c r="G110" s="27"/>
      <c r="H110" s="27"/>
      <c r="I110" s="27"/>
      <c r="J110" s="27"/>
      <c r="K110" s="27"/>
      <c r="L110" s="27"/>
      <c r="M110" s="27"/>
      <c r="N110" s="27"/>
      <c r="O110" s="27"/>
      <c r="P110" s="27"/>
      <c r="Q110" s="3">
        <f t="shared" si="4"/>
        <v>0</v>
      </c>
      <c r="R110" s="3">
        <v>0</v>
      </c>
      <c r="S110" s="39">
        <f>Q110/Summary!$Q$16</f>
        <v>0</v>
      </c>
      <c r="T110" s="35"/>
      <c r="U110" s="40">
        <f t="shared" si="5"/>
        <v>0</v>
      </c>
    </row>
    <row r="111" spans="1:21" s="3" customFormat="1" ht="24.95" hidden="1" customHeight="1">
      <c r="A111" s="3" t="s">
        <v>923</v>
      </c>
      <c r="B111" s="3" t="s">
        <v>1024</v>
      </c>
      <c r="D111" s="26" t="s">
        <v>924</v>
      </c>
      <c r="E111" s="27"/>
      <c r="F111" s="27"/>
      <c r="G111" s="27"/>
      <c r="H111" s="27"/>
      <c r="I111" s="27"/>
      <c r="J111" s="27"/>
      <c r="K111" s="27"/>
      <c r="L111" s="27"/>
      <c r="M111" s="27"/>
      <c r="N111" s="27"/>
      <c r="O111" s="27"/>
      <c r="P111" s="27"/>
      <c r="Q111" s="3">
        <f t="shared" si="4"/>
        <v>0</v>
      </c>
      <c r="R111" s="3">
        <v>0</v>
      </c>
      <c r="S111" s="39">
        <f>Q111/Summary!$Q$16</f>
        <v>0</v>
      </c>
      <c r="T111" s="35"/>
      <c r="U111" s="40">
        <f t="shared" si="5"/>
        <v>0</v>
      </c>
    </row>
    <row r="112" spans="1:21" s="3" customFormat="1" ht="24.95" customHeight="1">
      <c r="A112" s="3" t="s">
        <v>925</v>
      </c>
      <c r="B112" s="3" t="s">
        <v>1024</v>
      </c>
      <c r="D112" s="26" t="s">
        <v>926</v>
      </c>
      <c r="E112" s="27"/>
      <c r="F112" s="27"/>
      <c r="G112" s="27"/>
      <c r="H112" s="27"/>
      <c r="I112" s="27"/>
      <c r="J112" s="27"/>
      <c r="K112" s="27"/>
      <c r="L112" s="27"/>
      <c r="M112" s="27"/>
      <c r="N112" s="27"/>
      <c r="O112" s="27"/>
      <c r="P112" s="27"/>
      <c r="Q112" s="3">
        <f t="shared" si="4"/>
        <v>0</v>
      </c>
      <c r="R112" s="3">
        <v>0</v>
      </c>
      <c r="S112" s="39">
        <f>Q112/Summary!$Q$16</f>
        <v>0</v>
      </c>
      <c r="T112" s="35"/>
      <c r="U112" s="40">
        <f t="shared" si="5"/>
        <v>0</v>
      </c>
    </row>
    <row r="113" spans="1:21" s="3" customFormat="1" ht="24.95" hidden="1" customHeight="1">
      <c r="A113" s="3" t="s">
        <v>927</v>
      </c>
      <c r="B113" s="3" t="s">
        <v>1024</v>
      </c>
      <c r="D113" s="26" t="s">
        <v>928</v>
      </c>
      <c r="E113" s="27"/>
      <c r="F113" s="27"/>
      <c r="G113" s="27"/>
      <c r="H113" s="27"/>
      <c r="I113" s="27"/>
      <c r="J113" s="27"/>
      <c r="K113" s="27"/>
      <c r="L113" s="27"/>
      <c r="M113" s="27"/>
      <c r="N113" s="27"/>
      <c r="O113" s="27"/>
      <c r="P113" s="27"/>
      <c r="Q113" s="3">
        <f t="shared" si="4"/>
        <v>0</v>
      </c>
      <c r="R113" s="3">
        <v>0</v>
      </c>
      <c r="S113" s="39">
        <f>Q113/Summary!$Q$16</f>
        <v>0</v>
      </c>
      <c r="T113" s="35"/>
      <c r="U113" s="40">
        <f t="shared" si="5"/>
        <v>0</v>
      </c>
    </row>
    <row r="114" spans="1:21" s="3" customFormat="1" ht="24.95" hidden="1" customHeight="1">
      <c r="A114" s="3" t="s">
        <v>929</v>
      </c>
      <c r="B114" s="3" t="s">
        <v>1024</v>
      </c>
      <c r="D114" s="26" t="s">
        <v>930</v>
      </c>
      <c r="E114" s="27"/>
      <c r="F114" s="27"/>
      <c r="G114" s="27"/>
      <c r="H114" s="27"/>
      <c r="I114" s="27"/>
      <c r="J114" s="27"/>
      <c r="K114" s="27"/>
      <c r="L114" s="27"/>
      <c r="M114" s="27"/>
      <c r="N114" s="27"/>
      <c r="O114" s="27"/>
      <c r="P114" s="27"/>
      <c r="Q114" s="3">
        <f t="shared" si="4"/>
        <v>0</v>
      </c>
      <c r="R114" s="3">
        <v>0</v>
      </c>
      <c r="S114" s="39">
        <f>Q114/Summary!$Q$16</f>
        <v>0</v>
      </c>
      <c r="T114" s="35"/>
      <c r="U114" s="40">
        <f t="shared" si="5"/>
        <v>0</v>
      </c>
    </row>
    <row r="115" spans="1:21" s="3" customFormat="1" ht="24.95" hidden="1" customHeight="1">
      <c r="A115" s="3" t="s">
        <v>931</v>
      </c>
      <c r="B115" s="3" t="s">
        <v>1024</v>
      </c>
      <c r="D115" s="26" t="s">
        <v>932</v>
      </c>
      <c r="E115" s="27"/>
      <c r="F115" s="27"/>
      <c r="G115" s="27"/>
      <c r="H115" s="27"/>
      <c r="I115" s="27"/>
      <c r="J115" s="27"/>
      <c r="K115" s="27"/>
      <c r="L115" s="27"/>
      <c r="M115" s="27"/>
      <c r="N115" s="27"/>
      <c r="O115" s="27"/>
      <c r="P115" s="27"/>
      <c r="Q115" s="3">
        <f t="shared" si="4"/>
        <v>0</v>
      </c>
      <c r="R115" s="3">
        <v>0</v>
      </c>
      <c r="S115" s="39">
        <f>Q115/Summary!$Q$16</f>
        <v>0</v>
      </c>
      <c r="T115" s="35"/>
      <c r="U115" s="40">
        <f t="shared" si="5"/>
        <v>0</v>
      </c>
    </row>
    <row r="116" spans="1:21" s="3" customFormat="1" ht="24.95" hidden="1" customHeight="1">
      <c r="A116" s="3" t="s">
        <v>933</v>
      </c>
      <c r="B116" s="3" t="s">
        <v>1024</v>
      </c>
      <c r="D116" s="26" t="s">
        <v>934</v>
      </c>
      <c r="E116" s="27"/>
      <c r="F116" s="27"/>
      <c r="G116" s="27"/>
      <c r="H116" s="27"/>
      <c r="I116" s="27"/>
      <c r="J116" s="27"/>
      <c r="K116" s="27"/>
      <c r="L116" s="27"/>
      <c r="M116" s="27"/>
      <c r="N116" s="27"/>
      <c r="O116" s="27"/>
      <c r="P116" s="27"/>
      <c r="Q116" s="3">
        <f t="shared" si="4"/>
        <v>0</v>
      </c>
      <c r="R116" s="3">
        <v>0</v>
      </c>
      <c r="S116" s="39">
        <f>Q116/Summary!$Q$16</f>
        <v>0</v>
      </c>
      <c r="T116" s="35"/>
      <c r="U116" s="40">
        <f t="shared" si="5"/>
        <v>0</v>
      </c>
    </row>
    <row r="117" spans="1:21" s="3" customFormat="1" ht="24.95" hidden="1" customHeight="1">
      <c r="A117" s="3" t="s">
        <v>935</v>
      </c>
      <c r="B117" s="3" t="s">
        <v>1024</v>
      </c>
      <c r="D117" s="26" t="s">
        <v>936</v>
      </c>
      <c r="E117" s="27"/>
      <c r="F117" s="27"/>
      <c r="G117" s="27"/>
      <c r="H117" s="27"/>
      <c r="I117" s="27"/>
      <c r="J117" s="27"/>
      <c r="K117" s="27"/>
      <c r="L117" s="27"/>
      <c r="M117" s="27"/>
      <c r="N117" s="27"/>
      <c r="O117" s="27"/>
      <c r="P117" s="27"/>
      <c r="Q117" s="3">
        <f t="shared" si="4"/>
        <v>0</v>
      </c>
      <c r="R117" s="3">
        <v>0</v>
      </c>
      <c r="S117" s="39">
        <f>Q117/Summary!$Q$16</f>
        <v>0</v>
      </c>
      <c r="T117" s="35"/>
      <c r="U117" s="40">
        <f t="shared" si="5"/>
        <v>0</v>
      </c>
    </row>
    <row r="118" spans="1:21" s="3" customFormat="1" ht="24.95" hidden="1" customHeight="1">
      <c r="A118" s="3" t="s">
        <v>937</v>
      </c>
      <c r="B118" s="3" t="s">
        <v>1024</v>
      </c>
      <c r="D118" s="26" t="s">
        <v>938</v>
      </c>
      <c r="E118" s="27"/>
      <c r="F118" s="27"/>
      <c r="G118" s="27"/>
      <c r="H118" s="27"/>
      <c r="I118" s="27"/>
      <c r="J118" s="27"/>
      <c r="K118" s="27"/>
      <c r="L118" s="27"/>
      <c r="M118" s="27"/>
      <c r="N118" s="27"/>
      <c r="O118" s="27"/>
      <c r="P118" s="27"/>
      <c r="Q118" s="3">
        <f t="shared" si="4"/>
        <v>0</v>
      </c>
      <c r="R118" s="3">
        <v>0</v>
      </c>
      <c r="S118" s="39">
        <f>Q118/Summary!$Q$16</f>
        <v>0</v>
      </c>
      <c r="T118" s="35"/>
      <c r="U118" s="40">
        <f t="shared" si="5"/>
        <v>0</v>
      </c>
    </row>
    <row r="119" spans="1:21" s="3" customFormat="1" ht="24.95" hidden="1" customHeight="1">
      <c r="A119" s="3" t="s">
        <v>939</v>
      </c>
      <c r="B119" s="3" t="s">
        <v>1024</v>
      </c>
      <c r="D119" s="26" t="s">
        <v>940</v>
      </c>
      <c r="E119" s="27"/>
      <c r="F119" s="27"/>
      <c r="G119" s="27"/>
      <c r="H119" s="27"/>
      <c r="I119" s="27"/>
      <c r="J119" s="27"/>
      <c r="K119" s="27"/>
      <c r="L119" s="27"/>
      <c r="M119" s="27"/>
      <c r="N119" s="27"/>
      <c r="O119" s="27"/>
      <c r="P119" s="27"/>
      <c r="Q119" s="3">
        <f t="shared" si="4"/>
        <v>0</v>
      </c>
      <c r="R119" s="3">
        <v>0</v>
      </c>
      <c r="S119" s="39">
        <f>Q119/Summary!$Q$16</f>
        <v>0</v>
      </c>
      <c r="T119" s="35"/>
      <c r="U119" s="40">
        <f t="shared" si="5"/>
        <v>0</v>
      </c>
    </row>
    <row r="120" spans="1:21" s="3" customFormat="1" ht="24.95" hidden="1" customHeight="1">
      <c r="A120" s="3" t="s">
        <v>941</v>
      </c>
      <c r="B120" s="3" t="s">
        <v>1024</v>
      </c>
      <c r="D120" s="26" t="s">
        <v>942</v>
      </c>
      <c r="E120" s="27"/>
      <c r="F120" s="27"/>
      <c r="G120" s="27"/>
      <c r="H120" s="27"/>
      <c r="I120" s="27"/>
      <c r="J120" s="27"/>
      <c r="K120" s="27"/>
      <c r="L120" s="27"/>
      <c r="M120" s="27"/>
      <c r="N120" s="27"/>
      <c r="O120" s="27"/>
      <c r="P120" s="27"/>
      <c r="Q120" s="3">
        <f t="shared" si="4"/>
        <v>0</v>
      </c>
      <c r="R120" s="3">
        <v>0</v>
      </c>
      <c r="S120" s="39">
        <f>Q120/Summary!$Q$16</f>
        <v>0</v>
      </c>
      <c r="T120" s="35"/>
      <c r="U120" s="40">
        <f t="shared" si="5"/>
        <v>0</v>
      </c>
    </row>
    <row r="121" spans="1:21" s="3" customFormat="1" ht="24.95" hidden="1" customHeight="1">
      <c r="A121" s="3" t="s">
        <v>943</v>
      </c>
      <c r="B121" s="3" t="s">
        <v>1024</v>
      </c>
      <c r="D121" s="26" t="s">
        <v>944</v>
      </c>
      <c r="E121" s="27"/>
      <c r="F121" s="27"/>
      <c r="G121" s="27"/>
      <c r="H121" s="27"/>
      <c r="I121" s="27"/>
      <c r="J121" s="27"/>
      <c r="K121" s="27"/>
      <c r="L121" s="27"/>
      <c r="M121" s="27"/>
      <c r="N121" s="27"/>
      <c r="O121" s="27"/>
      <c r="P121" s="27"/>
      <c r="Q121" s="3">
        <f t="shared" si="4"/>
        <v>0</v>
      </c>
      <c r="R121" s="3">
        <v>0</v>
      </c>
      <c r="S121" s="39">
        <f>Q121/Summary!$Q$16</f>
        <v>0</v>
      </c>
      <c r="T121" s="35"/>
      <c r="U121" s="40">
        <f t="shared" si="5"/>
        <v>0</v>
      </c>
    </row>
    <row r="122" spans="1:21" s="3" customFormat="1" ht="24.95" hidden="1" customHeight="1">
      <c r="A122" s="3" t="s">
        <v>945</v>
      </c>
      <c r="B122" s="3" t="s">
        <v>1024</v>
      </c>
      <c r="D122" s="26" t="s">
        <v>946</v>
      </c>
      <c r="E122" s="27"/>
      <c r="F122" s="27"/>
      <c r="G122" s="27"/>
      <c r="H122" s="27"/>
      <c r="I122" s="27"/>
      <c r="J122" s="27"/>
      <c r="K122" s="27"/>
      <c r="L122" s="27"/>
      <c r="M122" s="27"/>
      <c r="N122" s="27"/>
      <c r="O122" s="27"/>
      <c r="P122" s="27"/>
      <c r="Q122" s="3">
        <f t="shared" si="4"/>
        <v>0</v>
      </c>
      <c r="R122" s="3">
        <v>0</v>
      </c>
      <c r="S122" s="39">
        <f>Q122/Summary!$Q$16</f>
        <v>0</v>
      </c>
      <c r="T122" s="35"/>
      <c r="U122" s="40">
        <f t="shared" si="5"/>
        <v>0</v>
      </c>
    </row>
    <row r="123" spans="1:21" s="3" customFormat="1" ht="24.95" hidden="1" customHeight="1">
      <c r="A123" s="3" t="s">
        <v>947</v>
      </c>
      <c r="B123" s="3" t="s">
        <v>1024</v>
      </c>
      <c r="D123" s="26" t="s">
        <v>948</v>
      </c>
      <c r="E123" s="27"/>
      <c r="F123" s="27"/>
      <c r="G123" s="27"/>
      <c r="H123" s="27"/>
      <c r="I123" s="27"/>
      <c r="J123" s="27"/>
      <c r="K123" s="27"/>
      <c r="L123" s="27"/>
      <c r="M123" s="27"/>
      <c r="N123" s="27"/>
      <c r="O123" s="27"/>
      <c r="P123" s="27"/>
      <c r="Q123" s="3">
        <f t="shared" si="4"/>
        <v>0</v>
      </c>
      <c r="R123" s="3">
        <v>0</v>
      </c>
      <c r="S123" s="39">
        <f>Q123/Summary!$Q$16</f>
        <v>0</v>
      </c>
      <c r="T123" s="35"/>
      <c r="U123" s="40">
        <f t="shared" si="5"/>
        <v>0</v>
      </c>
    </row>
    <row r="124" spans="1:21" s="3" customFormat="1" ht="24.95" hidden="1" customHeight="1">
      <c r="A124" s="3" t="s">
        <v>949</v>
      </c>
      <c r="B124" s="3" t="s">
        <v>1024</v>
      </c>
      <c r="D124" s="26" t="s">
        <v>950</v>
      </c>
      <c r="E124" s="27"/>
      <c r="F124" s="27"/>
      <c r="G124" s="27"/>
      <c r="H124" s="27"/>
      <c r="I124" s="27"/>
      <c r="J124" s="27"/>
      <c r="K124" s="27"/>
      <c r="L124" s="27"/>
      <c r="M124" s="27"/>
      <c r="N124" s="27"/>
      <c r="O124" s="27"/>
      <c r="P124" s="27"/>
      <c r="Q124" s="3">
        <f t="shared" si="4"/>
        <v>0</v>
      </c>
      <c r="R124" s="3">
        <v>0</v>
      </c>
      <c r="S124" s="39">
        <f>Q124/Summary!$Q$16</f>
        <v>0</v>
      </c>
      <c r="T124" s="35"/>
      <c r="U124" s="40">
        <f t="shared" si="5"/>
        <v>0</v>
      </c>
    </row>
    <row r="125" spans="1:21" s="3" customFormat="1" ht="24.95" hidden="1" customHeight="1">
      <c r="A125" s="3" t="s">
        <v>951</v>
      </c>
      <c r="B125" s="3" t="s">
        <v>1024</v>
      </c>
      <c r="D125" s="26" t="s">
        <v>952</v>
      </c>
      <c r="E125" s="27"/>
      <c r="F125" s="27"/>
      <c r="G125" s="27"/>
      <c r="H125" s="27"/>
      <c r="I125" s="27"/>
      <c r="J125" s="27"/>
      <c r="K125" s="27"/>
      <c r="L125" s="27"/>
      <c r="M125" s="27"/>
      <c r="N125" s="27"/>
      <c r="O125" s="27"/>
      <c r="P125" s="27"/>
      <c r="Q125" s="3">
        <f t="shared" si="4"/>
        <v>0</v>
      </c>
      <c r="R125" s="3">
        <v>0</v>
      </c>
      <c r="S125" s="39">
        <f>Q125/Summary!$Q$16</f>
        <v>0</v>
      </c>
      <c r="T125" s="35"/>
      <c r="U125" s="40">
        <f t="shared" si="5"/>
        <v>0</v>
      </c>
    </row>
    <row r="126" spans="1:21" s="3" customFormat="1" ht="24.95" hidden="1" customHeight="1">
      <c r="A126" s="3" t="s">
        <v>953</v>
      </c>
      <c r="B126" s="3" t="s">
        <v>1024</v>
      </c>
      <c r="D126" s="26" t="s">
        <v>954</v>
      </c>
      <c r="E126" s="27"/>
      <c r="F126" s="27"/>
      <c r="G126" s="27"/>
      <c r="H126" s="27"/>
      <c r="I126" s="27"/>
      <c r="J126" s="27"/>
      <c r="K126" s="27"/>
      <c r="L126" s="27"/>
      <c r="M126" s="27"/>
      <c r="N126" s="27"/>
      <c r="O126" s="27"/>
      <c r="P126" s="27"/>
      <c r="Q126" s="3">
        <f t="shared" si="4"/>
        <v>0</v>
      </c>
      <c r="R126" s="3">
        <v>0</v>
      </c>
      <c r="S126" s="39">
        <f>Q126/Summary!$Q$16</f>
        <v>0</v>
      </c>
      <c r="T126" s="35"/>
      <c r="U126" s="40">
        <f t="shared" si="5"/>
        <v>0</v>
      </c>
    </row>
    <row r="127" spans="1:21" s="3" customFormat="1" ht="24.95" hidden="1" customHeight="1">
      <c r="A127" s="3" t="s">
        <v>955</v>
      </c>
      <c r="B127" s="3" t="s">
        <v>1024</v>
      </c>
      <c r="D127" s="26" t="s">
        <v>956</v>
      </c>
      <c r="E127" s="27"/>
      <c r="F127" s="27"/>
      <c r="G127" s="27"/>
      <c r="H127" s="27"/>
      <c r="I127" s="27"/>
      <c r="J127" s="27"/>
      <c r="K127" s="27"/>
      <c r="L127" s="27"/>
      <c r="M127" s="27"/>
      <c r="N127" s="27"/>
      <c r="O127" s="27"/>
      <c r="P127" s="27"/>
      <c r="Q127" s="3">
        <f t="shared" si="4"/>
        <v>0</v>
      </c>
      <c r="R127" s="3">
        <v>0</v>
      </c>
      <c r="S127" s="39">
        <f>Q127/Summary!$Q$16</f>
        <v>0</v>
      </c>
      <c r="T127" s="35"/>
      <c r="U127" s="40">
        <f t="shared" si="5"/>
        <v>0</v>
      </c>
    </row>
    <row r="128" spans="1:21" s="3" customFormat="1" ht="24.95" hidden="1" customHeight="1">
      <c r="A128" s="3" t="s">
        <v>957</v>
      </c>
      <c r="B128" s="3" t="s">
        <v>1024</v>
      </c>
      <c r="D128" s="26" t="s">
        <v>958</v>
      </c>
      <c r="E128" s="27"/>
      <c r="F128" s="27"/>
      <c r="G128" s="27"/>
      <c r="H128" s="27"/>
      <c r="I128" s="27"/>
      <c r="J128" s="27"/>
      <c r="K128" s="27"/>
      <c r="L128" s="27"/>
      <c r="M128" s="27"/>
      <c r="N128" s="27"/>
      <c r="O128" s="27"/>
      <c r="P128" s="27"/>
      <c r="Q128" s="3">
        <f t="shared" si="4"/>
        <v>0</v>
      </c>
      <c r="R128" s="3">
        <v>0</v>
      </c>
      <c r="S128" s="39">
        <f>Q128/Summary!$Q$16</f>
        <v>0</v>
      </c>
      <c r="T128" s="35"/>
      <c r="U128" s="40">
        <f t="shared" si="5"/>
        <v>0</v>
      </c>
    </row>
    <row r="129" spans="1:21" s="3" customFormat="1" ht="24.95" hidden="1" customHeight="1">
      <c r="A129" s="3" t="s">
        <v>959</v>
      </c>
      <c r="B129" s="3" t="s">
        <v>1024</v>
      </c>
      <c r="D129" s="26" t="s">
        <v>960</v>
      </c>
      <c r="E129" s="27"/>
      <c r="F129" s="27"/>
      <c r="G129" s="27"/>
      <c r="H129" s="27"/>
      <c r="I129" s="27"/>
      <c r="J129" s="27"/>
      <c r="K129" s="27"/>
      <c r="L129" s="27"/>
      <c r="M129" s="27"/>
      <c r="N129" s="27"/>
      <c r="O129" s="27"/>
      <c r="P129" s="27"/>
      <c r="Q129" s="3">
        <f t="shared" si="4"/>
        <v>0</v>
      </c>
      <c r="R129" s="3">
        <v>0</v>
      </c>
      <c r="S129" s="39">
        <f>Q129/Summary!$Q$16</f>
        <v>0</v>
      </c>
      <c r="T129" s="35"/>
      <c r="U129" s="40">
        <f t="shared" si="5"/>
        <v>0</v>
      </c>
    </row>
    <row r="130" spans="1:21" s="3" customFormat="1" ht="24.95" hidden="1" customHeight="1">
      <c r="A130" s="3" t="s">
        <v>961</v>
      </c>
      <c r="B130" s="3" t="s">
        <v>1024</v>
      </c>
      <c r="D130" s="26" t="s">
        <v>962</v>
      </c>
      <c r="E130" s="27"/>
      <c r="F130" s="27"/>
      <c r="G130" s="27"/>
      <c r="H130" s="27"/>
      <c r="I130" s="27"/>
      <c r="J130" s="27"/>
      <c r="K130" s="27"/>
      <c r="L130" s="27"/>
      <c r="M130" s="27"/>
      <c r="N130" s="27"/>
      <c r="O130" s="27"/>
      <c r="P130" s="27"/>
      <c r="Q130" s="3">
        <f t="shared" si="4"/>
        <v>0</v>
      </c>
      <c r="R130" s="3">
        <v>0</v>
      </c>
      <c r="S130" s="39">
        <f>Q130/Summary!$Q$16</f>
        <v>0</v>
      </c>
      <c r="T130" s="35"/>
      <c r="U130" s="40">
        <f t="shared" si="5"/>
        <v>0</v>
      </c>
    </row>
    <row r="131" spans="1:21" s="3" customFormat="1" ht="24.95" hidden="1" customHeight="1">
      <c r="A131" s="3" t="s">
        <v>963</v>
      </c>
      <c r="B131" s="3" t="s">
        <v>1024</v>
      </c>
      <c r="D131" s="26" t="s">
        <v>964</v>
      </c>
      <c r="E131" s="27"/>
      <c r="F131" s="27"/>
      <c r="G131" s="27"/>
      <c r="H131" s="27"/>
      <c r="I131" s="27"/>
      <c r="J131" s="27"/>
      <c r="K131" s="27"/>
      <c r="L131" s="27"/>
      <c r="M131" s="27"/>
      <c r="N131" s="27"/>
      <c r="O131" s="27"/>
      <c r="P131" s="27"/>
      <c r="Q131" s="3">
        <f t="shared" si="4"/>
        <v>0</v>
      </c>
      <c r="R131" s="3">
        <v>0</v>
      </c>
      <c r="S131" s="39">
        <f>Q131/Summary!$Q$16</f>
        <v>0</v>
      </c>
      <c r="T131" s="35"/>
      <c r="U131" s="40">
        <f t="shared" si="5"/>
        <v>0</v>
      </c>
    </row>
    <row r="132" spans="1:21" s="3" customFormat="1" ht="24.95" hidden="1" customHeight="1">
      <c r="A132" s="3" t="s">
        <v>965</v>
      </c>
      <c r="B132" s="3" t="s">
        <v>1024</v>
      </c>
      <c r="D132" s="26" t="s">
        <v>966</v>
      </c>
      <c r="E132" s="27"/>
      <c r="F132" s="27"/>
      <c r="G132" s="27"/>
      <c r="H132" s="27"/>
      <c r="I132" s="27"/>
      <c r="J132" s="27"/>
      <c r="K132" s="27"/>
      <c r="L132" s="27"/>
      <c r="M132" s="27"/>
      <c r="N132" s="27"/>
      <c r="O132" s="27"/>
      <c r="P132" s="27"/>
      <c r="Q132" s="3">
        <f t="shared" si="4"/>
        <v>0</v>
      </c>
      <c r="R132" s="3">
        <v>0</v>
      </c>
      <c r="S132" s="39">
        <f>Q132/Summary!$Q$16</f>
        <v>0</v>
      </c>
      <c r="T132" s="35"/>
      <c r="U132" s="40">
        <f t="shared" si="5"/>
        <v>0</v>
      </c>
    </row>
    <row r="133" spans="1:21" s="3" customFormat="1" ht="24.75" hidden="1" customHeight="1">
      <c r="A133" s="3" t="s">
        <v>967</v>
      </c>
      <c r="B133" s="3" t="s">
        <v>1024</v>
      </c>
      <c r="D133" s="26" t="s">
        <v>968</v>
      </c>
      <c r="E133" s="27"/>
      <c r="F133" s="27"/>
      <c r="G133" s="27"/>
      <c r="H133" s="27"/>
      <c r="I133" s="27"/>
      <c r="J133" s="27"/>
      <c r="K133" s="27"/>
      <c r="L133" s="27"/>
      <c r="M133" s="27"/>
      <c r="N133" s="27"/>
      <c r="O133" s="27"/>
      <c r="P133" s="27"/>
      <c r="Q133" s="3">
        <f t="shared" si="4"/>
        <v>0</v>
      </c>
      <c r="R133" s="3">
        <v>0</v>
      </c>
      <c r="S133" s="39">
        <f>Q133/Summary!$Q$16</f>
        <v>0</v>
      </c>
      <c r="T133" s="35"/>
      <c r="U133" s="40">
        <f t="shared" si="5"/>
        <v>0</v>
      </c>
    </row>
    <row r="134" spans="1:21" s="3" customFormat="1" ht="24.95" hidden="1" customHeight="1">
      <c r="A134" s="3" t="s">
        <v>969</v>
      </c>
      <c r="B134" s="3" t="s">
        <v>1024</v>
      </c>
      <c r="D134" s="26" t="s">
        <v>970</v>
      </c>
      <c r="E134" s="27"/>
      <c r="F134" s="27"/>
      <c r="G134" s="27"/>
      <c r="H134" s="27"/>
      <c r="I134" s="27"/>
      <c r="J134" s="27"/>
      <c r="K134" s="27"/>
      <c r="L134" s="27"/>
      <c r="M134" s="27"/>
      <c r="N134" s="27"/>
      <c r="O134" s="27"/>
      <c r="P134" s="27"/>
      <c r="Q134" s="3">
        <f t="shared" si="4"/>
        <v>0</v>
      </c>
      <c r="R134" s="3">
        <v>0</v>
      </c>
      <c r="S134" s="39">
        <f>Q134/Summary!$Q$16</f>
        <v>0</v>
      </c>
      <c r="T134" s="35"/>
      <c r="U134" s="40">
        <f t="shared" si="5"/>
        <v>0</v>
      </c>
    </row>
    <row r="135" spans="1:21" s="3" customFormat="1" ht="24.95" hidden="1" customHeight="1">
      <c r="A135" s="3" t="s">
        <v>971</v>
      </c>
      <c r="B135" s="3" t="s">
        <v>1024</v>
      </c>
      <c r="D135" s="26" t="s">
        <v>972</v>
      </c>
      <c r="E135" s="27"/>
      <c r="F135" s="27"/>
      <c r="G135" s="27"/>
      <c r="H135" s="27"/>
      <c r="I135" s="27"/>
      <c r="J135" s="27"/>
      <c r="K135" s="27"/>
      <c r="L135" s="27"/>
      <c r="M135" s="27"/>
      <c r="N135" s="27"/>
      <c r="O135" s="27"/>
      <c r="P135" s="27"/>
      <c r="Q135" s="3">
        <f t="shared" si="4"/>
        <v>0</v>
      </c>
      <c r="R135" s="3">
        <v>0</v>
      </c>
      <c r="S135" s="39">
        <f>Q135/Summary!$Q$16</f>
        <v>0</v>
      </c>
      <c r="T135" s="35"/>
      <c r="U135" s="40">
        <f t="shared" si="5"/>
        <v>0</v>
      </c>
    </row>
    <row r="136" spans="1:21" s="3" customFormat="1" ht="24.95" hidden="1" customHeight="1">
      <c r="A136" s="3" t="s">
        <v>973</v>
      </c>
      <c r="B136" s="3" t="s">
        <v>1024</v>
      </c>
      <c r="D136" s="26" t="s">
        <v>974</v>
      </c>
      <c r="E136" s="27"/>
      <c r="F136" s="27"/>
      <c r="G136" s="27"/>
      <c r="H136" s="27"/>
      <c r="I136" s="27"/>
      <c r="J136" s="27"/>
      <c r="K136" s="27"/>
      <c r="L136" s="27"/>
      <c r="M136" s="27"/>
      <c r="N136" s="27"/>
      <c r="O136" s="27"/>
      <c r="P136" s="27"/>
      <c r="Q136" s="3">
        <f t="shared" si="4"/>
        <v>0</v>
      </c>
      <c r="R136" s="3">
        <v>0</v>
      </c>
      <c r="S136" s="39">
        <f>Q136/Summary!$Q$16</f>
        <v>0</v>
      </c>
      <c r="T136" s="35"/>
      <c r="U136" s="40">
        <f t="shared" si="5"/>
        <v>0</v>
      </c>
    </row>
    <row r="137" spans="1:21" s="3" customFormat="1" ht="24.95" hidden="1" customHeight="1">
      <c r="A137" s="3" t="s">
        <v>975</v>
      </c>
      <c r="B137" s="3" t="s">
        <v>1024</v>
      </c>
      <c r="D137" s="26" t="s">
        <v>976</v>
      </c>
      <c r="E137" s="27"/>
      <c r="F137" s="27"/>
      <c r="G137" s="27"/>
      <c r="H137" s="27"/>
      <c r="I137" s="27"/>
      <c r="J137" s="27"/>
      <c r="K137" s="27"/>
      <c r="L137" s="27"/>
      <c r="M137" s="27"/>
      <c r="N137" s="27"/>
      <c r="O137" s="27"/>
      <c r="P137" s="27"/>
      <c r="Q137" s="3">
        <f t="shared" si="4"/>
        <v>0</v>
      </c>
      <c r="R137" s="3">
        <v>0</v>
      </c>
      <c r="S137" s="39">
        <f>Q137/Summary!$Q$16</f>
        <v>0</v>
      </c>
      <c r="T137" s="35"/>
      <c r="U137" s="40">
        <f t="shared" si="5"/>
        <v>0</v>
      </c>
    </row>
    <row r="138" spans="1:21" s="3" customFormat="1" ht="24.95" hidden="1" customHeight="1">
      <c r="A138" s="3" t="s">
        <v>977</v>
      </c>
      <c r="B138" s="3" t="s">
        <v>1024</v>
      </c>
      <c r="D138" s="26" t="s">
        <v>978</v>
      </c>
      <c r="E138" s="27"/>
      <c r="F138" s="27"/>
      <c r="G138" s="27"/>
      <c r="H138" s="27"/>
      <c r="I138" s="27"/>
      <c r="J138" s="27"/>
      <c r="K138" s="27"/>
      <c r="L138" s="27"/>
      <c r="M138" s="27"/>
      <c r="N138" s="27"/>
      <c r="O138" s="27"/>
      <c r="P138" s="27"/>
      <c r="Q138" s="3">
        <f t="shared" si="4"/>
        <v>0</v>
      </c>
      <c r="R138" s="3">
        <v>0</v>
      </c>
      <c r="S138" s="39">
        <f>Q138/Summary!$Q$16</f>
        <v>0</v>
      </c>
      <c r="T138" s="35"/>
      <c r="U138" s="40">
        <f t="shared" si="5"/>
        <v>0</v>
      </c>
    </row>
    <row r="139" spans="1:21" s="3" customFormat="1" ht="24.95" hidden="1" customHeight="1">
      <c r="A139" s="3" t="s">
        <v>979</v>
      </c>
      <c r="B139" s="3" t="s">
        <v>1024</v>
      </c>
      <c r="D139" s="26" t="s">
        <v>980</v>
      </c>
      <c r="E139" s="27"/>
      <c r="F139" s="27"/>
      <c r="G139" s="27"/>
      <c r="H139" s="27"/>
      <c r="I139" s="27"/>
      <c r="J139" s="27"/>
      <c r="K139" s="27"/>
      <c r="L139" s="27"/>
      <c r="M139" s="27"/>
      <c r="N139" s="27"/>
      <c r="O139" s="27"/>
      <c r="P139" s="27"/>
      <c r="Q139" s="3">
        <f t="shared" si="4"/>
        <v>0</v>
      </c>
      <c r="R139" s="3">
        <v>0</v>
      </c>
      <c r="S139" s="39">
        <f>Q139/Summary!$Q$16</f>
        <v>0</v>
      </c>
      <c r="T139" s="35"/>
      <c r="U139" s="40">
        <f t="shared" si="5"/>
        <v>0</v>
      </c>
    </row>
    <row r="140" spans="1:21" s="3" customFormat="1" ht="24.95" hidden="1" customHeight="1">
      <c r="A140" s="3" t="s">
        <v>981</v>
      </c>
      <c r="B140" s="3" t="s">
        <v>1024</v>
      </c>
      <c r="D140" s="26" t="s">
        <v>982</v>
      </c>
      <c r="E140" s="27"/>
      <c r="F140" s="27"/>
      <c r="G140" s="27"/>
      <c r="H140" s="27"/>
      <c r="I140" s="27"/>
      <c r="J140" s="27"/>
      <c r="K140" s="27"/>
      <c r="L140" s="27"/>
      <c r="M140" s="27"/>
      <c r="N140" s="27"/>
      <c r="O140" s="27"/>
      <c r="P140" s="27"/>
      <c r="Q140" s="3">
        <f t="shared" si="4"/>
        <v>0</v>
      </c>
      <c r="R140" s="3">
        <v>0</v>
      </c>
      <c r="S140" s="39">
        <f>Q140/Summary!$Q$16</f>
        <v>0</v>
      </c>
      <c r="T140" s="35"/>
      <c r="U140" s="40">
        <f t="shared" si="5"/>
        <v>0</v>
      </c>
    </row>
    <row r="141" spans="1:21" s="3" customFormat="1" ht="24.95" hidden="1" customHeight="1">
      <c r="A141" s="3" t="s">
        <v>983</v>
      </c>
      <c r="B141" s="3" t="s">
        <v>1024</v>
      </c>
      <c r="D141" s="26" t="s">
        <v>984</v>
      </c>
      <c r="E141" s="27"/>
      <c r="F141" s="27"/>
      <c r="G141" s="27"/>
      <c r="H141" s="27"/>
      <c r="I141" s="27"/>
      <c r="J141" s="27"/>
      <c r="K141" s="27"/>
      <c r="L141" s="27"/>
      <c r="M141" s="27"/>
      <c r="N141" s="27"/>
      <c r="O141" s="27"/>
      <c r="P141" s="27"/>
      <c r="Q141" s="3">
        <f t="shared" si="4"/>
        <v>0</v>
      </c>
      <c r="R141" s="3">
        <v>0</v>
      </c>
      <c r="S141" s="39">
        <f>Q141/Summary!$Q$16</f>
        <v>0</v>
      </c>
      <c r="T141" s="35"/>
      <c r="U141" s="40">
        <f t="shared" si="5"/>
        <v>0</v>
      </c>
    </row>
    <row r="142" spans="1:21" s="3" customFormat="1" ht="24.95" hidden="1" customHeight="1">
      <c r="A142" s="3" t="s">
        <v>985</v>
      </c>
      <c r="B142" s="3" t="s">
        <v>1024</v>
      </c>
      <c r="D142" s="26" t="s">
        <v>986</v>
      </c>
      <c r="E142" s="27"/>
      <c r="F142" s="27"/>
      <c r="G142" s="27"/>
      <c r="H142" s="27"/>
      <c r="I142" s="27"/>
      <c r="J142" s="27"/>
      <c r="K142" s="27"/>
      <c r="L142" s="27"/>
      <c r="M142" s="27"/>
      <c r="N142" s="27"/>
      <c r="O142" s="27"/>
      <c r="P142" s="27"/>
      <c r="Q142" s="3">
        <f t="shared" si="4"/>
        <v>0</v>
      </c>
      <c r="R142" s="3">
        <v>0</v>
      </c>
      <c r="S142" s="39">
        <f>Q142/Summary!$Q$16</f>
        <v>0</v>
      </c>
      <c r="T142" s="35"/>
      <c r="U142" s="40">
        <f t="shared" si="5"/>
        <v>0</v>
      </c>
    </row>
    <row r="143" spans="1:21" s="3" customFormat="1" ht="24.95" hidden="1" customHeight="1">
      <c r="A143" s="3" t="s">
        <v>987</v>
      </c>
      <c r="B143" s="3" t="s">
        <v>1024</v>
      </c>
      <c r="D143" s="26" t="s">
        <v>988</v>
      </c>
      <c r="E143" s="27"/>
      <c r="F143" s="27"/>
      <c r="G143" s="27"/>
      <c r="H143" s="27"/>
      <c r="I143" s="27"/>
      <c r="J143" s="27"/>
      <c r="K143" s="27"/>
      <c r="L143" s="27"/>
      <c r="M143" s="27"/>
      <c r="N143" s="27"/>
      <c r="O143" s="27"/>
      <c r="P143" s="27"/>
      <c r="Q143" s="3">
        <f t="shared" si="4"/>
        <v>0</v>
      </c>
      <c r="R143" s="3">
        <v>0</v>
      </c>
      <c r="S143" s="39">
        <f>Q143/Summary!$Q$16</f>
        <v>0</v>
      </c>
      <c r="T143" s="35"/>
      <c r="U143" s="40">
        <f t="shared" si="5"/>
        <v>0</v>
      </c>
    </row>
    <row r="144" spans="1:21" s="3" customFormat="1" ht="24.95" hidden="1" customHeight="1">
      <c r="A144" s="3" t="s">
        <v>989</v>
      </c>
      <c r="B144" s="3" t="s">
        <v>1024</v>
      </c>
      <c r="D144" s="26" t="s">
        <v>990</v>
      </c>
      <c r="E144" s="27"/>
      <c r="F144" s="27"/>
      <c r="G144" s="27"/>
      <c r="H144" s="27"/>
      <c r="I144" s="27"/>
      <c r="J144" s="27"/>
      <c r="K144" s="27"/>
      <c r="L144" s="27"/>
      <c r="M144" s="27"/>
      <c r="N144" s="27"/>
      <c r="O144" s="27"/>
      <c r="P144" s="27"/>
      <c r="Q144" s="3">
        <f t="shared" ref="Q144:Q157" si="6">SUM(E144:P144)</f>
        <v>0</v>
      </c>
      <c r="R144" s="3">
        <v>0</v>
      </c>
      <c r="S144" s="39">
        <f>Q144/Summary!$Q$16</f>
        <v>0</v>
      </c>
      <c r="T144" s="35"/>
      <c r="U144" s="40">
        <f t="shared" si="5"/>
        <v>0</v>
      </c>
    </row>
    <row r="145" spans="1:24" s="3" customFormat="1" ht="24.95" hidden="1" customHeight="1">
      <c r="A145" s="3" t="s">
        <v>991</v>
      </c>
      <c r="B145" s="3" t="s">
        <v>1024</v>
      </c>
      <c r="D145" s="26" t="s">
        <v>992</v>
      </c>
      <c r="E145" s="27"/>
      <c r="F145" s="27"/>
      <c r="G145" s="27"/>
      <c r="H145" s="27"/>
      <c r="I145" s="27"/>
      <c r="J145" s="27"/>
      <c r="K145" s="27"/>
      <c r="L145" s="27"/>
      <c r="M145" s="27"/>
      <c r="N145" s="27"/>
      <c r="O145" s="27"/>
      <c r="P145" s="27"/>
      <c r="Q145" s="3">
        <f t="shared" si="6"/>
        <v>0</v>
      </c>
      <c r="R145" s="3">
        <v>0</v>
      </c>
      <c r="S145" s="39">
        <f>Q145/Summary!$Q$16</f>
        <v>0</v>
      </c>
      <c r="T145" s="35"/>
      <c r="U145" s="40">
        <f t="shared" si="5"/>
        <v>0</v>
      </c>
    </row>
    <row r="146" spans="1:24" s="3" customFormat="1" ht="24.95" hidden="1" customHeight="1">
      <c r="A146" s="3" t="s">
        <v>993</v>
      </c>
      <c r="B146" s="3" t="s">
        <v>1024</v>
      </c>
      <c r="D146" s="26" t="s">
        <v>994</v>
      </c>
      <c r="E146" s="27"/>
      <c r="F146" s="27"/>
      <c r="G146" s="27"/>
      <c r="H146" s="27"/>
      <c r="I146" s="27"/>
      <c r="J146" s="27"/>
      <c r="K146" s="27"/>
      <c r="L146" s="27"/>
      <c r="M146" s="27"/>
      <c r="N146" s="27"/>
      <c r="O146" s="27"/>
      <c r="P146" s="27"/>
      <c r="Q146" s="3">
        <f t="shared" si="6"/>
        <v>0</v>
      </c>
      <c r="R146" s="3">
        <v>0</v>
      </c>
      <c r="S146" s="39">
        <f>Q146/Summary!$Q$16</f>
        <v>0</v>
      </c>
      <c r="T146" s="35"/>
      <c r="U146" s="40">
        <f t="shared" si="5"/>
        <v>0</v>
      </c>
    </row>
    <row r="147" spans="1:24" s="3" customFormat="1" ht="24.95" hidden="1" customHeight="1">
      <c r="A147" s="3" t="s">
        <v>995</v>
      </c>
      <c r="B147" s="3" t="s">
        <v>1024</v>
      </c>
      <c r="D147" s="26" t="s">
        <v>996</v>
      </c>
      <c r="E147" s="27"/>
      <c r="F147" s="27"/>
      <c r="G147" s="27"/>
      <c r="H147" s="27"/>
      <c r="I147" s="27"/>
      <c r="J147" s="27"/>
      <c r="K147" s="27"/>
      <c r="L147" s="27"/>
      <c r="M147" s="27"/>
      <c r="N147" s="27"/>
      <c r="O147" s="27"/>
      <c r="P147" s="27"/>
      <c r="Q147" s="3">
        <f t="shared" si="6"/>
        <v>0</v>
      </c>
      <c r="R147" s="3">
        <v>0</v>
      </c>
      <c r="S147" s="39">
        <f>Q147/Summary!$Q$16</f>
        <v>0</v>
      </c>
      <c r="T147" s="35"/>
      <c r="U147" s="40">
        <f t="shared" si="5"/>
        <v>0</v>
      </c>
    </row>
    <row r="148" spans="1:24" s="3" customFormat="1" ht="24.95" hidden="1" customHeight="1">
      <c r="A148" s="3" t="s">
        <v>997</v>
      </c>
      <c r="B148" s="3" t="s">
        <v>1024</v>
      </c>
      <c r="D148" s="26" t="s">
        <v>998</v>
      </c>
      <c r="E148" s="27"/>
      <c r="F148" s="27"/>
      <c r="G148" s="27"/>
      <c r="H148" s="27"/>
      <c r="I148" s="27"/>
      <c r="J148" s="27"/>
      <c r="K148" s="27"/>
      <c r="L148" s="27"/>
      <c r="M148" s="27"/>
      <c r="N148" s="27"/>
      <c r="O148" s="27"/>
      <c r="P148" s="27"/>
      <c r="Q148" s="3">
        <f t="shared" si="6"/>
        <v>0</v>
      </c>
      <c r="R148" s="3">
        <v>0</v>
      </c>
      <c r="S148" s="39">
        <f>Q148/Summary!$Q$16</f>
        <v>0</v>
      </c>
      <c r="T148" s="35"/>
      <c r="U148" s="40">
        <f t="shared" si="5"/>
        <v>0</v>
      </c>
    </row>
    <row r="149" spans="1:24" s="3" customFormat="1" ht="24.95" hidden="1" customHeight="1">
      <c r="A149" s="3" t="s">
        <v>999</v>
      </c>
      <c r="B149" s="3" t="s">
        <v>1024</v>
      </c>
      <c r="D149" s="26" t="s">
        <v>1000</v>
      </c>
      <c r="E149" s="27"/>
      <c r="F149" s="27"/>
      <c r="G149" s="27"/>
      <c r="H149" s="27"/>
      <c r="I149" s="27"/>
      <c r="J149" s="27"/>
      <c r="K149" s="27"/>
      <c r="L149" s="27"/>
      <c r="M149" s="27"/>
      <c r="N149" s="27"/>
      <c r="O149" s="27"/>
      <c r="P149" s="27"/>
      <c r="Q149" s="3">
        <f t="shared" si="6"/>
        <v>0</v>
      </c>
      <c r="R149" s="3">
        <v>0</v>
      </c>
      <c r="S149" s="39">
        <f>Q149/Summary!$Q$16</f>
        <v>0</v>
      </c>
      <c r="T149" s="35"/>
      <c r="U149" s="40">
        <f t="shared" si="5"/>
        <v>0</v>
      </c>
    </row>
    <row r="150" spans="1:24" s="3" customFormat="1" ht="24.95" hidden="1" customHeight="1">
      <c r="A150" s="3" t="s">
        <v>1001</v>
      </c>
      <c r="B150" s="3" t="s">
        <v>1024</v>
      </c>
      <c r="D150" s="26" t="s">
        <v>1002</v>
      </c>
      <c r="E150" s="27"/>
      <c r="F150" s="27"/>
      <c r="G150" s="27"/>
      <c r="H150" s="27"/>
      <c r="I150" s="27"/>
      <c r="J150" s="27"/>
      <c r="K150" s="27"/>
      <c r="L150" s="27"/>
      <c r="M150" s="27"/>
      <c r="N150" s="27"/>
      <c r="O150" s="27"/>
      <c r="P150" s="27"/>
      <c r="Q150" s="3">
        <f t="shared" si="6"/>
        <v>0</v>
      </c>
      <c r="R150" s="3">
        <v>0</v>
      </c>
      <c r="S150" s="39">
        <f>Q150/Summary!$Q$16</f>
        <v>0</v>
      </c>
      <c r="T150" s="35"/>
      <c r="U150" s="40">
        <f t="shared" si="5"/>
        <v>0</v>
      </c>
    </row>
    <row r="151" spans="1:24" s="3" customFormat="1" ht="24.95" hidden="1" customHeight="1">
      <c r="A151" s="3" t="s">
        <v>1003</v>
      </c>
      <c r="B151" s="3" t="s">
        <v>1024</v>
      </c>
      <c r="D151" s="26" t="s">
        <v>1004</v>
      </c>
      <c r="E151" s="27"/>
      <c r="F151" s="27"/>
      <c r="G151" s="27"/>
      <c r="H151" s="27"/>
      <c r="I151" s="27"/>
      <c r="J151" s="27"/>
      <c r="K151" s="27"/>
      <c r="L151" s="27"/>
      <c r="M151" s="27"/>
      <c r="N151" s="27"/>
      <c r="O151" s="27"/>
      <c r="P151" s="27"/>
      <c r="Q151" s="3">
        <f t="shared" si="6"/>
        <v>0</v>
      </c>
      <c r="R151" s="3">
        <v>0</v>
      </c>
      <c r="S151" s="39">
        <f>Q151/Summary!$Q$16</f>
        <v>0</v>
      </c>
      <c r="T151" s="35"/>
      <c r="U151" s="40">
        <f t="shared" si="5"/>
        <v>0</v>
      </c>
    </row>
    <row r="152" spans="1:24" s="3" customFormat="1" ht="24.95" hidden="1" customHeight="1">
      <c r="A152" s="3" t="s">
        <v>1005</v>
      </c>
      <c r="B152" s="3" t="s">
        <v>1024</v>
      </c>
      <c r="D152" s="26" t="s">
        <v>1006</v>
      </c>
      <c r="E152" s="27"/>
      <c r="F152" s="27"/>
      <c r="G152" s="27"/>
      <c r="H152" s="27"/>
      <c r="I152" s="27"/>
      <c r="J152" s="27"/>
      <c r="K152" s="27"/>
      <c r="L152" s="27"/>
      <c r="M152" s="27"/>
      <c r="N152" s="27"/>
      <c r="O152" s="27"/>
      <c r="P152" s="27"/>
      <c r="Q152" s="3">
        <f t="shared" si="6"/>
        <v>0</v>
      </c>
      <c r="R152" s="3">
        <v>0</v>
      </c>
      <c r="S152" s="39">
        <f>Q152/Summary!$Q$16</f>
        <v>0</v>
      </c>
      <c r="T152" s="35"/>
      <c r="U152" s="40">
        <f t="shared" ref="U152:U159" si="7">-IF(Q152-T152=0,0,(Q152-T152)/T152)</f>
        <v>0</v>
      </c>
    </row>
    <row r="153" spans="1:24" s="3" customFormat="1" ht="24.95" hidden="1" customHeight="1">
      <c r="A153" s="3" t="s">
        <v>1007</v>
      </c>
      <c r="B153" s="3" t="s">
        <v>1024</v>
      </c>
      <c r="D153" s="26" t="s">
        <v>1008</v>
      </c>
      <c r="E153" s="27"/>
      <c r="F153" s="27"/>
      <c r="G153" s="27"/>
      <c r="H153" s="27"/>
      <c r="I153" s="27"/>
      <c r="J153" s="27"/>
      <c r="K153" s="27"/>
      <c r="L153" s="27"/>
      <c r="M153" s="27"/>
      <c r="N153" s="27"/>
      <c r="O153" s="27"/>
      <c r="P153" s="27"/>
      <c r="Q153" s="3">
        <f t="shared" si="6"/>
        <v>0</v>
      </c>
      <c r="R153" s="3">
        <v>0</v>
      </c>
      <c r="S153" s="39">
        <f>Q153/Summary!$Q$16</f>
        <v>0</v>
      </c>
      <c r="T153" s="35"/>
      <c r="U153" s="40">
        <f t="shared" si="7"/>
        <v>0</v>
      </c>
    </row>
    <row r="154" spans="1:24" s="3" customFormat="1" ht="24.95" hidden="1" customHeight="1">
      <c r="A154" s="3" t="s">
        <v>1009</v>
      </c>
      <c r="B154" s="3" t="s">
        <v>1024</v>
      </c>
      <c r="D154" s="26" t="s">
        <v>1010</v>
      </c>
      <c r="E154" s="27"/>
      <c r="F154" s="27"/>
      <c r="G154" s="27"/>
      <c r="H154" s="27"/>
      <c r="I154" s="27"/>
      <c r="J154" s="27"/>
      <c r="K154" s="27"/>
      <c r="L154" s="27"/>
      <c r="M154" s="27"/>
      <c r="N154" s="27"/>
      <c r="O154" s="27"/>
      <c r="P154" s="27"/>
      <c r="Q154" s="3">
        <f t="shared" si="6"/>
        <v>0</v>
      </c>
      <c r="R154" s="3">
        <v>6523.07</v>
      </c>
      <c r="S154" s="39">
        <f>Q154/Summary!$Q$16</f>
        <v>0</v>
      </c>
      <c r="T154" s="35"/>
      <c r="U154" s="40">
        <f t="shared" si="7"/>
        <v>0</v>
      </c>
    </row>
    <row r="155" spans="1:24" s="3" customFormat="1" ht="24.95" hidden="1" customHeight="1">
      <c r="A155" s="3" t="s">
        <v>1011</v>
      </c>
      <c r="B155" s="3" t="s">
        <v>1024</v>
      </c>
      <c r="D155" s="26" t="s">
        <v>1012</v>
      </c>
      <c r="E155" s="27"/>
      <c r="F155" s="27"/>
      <c r="G155" s="27"/>
      <c r="H155" s="27"/>
      <c r="I155" s="27"/>
      <c r="J155" s="27"/>
      <c r="K155" s="27"/>
      <c r="L155" s="27"/>
      <c r="M155" s="27"/>
      <c r="N155" s="27"/>
      <c r="O155" s="27"/>
      <c r="P155" s="27"/>
      <c r="Q155" s="3">
        <f t="shared" si="6"/>
        <v>0</v>
      </c>
      <c r="R155" s="3">
        <v>502015.48</v>
      </c>
      <c r="S155" s="39">
        <f>Q155/Summary!$Q$16</f>
        <v>0</v>
      </c>
      <c r="T155" s="35"/>
      <c r="U155" s="40">
        <f t="shared" si="7"/>
        <v>0</v>
      </c>
    </row>
    <row r="156" spans="1:24" s="3" customFormat="1" ht="24.95" hidden="1" customHeight="1">
      <c r="A156" s="3" t="s">
        <v>1013</v>
      </c>
      <c r="B156" s="3" t="s">
        <v>1024</v>
      </c>
      <c r="D156" s="26" t="s">
        <v>1014</v>
      </c>
      <c r="E156" s="27"/>
      <c r="F156" s="27"/>
      <c r="G156" s="27"/>
      <c r="H156" s="27"/>
      <c r="I156" s="27"/>
      <c r="J156" s="27"/>
      <c r="K156" s="27"/>
      <c r="L156" s="27"/>
      <c r="M156" s="27"/>
      <c r="N156" s="27"/>
      <c r="O156" s="27"/>
      <c r="P156" s="27"/>
      <c r="Q156" s="3">
        <f t="shared" si="6"/>
        <v>0</v>
      </c>
      <c r="R156" s="3">
        <v>115506.84</v>
      </c>
      <c r="S156" s="39">
        <f>Q156/Summary!$Q$16</f>
        <v>0</v>
      </c>
      <c r="T156" s="35"/>
      <c r="U156" s="40">
        <f t="shared" si="7"/>
        <v>0</v>
      </c>
    </row>
    <row r="157" spans="1:24" s="3" customFormat="1" ht="24.95" customHeight="1">
      <c r="A157" s="3" t="s">
        <v>611</v>
      </c>
      <c r="B157" s="3" t="s">
        <v>1024</v>
      </c>
      <c r="D157" s="26" t="s">
        <v>612</v>
      </c>
      <c r="E157" s="27">
        <v>1000</v>
      </c>
      <c r="F157" s="27">
        <v>1000</v>
      </c>
      <c r="G157" s="27">
        <v>1000</v>
      </c>
      <c r="H157" s="27">
        <v>23000</v>
      </c>
      <c r="I157" s="27">
        <v>1000</v>
      </c>
      <c r="J157" s="27">
        <v>1000</v>
      </c>
      <c r="K157" s="27">
        <v>1000</v>
      </c>
      <c r="L157" s="27">
        <v>1000</v>
      </c>
      <c r="M157" s="27">
        <v>1000</v>
      </c>
      <c r="N157" s="27">
        <v>1000</v>
      </c>
      <c r="O157" s="27">
        <v>1000</v>
      </c>
      <c r="P157" s="27">
        <v>1000</v>
      </c>
      <c r="Q157" s="372">
        <f t="shared" si="6"/>
        <v>34000</v>
      </c>
      <c r="R157" s="3">
        <v>1206413.77</v>
      </c>
      <c r="S157" s="39">
        <f>Q157/Summary!$Q$16</f>
        <v>1.022316852146415E-3</v>
      </c>
      <c r="T157" s="35"/>
      <c r="U157" s="40" t="e">
        <f t="shared" si="7"/>
        <v>#DIV/0!</v>
      </c>
    </row>
    <row r="158" spans="1:24" s="19" customFormat="1" ht="24.95" customHeight="1">
      <c r="D158" s="21" t="s">
        <v>613</v>
      </c>
      <c r="E158" s="45">
        <f>SUM(E15:E157)</f>
        <v>9830.48</v>
      </c>
      <c r="F158" s="45">
        <f t="shared" ref="F158:Q158" si="8">SUM(F15:F157)</f>
        <v>10227.43</v>
      </c>
      <c r="G158" s="45">
        <f t="shared" si="8"/>
        <v>9815.8100000000013</v>
      </c>
      <c r="H158" s="45">
        <f t="shared" si="8"/>
        <v>32261.46</v>
      </c>
      <c r="I158" s="45">
        <f t="shared" si="8"/>
        <v>10316.39</v>
      </c>
      <c r="J158" s="45">
        <f t="shared" si="8"/>
        <v>24356.54</v>
      </c>
      <c r="K158" s="45">
        <f t="shared" si="8"/>
        <v>10312.290000000001</v>
      </c>
      <c r="L158" s="45">
        <f t="shared" si="8"/>
        <v>15333.42</v>
      </c>
      <c r="M158" s="45">
        <f t="shared" si="8"/>
        <v>10610.060000000001</v>
      </c>
      <c r="N158" s="45">
        <f t="shared" si="8"/>
        <v>11007</v>
      </c>
      <c r="O158" s="45">
        <f t="shared" si="8"/>
        <v>10149.61</v>
      </c>
      <c r="P158" s="45">
        <f t="shared" si="8"/>
        <v>11069.33</v>
      </c>
      <c r="Q158" s="45">
        <f t="shared" si="8"/>
        <v>165289.82</v>
      </c>
      <c r="R158" s="45">
        <v>3775081.91</v>
      </c>
      <c r="S158" s="39">
        <f>Q158/Summary!$Q$16</f>
        <v>4.9699578963013982E-3</v>
      </c>
      <c r="T158" s="35"/>
      <c r="U158" s="40" t="e">
        <f t="shared" si="7"/>
        <v>#DIV/0!</v>
      </c>
      <c r="X158" s="3"/>
    </row>
    <row r="159" spans="1:24" s="19" customFormat="1" ht="24.95" customHeight="1">
      <c r="D159" s="21" t="s">
        <v>614</v>
      </c>
      <c r="E159" s="45">
        <f>+E12+E158</f>
        <v>141962.99000000002</v>
      </c>
      <c r="F159" s="45">
        <f t="shared" ref="F159:Q159" si="9">+F12+F158</f>
        <v>152947.09999999998</v>
      </c>
      <c r="G159" s="45">
        <f t="shared" si="9"/>
        <v>141154.75</v>
      </c>
      <c r="H159" s="45">
        <f t="shared" si="9"/>
        <v>164521.57</v>
      </c>
      <c r="I159" s="45">
        <f t="shared" si="9"/>
        <v>142576.5</v>
      </c>
      <c r="J159" s="45">
        <f t="shared" si="9"/>
        <v>156616.65000000002</v>
      </c>
      <c r="K159" s="45">
        <f t="shared" si="9"/>
        <v>141651.23000000001</v>
      </c>
      <c r="L159" s="45">
        <f t="shared" si="9"/>
        <v>146672.36000000002</v>
      </c>
      <c r="M159" s="45">
        <f t="shared" si="9"/>
        <v>142870.17000000001</v>
      </c>
      <c r="N159" s="45">
        <f t="shared" si="9"/>
        <v>154109.44999999998</v>
      </c>
      <c r="O159" s="45">
        <f t="shared" si="9"/>
        <v>141488.54999999999</v>
      </c>
      <c r="P159" s="45">
        <f t="shared" si="9"/>
        <v>142408.26999999999</v>
      </c>
      <c r="Q159" s="45">
        <f t="shared" si="9"/>
        <v>1768979.5899999999</v>
      </c>
      <c r="R159" s="45">
        <v>12763695.470000001</v>
      </c>
      <c r="S159" s="39">
        <f>Q159/Summary!$Q$16</f>
        <v>5.3189930763531047E-2</v>
      </c>
      <c r="T159" s="35"/>
      <c r="U159" s="40" t="e">
        <f t="shared" si="7"/>
        <v>#DIV/0!</v>
      </c>
      <c r="X159" s="3"/>
    </row>
    <row r="160" spans="1:24" s="3" customFormat="1" ht="24.95" hidden="1" customHeight="1">
      <c r="A160" s="84" t="s">
        <v>615</v>
      </c>
      <c r="B160" s="3" t="s">
        <v>1024</v>
      </c>
      <c r="D160" s="42" t="s">
        <v>351</v>
      </c>
      <c r="E160" s="27">
        <f t="shared" ref="E160:Q160" si="10">+E159</f>
        <v>141962.99000000002</v>
      </c>
      <c r="F160" s="27">
        <f t="shared" si="10"/>
        <v>152947.09999999998</v>
      </c>
      <c r="G160" s="27">
        <f t="shared" si="10"/>
        <v>141154.75</v>
      </c>
      <c r="H160" s="27">
        <f t="shared" si="10"/>
        <v>164521.57</v>
      </c>
      <c r="I160" s="27">
        <f t="shared" si="10"/>
        <v>142576.5</v>
      </c>
      <c r="J160" s="27">
        <f t="shared" si="10"/>
        <v>156616.65000000002</v>
      </c>
      <c r="K160" s="27">
        <f t="shared" si="10"/>
        <v>141651.23000000001</v>
      </c>
      <c r="L160" s="27">
        <f t="shared" si="10"/>
        <v>146672.36000000002</v>
      </c>
      <c r="M160" s="27">
        <f t="shared" si="10"/>
        <v>142870.17000000001</v>
      </c>
      <c r="N160" s="27">
        <f t="shared" si="10"/>
        <v>154109.44999999998</v>
      </c>
      <c r="O160" s="27">
        <f t="shared" si="10"/>
        <v>141488.54999999999</v>
      </c>
      <c r="P160" s="27">
        <f t="shared" si="10"/>
        <v>142408.26999999999</v>
      </c>
      <c r="Q160" s="3">
        <f t="shared" si="10"/>
        <v>1768979.5899999999</v>
      </c>
      <c r="R160" s="3">
        <v>12763695.470000001</v>
      </c>
      <c r="T160" s="35"/>
      <c r="U160" s="40" t="e">
        <f t="shared" ref="U160" si="11">IF(Q160-T160=0,0,(Q160-T160)/T160)</f>
        <v>#DIV/0!</v>
      </c>
    </row>
    <row r="161" spans="1:21" s="3" customFormat="1" ht="24.95" customHeight="1">
      <c r="D161" s="42"/>
      <c r="E161" s="74"/>
      <c r="F161" s="74"/>
      <c r="G161" s="74"/>
      <c r="H161" s="74"/>
      <c r="I161" s="74"/>
      <c r="T161" s="35"/>
      <c r="U161" s="40"/>
    </row>
    <row r="162" spans="1:21" s="3" customFormat="1" ht="24.95" customHeight="1">
      <c r="B162" s="51"/>
      <c r="D162" s="19" t="s">
        <v>618</v>
      </c>
      <c r="E162" s="48"/>
      <c r="F162" s="48"/>
      <c r="G162" s="48"/>
      <c r="H162" s="48"/>
      <c r="I162" s="48"/>
      <c r="T162" s="35"/>
      <c r="U162" s="40"/>
    </row>
    <row r="163" spans="1:21" s="3" customFormat="1" ht="24.95" customHeight="1">
      <c r="B163" s="51"/>
      <c r="D163" s="19" t="s">
        <v>444</v>
      </c>
      <c r="E163" s="48"/>
      <c r="F163" s="48"/>
      <c r="G163" s="48"/>
      <c r="H163" s="48"/>
      <c r="I163" s="48"/>
      <c r="T163" s="35"/>
      <c r="U163" s="40"/>
    </row>
    <row r="164" spans="1:21" s="3" customFormat="1" ht="24.95" customHeight="1">
      <c r="A164" s="270" t="s">
        <v>295</v>
      </c>
      <c r="B164" s="3" t="s">
        <v>1024</v>
      </c>
      <c r="D164" s="26" t="s">
        <v>297</v>
      </c>
      <c r="E164" s="63">
        <v>13859</v>
      </c>
      <c r="F164" s="27">
        <v>13859</v>
      </c>
      <c r="G164" s="27">
        <v>13859</v>
      </c>
      <c r="H164" s="27">
        <v>13859</v>
      </c>
      <c r="I164" s="27">
        <v>13859</v>
      </c>
      <c r="J164" s="27">
        <v>13859</v>
      </c>
      <c r="K164" s="27">
        <v>13859</v>
      </c>
      <c r="L164" s="27">
        <v>13859</v>
      </c>
      <c r="M164" s="27">
        <v>13859</v>
      </c>
      <c r="N164" s="27">
        <v>13859</v>
      </c>
      <c r="O164" s="27">
        <v>13859</v>
      </c>
      <c r="P164" s="27">
        <v>13859</v>
      </c>
      <c r="Q164" s="3">
        <f>SUM(E164:P164)</f>
        <v>166308</v>
      </c>
      <c r="R164" s="3">
        <v>3618344.18</v>
      </c>
      <c r="S164" s="39">
        <f>Q164/Summary!$Q$16</f>
        <v>5.0005726778460579E-3</v>
      </c>
      <c r="T164" s="35"/>
      <c r="U164" s="40" t="e">
        <f>-IF(Q164-T164=0,0,(Q164-T164)/T164)</f>
        <v>#DIV/0!</v>
      </c>
    </row>
    <row r="165" spans="1:21" s="3" customFormat="1" ht="24.95" customHeight="1">
      <c r="A165" s="50" t="s">
        <v>298</v>
      </c>
      <c r="B165" s="3" t="s">
        <v>1024</v>
      </c>
      <c r="D165" s="26" t="s">
        <v>447</v>
      </c>
      <c r="E165" s="63">
        <v>28057</v>
      </c>
      <c r="F165" s="63">
        <v>28057</v>
      </c>
      <c r="G165" s="63">
        <v>28057</v>
      </c>
      <c r="H165" s="63">
        <v>28057</v>
      </c>
      <c r="I165" s="63">
        <v>28057</v>
      </c>
      <c r="J165" s="63">
        <v>28057</v>
      </c>
      <c r="K165" s="63">
        <v>28057</v>
      </c>
      <c r="L165" s="63">
        <v>28057</v>
      </c>
      <c r="M165" s="63">
        <v>28057</v>
      </c>
      <c r="N165" s="63">
        <v>28057</v>
      </c>
      <c r="O165" s="63">
        <v>28057</v>
      </c>
      <c r="P165" s="63">
        <v>28057</v>
      </c>
      <c r="Q165" s="3">
        <f>SUM(E165:P165)</f>
        <v>336684</v>
      </c>
      <c r="R165" s="3">
        <v>1159791.6399999999</v>
      </c>
      <c r="S165" s="39">
        <f>Q165/Summary!$Q$16</f>
        <v>1.0123462560237164E-2</v>
      </c>
      <c r="T165" s="35"/>
      <c r="U165" s="40" t="e">
        <f t="shared" ref="U165:U197" si="12">-IF(Q165-T165=0,0,(Q165-T165)/T165)</f>
        <v>#DIV/0!</v>
      </c>
    </row>
    <row r="166" spans="1:21" s="3" customFormat="1" ht="24.95" customHeight="1">
      <c r="B166" s="51"/>
      <c r="D166" s="21" t="s">
        <v>450</v>
      </c>
      <c r="E166" s="52">
        <f>SUM(E164:E165)</f>
        <v>41916</v>
      </c>
      <c r="F166" s="52">
        <f t="shared" ref="F166:P166" si="13">SUM(F164:F165)</f>
        <v>41916</v>
      </c>
      <c r="G166" s="52">
        <f t="shared" si="13"/>
        <v>41916</v>
      </c>
      <c r="H166" s="52">
        <f t="shared" si="13"/>
        <v>41916</v>
      </c>
      <c r="I166" s="52">
        <f t="shared" si="13"/>
        <v>41916</v>
      </c>
      <c r="J166" s="52">
        <f t="shared" si="13"/>
        <v>41916</v>
      </c>
      <c r="K166" s="52">
        <f t="shared" si="13"/>
        <v>41916</v>
      </c>
      <c r="L166" s="52">
        <f t="shared" si="13"/>
        <v>41916</v>
      </c>
      <c r="M166" s="52">
        <f t="shared" si="13"/>
        <v>41916</v>
      </c>
      <c r="N166" s="52">
        <f t="shared" si="13"/>
        <v>41916</v>
      </c>
      <c r="O166" s="52">
        <f t="shared" si="13"/>
        <v>41916</v>
      </c>
      <c r="P166" s="52">
        <f t="shared" si="13"/>
        <v>41916</v>
      </c>
      <c r="Q166" s="52">
        <f t="shared" ref="Q166" si="14">SUM(Q164:Q165)</f>
        <v>502992</v>
      </c>
      <c r="R166" s="52">
        <v>4778135.82</v>
      </c>
      <c r="S166" s="39">
        <f>Q166/Summary!$Q$16</f>
        <v>1.5124035238083222E-2</v>
      </c>
      <c r="T166" s="35"/>
      <c r="U166" s="40" t="e">
        <f t="shared" si="12"/>
        <v>#DIV/0!</v>
      </c>
    </row>
    <row r="167" spans="1:21" s="3" customFormat="1" ht="24.95" customHeight="1">
      <c r="B167" s="51"/>
      <c r="E167" s="53"/>
      <c r="F167" s="53"/>
      <c r="G167" s="53"/>
      <c r="H167" s="53"/>
      <c r="I167" s="53"/>
      <c r="J167" s="53"/>
      <c r="K167" s="53"/>
      <c r="L167" s="53"/>
      <c r="M167" s="53"/>
      <c r="N167" s="53"/>
      <c r="O167" s="53"/>
      <c r="P167" s="53"/>
      <c r="T167" s="35"/>
      <c r="U167" s="40"/>
    </row>
    <row r="168" spans="1:21" s="3" customFormat="1" ht="24.95" customHeight="1">
      <c r="A168" s="271" t="s">
        <v>619</v>
      </c>
      <c r="B168" s="3" t="s">
        <v>1024</v>
      </c>
      <c r="D168" s="26" t="s">
        <v>307</v>
      </c>
      <c r="E168" s="63">
        <v>5103.72</v>
      </c>
      <c r="F168" s="27">
        <v>15311.17</v>
      </c>
      <c r="G168" s="27">
        <v>4500</v>
      </c>
      <c r="H168" s="27">
        <v>5231.32</v>
      </c>
      <c r="I168" s="27">
        <v>5231.32</v>
      </c>
      <c r="J168" s="27">
        <v>5231.32</v>
      </c>
      <c r="K168" s="27">
        <v>4500</v>
      </c>
      <c r="L168" s="27">
        <v>4500</v>
      </c>
      <c r="M168" s="27">
        <v>5231.32</v>
      </c>
      <c r="N168" s="27">
        <v>15693.95</v>
      </c>
      <c r="O168" s="27">
        <v>4500</v>
      </c>
      <c r="P168" s="27">
        <v>4500</v>
      </c>
      <c r="Q168" s="3">
        <f>SUM(E168:P168)</f>
        <v>79534.12</v>
      </c>
      <c r="R168" s="3">
        <v>148934.06</v>
      </c>
      <c r="S168" s="39">
        <f>Q168/Summary!$Q$16</f>
        <v>2.3914432704892712E-3</v>
      </c>
      <c r="T168" s="35"/>
      <c r="U168" s="40" t="e">
        <f t="shared" si="12"/>
        <v>#DIV/0!</v>
      </c>
    </row>
    <row r="169" spans="1:21" s="3" customFormat="1" ht="24.95" customHeight="1">
      <c r="A169" s="54" t="s">
        <v>308</v>
      </c>
      <c r="B169" s="3" t="s">
        <v>1024</v>
      </c>
      <c r="D169" s="26" t="s">
        <v>309</v>
      </c>
      <c r="E169" s="63">
        <f>ROUND((E166+4968)/12*1.5,2)</f>
        <v>5860.5</v>
      </c>
      <c r="F169" s="63">
        <f t="shared" ref="F169:P169" si="15">ROUND((F166+4968)/12*1.5,2)</f>
        <v>5860.5</v>
      </c>
      <c r="G169" s="63">
        <f t="shared" si="15"/>
        <v>5860.5</v>
      </c>
      <c r="H169" s="63">
        <f t="shared" si="15"/>
        <v>5860.5</v>
      </c>
      <c r="I169" s="63">
        <f t="shared" si="15"/>
        <v>5860.5</v>
      </c>
      <c r="J169" s="63">
        <f t="shared" si="15"/>
        <v>5860.5</v>
      </c>
      <c r="K169" s="63">
        <f t="shared" si="15"/>
        <v>5860.5</v>
      </c>
      <c r="L169" s="63">
        <f t="shared" si="15"/>
        <v>5860.5</v>
      </c>
      <c r="M169" s="63">
        <f t="shared" si="15"/>
        <v>5860.5</v>
      </c>
      <c r="N169" s="63">
        <f t="shared" si="15"/>
        <v>5860.5</v>
      </c>
      <c r="O169" s="63">
        <f t="shared" si="15"/>
        <v>5860.5</v>
      </c>
      <c r="P169" s="63">
        <f t="shared" si="15"/>
        <v>5860.5</v>
      </c>
      <c r="Q169" s="3">
        <f t="shared" ref="Q169:Q174" si="16">SUM(E169:P169)</f>
        <v>70326</v>
      </c>
      <c r="R169" s="3">
        <v>678215.17</v>
      </c>
      <c r="S169" s="39">
        <f>Q169/Summary!$Q$16</f>
        <v>2.1145722042367286E-3</v>
      </c>
      <c r="T169" s="35"/>
      <c r="U169" s="40" t="e">
        <f t="shared" si="12"/>
        <v>#DIV/0!</v>
      </c>
    </row>
    <row r="170" spans="1:21" s="3" customFormat="1" ht="24.95" customHeight="1">
      <c r="A170" s="271" t="s">
        <v>620</v>
      </c>
      <c r="B170" s="3" t="s">
        <v>1024</v>
      </c>
      <c r="D170" s="26" t="s">
        <v>311</v>
      </c>
      <c r="E170" s="63"/>
      <c r="F170" s="27"/>
      <c r="G170" s="27"/>
      <c r="H170" s="27"/>
      <c r="I170" s="27"/>
      <c r="J170" s="27"/>
      <c r="K170" s="27"/>
      <c r="L170" s="27"/>
      <c r="M170" s="27"/>
      <c r="N170" s="27"/>
      <c r="O170" s="27"/>
      <c r="P170" s="27"/>
      <c r="Q170" s="3">
        <f t="shared" si="16"/>
        <v>0</v>
      </c>
      <c r="R170" s="3">
        <v>16190</v>
      </c>
      <c r="S170" s="39">
        <f>Q170/Summary!$Q$16</f>
        <v>0</v>
      </c>
      <c r="T170" s="35"/>
      <c r="U170" s="40">
        <f t="shared" si="12"/>
        <v>0</v>
      </c>
    </row>
    <row r="171" spans="1:21" s="3" customFormat="1" ht="24.95" customHeight="1">
      <c r="A171" s="271" t="s">
        <v>621</v>
      </c>
      <c r="B171" s="3" t="s">
        <v>1024</v>
      </c>
      <c r="D171" s="26" t="s">
        <v>313</v>
      </c>
      <c r="E171" s="63"/>
      <c r="F171" s="63"/>
      <c r="G171" s="63"/>
      <c r="H171" s="63"/>
      <c r="I171" s="63"/>
      <c r="J171" s="63"/>
      <c r="K171" s="63"/>
      <c r="L171" s="63"/>
      <c r="M171" s="63"/>
      <c r="N171" s="63"/>
      <c r="O171" s="63"/>
      <c r="P171" s="63"/>
      <c r="Q171" s="3">
        <f t="shared" ref="Q171:Q172" si="17">SUM(E171:P171)</f>
        <v>0</v>
      </c>
      <c r="R171" s="3">
        <v>33600</v>
      </c>
      <c r="S171" s="39">
        <f>Q171/Summary!$Q$16</f>
        <v>0</v>
      </c>
      <c r="T171" s="35"/>
      <c r="U171" s="40"/>
    </row>
    <row r="172" spans="1:21" s="3" customFormat="1" ht="24.75" customHeight="1">
      <c r="A172" s="271" t="s">
        <v>622</v>
      </c>
      <c r="B172" s="3" t="s">
        <v>1024</v>
      </c>
      <c r="D172" s="26" t="s">
        <v>315</v>
      </c>
      <c r="E172" s="63"/>
      <c r="F172" s="63"/>
      <c r="G172" s="63"/>
      <c r="H172" s="63"/>
      <c r="I172" s="63"/>
      <c r="J172" s="63"/>
      <c r="K172" s="63"/>
      <c r="L172" s="63"/>
      <c r="M172" s="63"/>
      <c r="N172" s="63"/>
      <c r="O172" s="63"/>
      <c r="P172" s="63"/>
      <c r="Q172" s="3">
        <f t="shared" si="17"/>
        <v>0</v>
      </c>
      <c r="R172" s="3">
        <v>0</v>
      </c>
      <c r="S172" s="39">
        <f>Q172/Summary!$Q$16</f>
        <v>0</v>
      </c>
      <c r="T172" s="35"/>
      <c r="U172" s="40"/>
    </row>
    <row r="173" spans="1:21" s="3" customFormat="1" ht="24.95" customHeight="1">
      <c r="A173" s="271" t="s">
        <v>1109</v>
      </c>
      <c r="B173" s="3" t="s">
        <v>1024</v>
      </c>
      <c r="D173" s="26" t="s">
        <v>1113</v>
      </c>
      <c r="E173" s="63">
        <v>7100</v>
      </c>
      <c r="F173" s="63">
        <v>7100</v>
      </c>
      <c r="G173" s="63">
        <v>7100</v>
      </c>
      <c r="H173" s="63">
        <v>7100</v>
      </c>
      <c r="I173" s="63">
        <v>7100</v>
      </c>
      <c r="J173" s="63">
        <v>7100</v>
      </c>
      <c r="K173" s="63">
        <v>7100</v>
      </c>
      <c r="L173" s="63">
        <v>7100</v>
      </c>
      <c r="M173" s="63">
        <v>7100</v>
      </c>
      <c r="N173" s="63">
        <v>7100</v>
      </c>
      <c r="O173" s="63">
        <v>7100</v>
      </c>
      <c r="P173" s="63">
        <v>7100</v>
      </c>
      <c r="Q173" s="3">
        <f t="shared" si="16"/>
        <v>85200</v>
      </c>
      <c r="R173" s="3">
        <v>33600</v>
      </c>
      <c r="S173" s="39">
        <f>Q173/Summary!$Q$16</f>
        <v>2.5618057589080752E-3</v>
      </c>
      <c r="T173" s="35"/>
      <c r="U173" s="40"/>
    </row>
    <row r="174" spans="1:21" s="3" customFormat="1" ht="24.75" customHeight="1">
      <c r="A174" s="271" t="s">
        <v>1109</v>
      </c>
      <c r="B174" s="3" t="s">
        <v>1024</v>
      </c>
      <c r="D174" s="26" t="s">
        <v>1114</v>
      </c>
      <c r="E174" s="63">
        <v>47000</v>
      </c>
      <c r="F174" s="63">
        <v>47000</v>
      </c>
      <c r="G174" s="63">
        <v>47000</v>
      </c>
      <c r="H174" s="63">
        <v>47000</v>
      </c>
      <c r="I174" s="63">
        <v>47000</v>
      </c>
      <c r="J174" s="63">
        <v>47000</v>
      </c>
      <c r="K174" s="63">
        <v>47000</v>
      </c>
      <c r="L174" s="63">
        <v>47000</v>
      </c>
      <c r="M174" s="63">
        <v>47000</v>
      </c>
      <c r="N174" s="63">
        <v>47000</v>
      </c>
      <c r="O174" s="63">
        <v>47000</v>
      </c>
      <c r="P174" s="63">
        <v>47000</v>
      </c>
      <c r="Q174" s="3">
        <f t="shared" si="16"/>
        <v>564000</v>
      </c>
      <c r="R174" s="3">
        <v>0</v>
      </c>
      <c r="S174" s="39">
        <f>Q174/Summary!$Q$16</f>
        <v>1.6958432488546414E-2</v>
      </c>
      <c r="T174" s="35"/>
      <c r="U174" s="40"/>
    </row>
    <row r="175" spans="1:21" s="19" customFormat="1" ht="24.95" customHeight="1">
      <c r="A175" s="54"/>
      <c r="B175" s="51"/>
      <c r="D175" s="19" t="s">
        <v>316</v>
      </c>
      <c r="E175" s="52">
        <f>SUM(E168:E174)</f>
        <v>65064.22</v>
      </c>
      <c r="F175" s="52">
        <f t="shared" ref="F175:P175" si="18">SUM(F168:F174)</f>
        <v>75271.67</v>
      </c>
      <c r="G175" s="52">
        <f t="shared" si="18"/>
        <v>64460.5</v>
      </c>
      <c r="H175" s="52">
        <f t="shared" si="18"/>
        <v>65191.82</v>
      </c>
      <c r="I175" s="52">
        <f t="shared" si="18"/>
        <v>65191.82</v>
      </c>
      <c r="J175" s="52">
        <f t="shared" si="18"/>
        <v>65191.82</v>
      </c>
      <c r="K175" s="52">
        <f t="shared" si="18"/>
        <v>64460.5</v>
      </c>
      <c r="L175" s="52">
        <f t="shared" si="18"/>
        <v>64460.5</v>
      </c>
      <c r="M175" s="52">
        <f t="shared" si="18"/>
        <v>65191.82</v>
      </c>
      <c r="N175" s="52">
        <f t="shared" si="18"/>
        <v>75654.45</v>
      </c>
      <c r="O175" s="52">
        <f t="shared" si="18"/>
        <v>64460.5</v>
      </c>
      <c r="P175" s="52">
        <f t="shared" si="18"/>
        <v>64460.5</v>
      </c>
      <c r="Q175" s="52">
        <f t="shared" ref="Q175" si="19">SUM(Q168:Q174)</f>
        <v>799060.12</v>
      </c>
      <c r="R175" s="52">
        <v>876939.23</v>
      </c>
      <c r="S175" s="39">
        <f>Q175/Summary!$Q$16</f>
        <v>2.4026253722180486E-2</v>
      </c>
      <c r="T175" s="35"/>
      <c r="U175" s="40" t="e">
        <f t="shared" si="12"/>
        <v>#DIV/0!</v>
      </c>
    </row>
    <row r="176" spans="1:21" s="3" customFormat="1" ht="24.95" customHeight="1">
      <c r="A176" s="50"/>
      <c r="D176" s="19"/>
      <c r="E176" s="53"/>
      <c r="F176" s="53"/>
      <c r="G176" s="53"/>
      <c r="H176" s="53"/>
      <c r="I176" s="53"/>
      <c r="T176" s="35"/>
      <c r="U176" s="40"/>
    </row>
    <row r="177" spans="1:21" s="3" customFormat="1" ht="24.95" customHeight="1">
      <c r="A177" s="271" t="s">
        <v>625</v>
      </c>
      <c r="B177" s="3" t="s">
        <v>1024</v>
      </c>
      <c r="D177" s="26" t="s">
        <v>318</v>
      </c>
      <c r="E177" s="63">
        <v>7593.4400000000005</v>
      </c>
      <c r="F177" s="63">
        <v>7593.4400000000005</v>
      </c>
      <c r="G177" s="63">
        <v>7593.4400000000005</v>
      </c>
      <c r="H177" s="63">
        <v>7593.4400000000005</v>
      </c>
      <c r="I177" s="63">
        <v>7593.4400000000005</v>
      </c>
      <c r="J177" s="63">
        <v>7593.4400000000005</v>
      </c>
      <c r="K177" s="63">
        <v>7593.4400000000005</v>
      </c>
      <c r="L177" s="63">
        <v>7593.4400000000005</v>
      </c>
      <c r="M177" s="63">
        <v>7593.4400000000005</v>
      </c>
      <c r="N177" s="63">
        <v>7593.4400000000005</v>
      </c>
      <c r="O177" s="63">
        <v>7593.4400000000005</v>
      </c>
      <c r="P177" s="63">
        <v>7593.4400000000005</v>
      </c>
      <c r="Q177" s="3">
        <f>SUM(E177:P177)</f>
        <v>91121.280000000013</v>
      </c>
      <c r="R177" s="3">
        <v>451796</v>
      </c>
      <c r="S177" s="39">
        <f>Q177/Summary!$Q$16</f>
        <v>2.7398476509750613E-3</v>
      </c>
      <c r="T177" s="35"/>
      <c r="U177" s="40" t="e">
        <f t="shared" si="12"/>
        <v>#DIV/0!</v>
      </c>
    </row>
    <row r="178" spans="1:21" s="3" customFormat="1" ht="24.95" customHeight="1">
      <c r="A178" s="271" t="s">
        <v>626</v>
      </c>
      <c r="B178" s="3" t="s">
        <v>1024</v>
      </c>
      <c r="D178" s="26" t="s">
        <v>320</v>
      </c>
      <c r="E178" s="63">
        <v>3322.13</v>
      </c>
      <c r="F178" s="63">
        <v>3322.13</v>
      </c>
      <c r="G178" s="63">
        <v>3322.13</v>
      </c>
      <c r="H178" s="63">
        <v>3322.13</v>
      </c>
      <c r="I178" s="63">
        <v>3322.13</v>
      </c>
      <c r="J178" s="63">
        <v>3322.13</v>
      </c>
      <c r="K178" s="63">
        <v>3322.13</v>
      </c>
      <c r="L178" s="63">
        <v>3322.13</v>
      </c>
      <c r="M178" s="63">
        <v>3322.13</v>
      </c>
      <c r="N178" s="63">
        <v>3322.13</v>
      </c>
      <c r="O178" s="63">
        <v>3322.13</v>
      </c>
      <c r="P178" s="63">
        <v>3322.13</v>
      </c>
      <c r="Q178" s="3">
        <f t="shared" ref="Q178:Q184" si="20">SUM(E178:P178)</f>
        <v>39865.56</v>
      </c>
      <c r="R178" s="3">
        <v>306116.28000000003</v>
      </c>
      <c r="S178" s="39">
        <f>Q178/Summary!$Q$16</f>
        <v>1.1986833473015893E-3</v>
      </c>
      <c r="T178" s="35"/>
      <c r="U178" s="40" t="e">
        <f t="shared" si="12"/>
        <v>#DIV/0!</v>
      </c>
    </row>
    <row r="179" spans="1:21" s="3" customFormat="1" ht="24.95" customHeight="1">
      <c r="A179" s="271" t="s">
        <v>627</v>
      </c>
      <c r="B179" s="3" t="s">
        <v>1024</v>
      </c>
      <c r="D179" s="26" t="s">
        <v>322</v>
      </c>
      <c r="E179" s="63">
        <v>237.3</v>
      </c>
      <c r="F179" s="63">
        <v>237.3</v>
      </c>
      <c r="G179" s="63">
        <v>237.3</v>
      </c>
      <c r="H179" s="63">
        <v>237.3</v>
      </c>
      <c r="I179" s="63">
        <v>237.3</v>
      </c>
      <c r="J179" s="63">
        <v>237.3</v>
      </c>
      <c r="K179" s="63">
        <v>237.3</v>
      </c>
      <c r="L179" s="63">
        <v>237.3</v>
      </c>
      <c r="M179" s="63">
        <v>237.3</v>
      </c>
      <c r="N179" s="63">
        <v>237.3</v>
      </c>
      <c r="O179" s="63">
        <v>237.3</v>
      </c>
      <c r="P179" s="63">
        <v>237.3</v>
      </c>
      <c r="Q179" s="3">
        <f t="shared" si="20"/>
        <v>2847.6000000000004</v>
      </c>
      <c r="R179" s="3">
        <v>15840.48</v>
      </c>
      <c r="S179" s="39">
        <f>Q179/Summary!$Q$16</f>
        <v>8.5622043181533288E-5</v>
      </c>
      <c r="T179" s="35"/>
      <c r="U179" s="40" t="e">
        <f t="shared" si="12"/>
        <v>#DIV/0!</v>
      </c>
    </row>
    <row r="180" spans="1:21" s="3" customFormat="1" ht="24.95" customHeight="1">
      <c r="A180" s="271" t="s">
        <v>628</v>
      </c>
      <c r="B180" s="3" t="s">
        <v>1024</v>
      </c>
      <c r="D180" s="26" t="s">
        <v>324</v>
      </c>
      <c r="E180" s="63">
        <v>189.84</v>
      </c>
      <c r="F180" s="63">
        <v>189.84</v>
      </c>
      <c r="G180" s="63">
        <v>189.84</v>
      </c>
      <c r="H180" s="63">
        <v>189.84</v>
      </c>
      <c r="I180" s="63">
        <v>189.84</v>
      </c>
      <c r="J180" s="63">
        <v>189.84</v>
      </c>
      <c r="K180" s="63">
        <v>189.84</v>
      </c>
      <c r="L180" s="63">
        <v>189.84</v>
      </c>
      <c r="M180" s="63">
        <v>189.84</v>
      </c>
      <c r="N180" s="63">
        <v>189.84</v>
      </c>
      <c r="O180" s="63">
        <v>189.84</v>
      </c>
      <c r="P180" s="63">
        <v>189.84</v>
      </c>
      <c r="Q180" s="3">
        <f t="shared" si="20"/>
        <v>2278.08</v>
      </c>
      <c r="R180" s="3">
        <v>7884.16</v>
      </c>
      <c r="S180" s="39">
        <f>Q180/Summary!$Q$16</f>
        <v>6.8497634545226617E-5</v>
      </c>
      <c r="T180" s="35"/>
      <c r="U180" s="40" t="e">
        <f t="shared" si="12"/>
        <v>#DIV/0!</v>
      </c>
    </row>
    <row r="181" spans="1:21" s="3" customFormat="1" ht="24.95" customHeight="1">
      <c r="A181" s="271" t="s">
        <v>629</v>
      </c>
      <c r="B181" s="3" t="s">
        <v>1024</v>
      </c>
      <c r="D181" s="26" t="s">
        <v>326</v>
      </c>
      <c r="E181" s="63">
        <v>379.67</v>
      </c>
      <c r="F181" s="63">
        <v>379.67</v>
      </c>
      <c r="G181" s="63">
        <v>379.67</v>
      </c>
      <c r="H181" s="63">
        <v>379.67</v>
      </c>
      <c r="I181" s="63">
        <v>379.67</v>
      </c>
      <c r="J181" s="63">
        <v>379.67</v>
      </c>
      <c r="K181" s="63">
        <v>379.67</v>
      </c>
      <c r="L181" s="63">
        <v>379.67</v>
      </c>
      <c r="M181" s="63">
        <v>379.67</v>
      </c>
      <c r="N181" s="63">
        <v>379.67</v>
      </c>
      <c r="O181" s="63">
        <v>379.67</v>
      </c>
      <c r="P181" s="63">
        <v>379.67</v>
      </c>
      <c r="Q181" s="3">
        <f t="shared" si="20"/>
        <v>4556.04</v>
      </c>
      <c r="R181" s="3">
        <v>36851.85</v>
      </c>
      <c r="S181" s="39">
        <f>Q181/Summary!$Q$16</f>
        <v>1.3699166091332802E-4</v>
      </c>
      <c r="T181" s="35"/>
      <c r="U181" s="40" t="e">
        <f t="shared" si="12"/>
        <v>#DIV/0!</v>
      </c>
    </row>
    <row r="182" spans="1:21" s="3" customFormat="1" ht="24.95" customHeight="1">
      <c r="A182" s="271" t="s">
        <v>630</v>
      </c>
      <c r="B182" s="3" t="s">
        <v>1024</v>
      </c>
      <c r="D182" s="26" t="s">
        <v>328</v>
      </c>
      <c r="E182" s="63">
        <v>4200</v>
      </c>
      <c r="F182" s="63">
        <v>4200</v>
      </c>
      <c r="G182" s="63">
        <v>4200</v>
      </c>
      <c r="H182" s="63">
        <v>4200</v>
      </c>
      <c r="I182" s="63">
        <v>4200</v>
      </c>
      <c r="J182" s="63">
        <v>4200</v>
      </c>
      <c r="K182" s="63">
        <v>4200</v>
      </c>
      <c r="L182" s="63">
        <v>4200</v>
      </c>
      <c r="M182" s="63">
        <v>4200</v>
      </c>
      <c r="N182" s="63">
        <v>4200</v>
      </c>
      <c r="O182" s="63">
        <v>4200</v>
      </c>
      <c r="P182" s="63">
        <v>4200</v>
      </c>
      <c r="Q182" s="3">
        <f t="shared" si="20"/>
        <v>50400</v>
      </c>
      <c r="R182" s="3">
        <v>425126.40000000002</v>
      </c>
      <c r="S182" s="39">
        <f>Q182/Summary!$Q$16</f>
        <v>1.5154343925935093E-3</v>
      </c>
      <c r="T182" s="35"/>
      <c r="U182" s="40" t="e">
        <f t="shared" si="12"/>
        <v>#DIV/0!</v>
      </c>
    </row>
    <row r="183" spans="1:21" s="3" customFormat="1" ht="24.95" customHeight="1">
      <c r="A183" s="271" t="s">
        <v>631</v>
      </c>
      <c r="B183" s="3" t="s">
        <v>1024</v>
      </c>
      <c r="D183" s="26" t="s">
        <v>330</v>
      </c>
      <c r="E183" s="63">
        <f>ROUND(E166*0.02,2)</f>
        <v>838.32</v>
      </c>
      <c r="F183" s="63">
        <f t="shared" ref="F183:P183" si="21">ROUND(F166*0.02,2)</f>
        <v>838.32</v>
      </c>
      <c r="G183" s="63">
        <f t="shared" si="21"/>
        <v>838.32</v>
      </c>
      <c r="H183" s="63">
        <f t="shared" si="21"/>
        <v>838.32</v>
      </c>
      <c r="I183" s="63">
        <f t="shared" si="21"/>
        <v>838.32</v>
      </c>
      <c r="J183" s="63">
        <f t="shared" si="21"/>
        <v>838.32</v>
      </c>
      <c r="K183" s="63">
        <f t="shared" si="21"/>
        <v>838.32</v>
      </c>
      <c r="L183" s="63">
        <f t="shared" si="21"/>
        <v>838.32</v>
      </c>
      <c r="M183" s="63">
        <f t="shared" si="21"/>
        <v>838.32</v>
      </c>
      <c r="N183" s="63">
        <f t="shared" si="21"/>
        <v>838.32</v>
      </c>
      <c r="O183" s="63">
        <f t="shared" si="21"/>
        <v>838.32</v>
      </c>
      <c r="P183" s="63">
        <f t="shared" si="21"/>
        <v>838.32</v>
      </c>
      <c r="Q183" s="3">
        <f t="shared" si="20"/>
        <v>10059.839999999998</v>
      </c>
      <c r="R183" s="3">
        <v>0</v>
      </c>
      <c r="S183" s="39">
        <f>Q183/Summary!$Q$16</f>
        <v>3.0248070476166438E-4</v>
      </c>
      <c r="T183" s="35"/>
      <c r="U183" s="40" t="e">
        <f t="shared" si="12"/>
        <v>#DIV/0!</v>
      </c>
    </row>
    <row r="184" spans="1:21" s="3" customFormat="1" ht="24.95" customHeight="1">
      <c r="A184" s="271" t="s">
        <v>632</v>
      </c>
      <c r="B184" s="3" t="s">
        <v>1024</v>
      </c>
      <c r="D184" s="26" t="s">
        <v>332</v>
      </c>
      <c r="E184" s="63"/>
      <c r="F184" s="27"/>
      <c r="G184" s="27"/>
      <c r="H184" s="27"/>
      <c r="I184" s="27"/>
      <c r="J184" s="27"/>
      <c r="K184" s="27"/>
      <c r="L184" s="27"/>
      <c r="M184" s="27"/>
      <c r="N184" s="27"/>
      <c r="O184" s="27"/>
      <c r="P184" s="27"/>
      <c r="Q184" s="3">
        <f t="shared" si="20"/>
        <v>0</v>
      </c>
      <c r="R184" s="3">
        <v>0</v>
      </c>
      <c r="S184" s="39">
        <f>Q184/Summary!$Q$16</f>
        <v>0</v>
      </c>
      <c r="T184" s="35"/>
      <c r="U184" s="40">
        <f t="shared" si="12"/>
        <v>0</v>
      </c>
    </row>
    <row r="185" spans="1:21" s="19" customFormat="1" ht="24.95" customHeight="1">
      <c r="A185" s="54"/>
      <c r="B185" s="51"/>
      <c r="D185" s="19" t="s">
        <v>333</v>
      </c>
      <c r="E185" s="45">
        <f>SUM(E177:E184)</f>
        <v>16760.7</v>
      </c>
      <c r="F185" s="45">
        <f t="shared" ref="F185:P185" si="22">SUM(F177:F184)</f>
        <v>16760.7</v>
      </c>
      <c r="G185" s="45">
        <f t="shared" si="22"/>
        <v>16760.7</v>
      </c>
      <c r="H185" s="45">
        <f t="shared" si="22"/>
        <v>16760.7</v>
      </c>
      <c r="I185" s="45">
        <f t="shared" si="22"/>
        <v>16760.7</v>
      </c>
      <c r="J185" s="45">
        <f t="shared" si="22"/>
        <v>16760.7</v>
      </c>
      <c r="K185" s="45">
        <f t="shared" si="22"/>
        <v>16760.7</v>
      </c>
      <c r="L185" s="45">
        <f t="shared" si="22"/>
        <v>16760.7</v>
      </c>
      <c r="M185" s="45">
        <f t="shared" si="22"/>
        <v>16760.7</v>
      </c>
      <c r="N185" s="45">
        <f t="shared" si="22"/>
        <v>16760.7</v>
      </c>
      <c r="O185" s="45">
        <f t="shared" si="22"/>
        <v>16760.7</v>
      </c>
      <c r="P185" s="45">
        <f t="shared" si="22"/>
        <v>16760.7</v>
      </c>
      <c r="Q185" s="45">
        <f t="shared" ref="Q185" si="23">SUM(Q177:Q184)</f>
        <v>201128.4</v>
      </c>
      <c r="R185" s="45">
        <v>1243615.17</v>
      </c>
      <c r="S185" s="39">
        <f>Q185/Summary!$Q$16</f>
        <v>6.0475574342719121E-3</v>
      </c>
      <c r="T185" s="35"/>
      <c r="U185" s="40" t="e">
        <f t="shared" si="12"/>
        <v>#DIV/0!</v>
      </c>
    </row>
    <row r="186" spans="1:21" s="19" customFormat="1" ht="24.95" customHeight="1">
      <c r="A186" s="54"/>
      <c r="B186" s="51"/>
      <c r="D186" s="21"/>
      <c r="E186" s="55"/>
      <c r="F186" s="55"/>
      <c r="G186" s="55"/>
      <c r="H186" s="55"/>
      <c r="I186" s="55"/>
      <c r="T186" s="35"/>
      <c r="U186" s="40"/>
    </row>
    <row r="187" spans="1:21" s="3" customFormat="1" ht="24.95" hidden="1" customHeight="1">
      <c r="A187" s="271" t="s">
        <v>633</v>
      </c>
      <c r="B187" s="3" t="s">
        <v>1024</v>
      </c>
      <c r="D187" s="26" t="s">
        <v>335</v>
      </c>
      <c r="E187" s="63">
        <v>0</v>
      </c>
      <c r="F187" s="27">
        <v>0</v>
      </c>
      <c r="G187" s="27">
        <v>0</v>
      </c>
      <c r="H187" s="27">
        <v>0</v>
      </c>
      <c r="I187" s="27">
        <v>0</v>
      </c>
      <c r="J187" s="27">
        <v>0</v>
      </c>
      <c r="K187" s="27">
        <v>0</v>
      </c>
      <c r="L187" s="27">
        <v>0</v>
      </c>
      <c r="M187" s="27">
        <v>0</v>
      </c>
      <c r="N187" s="27">
        <v>0</v>
      </c>
      <c r="O187" s="27">
        <v>0</v>
      </c>
      <c r="P187" s="27">
        <v>0</v>
      </c>
      <c r="Q187" s="3">
        <f>SUM(E187:P187)</f>
        <v>0</v>
      </c>
      <c r="R187" s="3">
        <v>0</v>
      </c>
      <c r="S187" s="39">
        <f>Q187/Summary!$Q$16</f>
        <v>0</v>
      </c>
      <c r="T187" s="35"/>
      <c r="U187" s="40">
        <f t="shared" si="12"/>
        <v>0</v>
      </c>
    </row>
    <row r="188" spans="1:21" s="3" customFormat="1" ht="24.95" hidden="1" customHeight="1">
      <c r="A188" s="271" t="s">
        <v>634</v>
      </c>
      <c r="B188" s="3" t="s">
        <v>1024</v>
      </c>
      <c r="D188" s="3" t="s">
        <v>337</v>
      </c>
      <c r="E188" s="63">
        <v>0</v>
      </c>
      <c r="F188" s="27">
        <v>0</v>
      </c>
      <c r="G188" s="27">
        <v>0</v>
      </c>
      <c r="H188" s="27">
        <v>0</v>
      </c>
      <c r="I188" s="27">
        <v>0</v>
      </c>
      <c r="J188" s="27">
        <v>0</v>
      </c>
      <c r="K188" s="27">
        <v>0</v>
      </c>
      <c r="L188" s="27">
        <v>0</v>
      </c>
      <c r="M188" s="27">
        <v>0</v>
      </c>
      <c r="N188" s="27">
        <v>0</v>
      </c>
      <c r="O188" s="27">
        <v>0</v>
      </c>
      <c r="P188" s="27">
        <v>0</v>
      </c>
      <c r="Q188" s="3">
        <f t="shared" ref="Q188:Q193" si="24">SUM(E188:P188)</f>
        <v>0</v>
      </c>
      <c r="R188" s="3">
        <v>0</v>
      </c>
      <c r="S188" s="39">
        <f>Q188/Summary!$Q$16</f>
        <v>0</v>
      </c>
      <c r="T188" s="35"/>
      <c r="U188" s="40">
        <f t="shared" si="12"/>
        <v>0</v>
      </c>
    </row>
    <row r="189" spans="1:21" s="3" customFormat="1" ht="24.95" hidden="1" customHeight="1">
      <c r="A189" s="271" t="s">
        <v>635</v>
      </c>
      <c r="B189" s="3" t="s">
        <v>1024</v>
      </c>
      <c r="D189" s="26" t="s">
        <v>339</v>
      </c>
      <c r="E189" s="63">
        <v>0</v>
      </c>
      <c r="F189" s="27">
        <v>0</v>
      </c>
      <c r="G189" s="27">
        <v>0</v>
      </c>
      <c r="H189" s="27">
        <v>0</v>
      </c>
      <c r="I189" s="27">
        <v>0</v>
      </c>
      <c r="J189" s="27">
        <v>0</v>
      </c>
      <c r="K189" s="27">
        <v>0</v>
      </c>
      <c r="L189" s="27">
        <v>0</v>
      </c>
      <c r="M189" s="27">
        <v>0</v>
      </c>
      <c r="N189" s="27">
        <v>0</v>
      </c>
      <c r="O189" s="27">
        <v>0</v>
      </c>
      <c r="P189" s="27">
        <v>0</v>
      </c>
      <c r="Q189" s="3">
        <f t="shared" si="24"/>
        <v>0</v>
      </c>
      <c r="R189" s="3">
        <v>0</v>
      </c>
      <c r="S189" s="39">
        <f>Q189/Summary!$Q$16</f>
        <v>0</v>
      </c>
      <c r="T189" s="35"/>
      <c r="U189" s="40">
        <f t="shared" si="12"/>
        <v>0</v>
      </c>
    </row>
    <row r="190" spans="1:21" s="3" customFormat="1" ht="24.95" hidden="1" customHeight="1">
      <c r="A190" s="271" t="s">
        <v>636</v>
      </c>
      <c r="B190" s="3" t="s">
        <v>1024</v>
      </c>
      <c r="D190" s="26" t="s">
        <v>341</v>
      </c>
      <c r="E190" s="63">
        <v>0</v>
      </c>
      <c r="F190" s="27">
        <v>0</v>
      </c>
      <c r="G190" s="27">
        <v>0</v>
      </c>
      <c r="H190" s="27">
        <v>0</v>
      </c>
      <c r="I190" s="27">
        <v>0</v>
      </c>
      <c r="J190" s="27">
        <v>0</v>
      </c>
      <c r="K190" s="27">
        <v>0</v>
      </c>
      <c r="L190" s="27">
        <v>0</v>
      </c>
      <c r="M190" s="27">
        <v>0</v>
      </c>
      <c r="N190" s="27">
        <v>0</v>
      </c>
      <c r="O190" s="27">
        <v>0</v>
      </c>
      <c r="P190" s="27">
        <v>0</v>
      </c>
      <c r="Q190" s="3">
        <f t="shared" si="24"/>
        <v>0</v>
      </c>
      <c r="R190" s="3">
        <v>0</v>
      </c>
      <c r="S190" s="39">
        <f>Q190/Summary!$Q$16</f>
        <v>0</v>
      </c>
      <c r="T190" s="35"/>
      <c r="U190" s="40">
        <f t="shared" si="12"/>
        <v>0</v>
      </c>
    </row>
    <row r="191" spans="1:21" s="3" customFormat="1" ht="24.95" customHeight="1">
      <c r="A191" s="271" t="s">
        <v>637</v>
      </c>
      <c r="B191" s="3" t="s">
        <v>1024</v>
      </c>
      <c r="D191" s="26" t="s">
        <v>343</v>
      </c>
      <c r="E191" s="63"/>
      <c r="F191" s="27"/>
      <c r="G191" s="27"/>
      <c r="H191" s="27"/>
      <c r="I191" s="27"/>
      <c r="J191" s="27"/>
      <c r="K191" s="27"/>
      <c r="L191" s="27"/>
      <c r="M191" s="27"/>
      <c r="N191" s="27"/>
      <c r="O191" s="27"/>
      <c r="P191" s="27"/>
      <c r="Q191" s="3">
        <f t="shared" si="24"/>
        <v>0</v>
      </c>
      <c r="R191" s="3">
        <v>154372.09</v>
      </c>
      <c r="S191" s="39">
        <f>Q191/Summary!$Q$16</f>
        <v>0</v>
      </c>
      <c r="T191" s="35"/>
      <c r="U191" s="40">
        <f t="shared" si="12"/>
        <v>0</v>
      </c>
    </row>
    <row r="192" spans="1:21" s="3" customFormat="1" ht="24.95" customHeight="1">
      <c r="A192" s="271" t="s">
        <v>344</v>
      </c>
      <c r="B192" s="3" t="s">
        <v>1024</v>
      </c>
      <c r="D192" s="26" t="s">
        <v>345</v>
      </c>
      <c r="E192" s="63"/>
      <c r="F192" s="27"/>
      <c r="G192" s="27"/>
      <c r="H192" s="27"/>
      <c r="I192" s="27"/>
      <c r="J192" s="27"/>
      <c r="K192" s="27"/>
      <c r="L192" s="27"/>
      <c r="M192" s="27"/>
      <c r="N192" s="27"/>
      <c r="O192" s="27"/>
      <c r="P192" s="27"/>
      <c r="Q192" s="3">
        <f t="shared" si="24"/>
        <v>0</v>
      </c>
      <c r="R192" s="3">
        <v>1327709.98</v>
      </c>
      <c r="S192" s="39">
        <f>Q192/Summary!$Q$16</f>
        <v>0</v>
      </c>
      <c r="T192" s="35"/>
      <c r="U192" s="40">
        <f t="shared" si="12"/>
        <v>0</v>
      </c>
    </row>
    <row r="193" spans="1:21" s="3" customFormat="1" ht="24.95" customHeight="1">
      <c r="A193" s="3" t="s">
        <v>640</v>
      </c>
      <c r="B193" s="3" t="s">
        <v>1024</v>
      </c>
      <c r="D193" s="26" t="s">
        <v>347</v>
      </c>
      <c r="E193" s="63">
        <f>'Staff Canteen'!E211</f>
        <v>8391.59</v>
      </c>
      <c r="F193" s="63">
        <f>'Staff Canteen'!F211</f>
        <v>8771.2999999999993</v>
      </c>
      <c r="G193" s="63">
        <f>'Staff Canteen'!G211</f>
        <v>8201.74</v>
      </c>
      <c r="H193" s="63">
        <f>'Staff Canteen'!H211</f>
        <v>8391.59</v>
      </c>
      <c r="I193" s="63">
        <f>'Staff Canteen'!I211</f>
        <v>8391.59</v>
      </c>
      <c r="J193" s="63">
        <f>'Staff Canteen'!J211</f>
        <v>8391.59</v>
      </c>
      <c r="K193" s="63">
        <f>'Staff Canteen'!K211</f>
        <v>8201.74</v>
      </c>
      <c r="L193" s="63">
        <f>'Staff Canteen'!L211</f>
        <v>8201.74</v>
      </c>
      <c r="M193" s="63">
        <f>'Staff Canteen'!M211</f>
        <v>8391.59</v>
      </c>
      <c r="N193" s="63">
        <f>'Staff Canteen'!N211</f>
        <v>8771.2999999999993</v>
      </c>
      <c r="O193" s="63">
        <f>'Staff Canteen'!O211</f>
        <v>8201.74</v>
      </c>
      <c r="P193" s="63">
        <f>'Staff Canteen'!P211</f>
        <v>8201.74</v>
      </c>
      <c r="Q193" s="3">
        <f t="shared" si="24"/>
        <v>100509.25</v>
      </c>
      <c r="R193" s="3">
        <v>460793.89</v>
      </c>
      <c r="S193" s="39">
        <f>Q193/Summary!$Q$16</f>
        <v>3.022126472694031E-3</v>
      </c>
      <c r="T193" s="35"/>
      <c r="U193" s="40" t="e">
        <f t="shared" si="12"/>
        <v>#DIV/0!</v>
      </c>
    </row>
    <row r="194" spans="1:21" s="3" customFormat="1" ht="24.95" customHeight="1">
      <c r="A194" s="54"/>
      <c r="B194" s="51"/>
      <c r="D194" s="19" t="s">
        <v>348</v>
      </c>
      <c r="E194" s="52">
        <f>SUM(E187:E193)</f>
        <v>8391.59</v>
      </c>
      <c r="F194" s="52">
        <f t="shared" ref="F194:P194" si="25">SUM(F187:F193)</f>
        <v>8771.2999999999993</v>
      </c>
      <c r="G194" s="52">
        <f t="shared" si="25"/>
        <v>8201.74</v>
      </c>
      <c r="H194" s="52">
        <f t="shared" si="25"/>
        <v>8391.59</v>
      </c>
      <c r="I194" s="52">
        <f t="shared" si="25"/>
        <v>8391.59</v>
      </c>
      <c r="J194" s="52">
        <f t="shared" si="25"/>
        <v>8391.59</v>
      </c>
      <c r="K194" s="52">
        <f t="shared" si="25"/>
        <v>8201.74</v>
      </c>
      <c r="L194" s="52">
        <f t="shared" si="25"/>
        <v>8201.74</v>
      </c>
      <c r="M194" s="52">
        <f t="shared" si="25"/>
        <v>8391.59</v>
      </c>
      <c r="N194" s="52">
        <f t="shared" si="25"/>
        <v>8771.2999999999993</v>
      </c>
      <c r="O194" s="52">
        <f t="shared" si="25"/>
        <v>8201.74</v>
      </c>
      <c r="P194" s="52">
        <f t="shared" si="25"/>
        <v>8201.74</v>
      </c>
      <c r="Q194" s="52">
        <f t="shared" ref="Q194" si="26">SUM(Q187:Q193)</f>
        <v>100509.25</v>
      </c>
      <c r="R194" s="52">
        <v>2089923.34</v>
      </c>
      <c r="S194" s="39">
        <f>Q194/Summary!$Q$16</f>
        <v>3.022126472694031E-3</v>
      </c>
      <c r="T194" s="35"/>
      <c r="U194" s="40" t="e">
        <f t="shared" si="12"/>
        <v>#DIV/0!</v>
      </c>
    </row>
    <row r="195" spans="1:21" s="3" customFormat="1" ht="24.95" customHeight="1">
      <c r="A195" s="54"/>
      <c r="B195" s="51"/>
      <c r="D195" s="19" t="s">
        <v>349</v>
      </c>
      <c r="E195" s="52">
        <f>E166+E175+E185+E194</f>
        <v>132132.51</v>
      </c>
      <c r="F195" s="52">
        <f t="shared" ref="F195:P195" si="27">F166+F175+F185+F194</f>
        <v>142719.66999999998</v>
      </c>
      <c r="G195" s="52">
        <f t="shared" si="27"/>
        <v>131338.94</v>
      </c>
      <c r="H195" s="52">
        <f t="shared" si="27"/>
        <v>132260.11000000002</v>
      </c>
      <c r="I195" s="52">
        <f t="shared" si="27"/>
        <v>132260.11000000002</v>
      </c>
      <c r="J195" s="52">
        <f t="shared" si="27"/>
        <v>132260.11000000002</v>
      </c>
      <c r="K195" s="52">
        <f t="shared" si="27"/>
        <v>131338.94</v>
      </c>
      <c r="L195" s="52">
        <f t="shared" si="27"/>
        <v>131338.94</v>
      </c>
      <c r="M195" s="52">
        <f t="shared" si="27"/>
        <v>132260.11000000002</v>
      </c>
      <c r="N195" s="52">
        <f t="shared" si="27"/>
        <v>143102.44999999998</v>
      </c>
      <c r="O195" s="52">
        <f t="shared" si="27"/>
        <v>131338.94</v>
      </c>
      <c r="P195" s="52">
        <f t="shared" si="27"/>
        <v>131338.94</v>
      </c>
      <c r="Q195" s="350">
        <f t="shared" ref="Q195" si="28">Q166+Q175+Q185+Q194</f>
        <v>1603689.77</v>
      </c>
      <c r="R195" s="52">
        <v>8988613.5600000005</v>
      </c>
      <c r="S195" s="39">
        <f>Q195/Summary!$Q$16</f>
        <v>4.8219972867229656E-2</v>
      </c>
      <c r="T195" s="35"/>
      <c r="U195" s="40" t="e">
        <f t="shared" si="12"/>
        <v>#DIV/0!</v>
      </c>
    </row>
    <row r="196" spans="1:21" s="3" customFormat="1" ht="24.95" customHeight="1">
      <c r="A196" s="54"/>
      <c r="B196" s="51"/>
      <c r="D196" s="21"/>
      <c r="E196" s="53"/>
      <c r="F196" s="53"/>
      <c r="G196" s="53"/>
      <c r="H196" s="53"/>
      <c r="I196" s="53"/>
      <c r="Q196" s="3">
        <f>Q195-Q174</f>
        <v>1039689.77</v>
      </c>
      <c r="T196" s="35"/>
      <c r="U196" s="40"/>
    </row>
    <row r="197" spans="1:21" s="3" customFormat="1" ht="24.95" customHeight="1">
      <c r="A197" s="50" t="s">
        <v>105</v>
      </c>
      <c r="B197" s="3" t="s">
        <v>1024</v>
      </c>
      <c r="D197" s="19" t="s">
        <v>352</v>
      </c>
      <c r="E197" s="27">
        <v>9</v>
      </c>
      <c r="F197" s="27">
        <v>9</v>
      </c>
      <c r="G197" s="27">
        <v>9</v>
      </c>
      <c r="H197" s="27">
        <v>9</v>
      </c>
      <c r="I197" s="27">
        <v>9</v>
      </c>
      <c r="J197" s="27">
        <v>9</v>
      </c>
      <c r="K197" s="27">
        <v>9</v>
      </c>
      <c r="L197" s="27">
        <v>9</v>
      </c>
      <c r="M197" s="27">
        <v>9</v>
      </c>
      <c r="N197" s="27">
        <v>9</v>
      </c>
      <c r="O197" s="27">
        <v>9</v>
      </c>
      <c r="P197" s="27">
        <v>9</v>
      </c>
      <c r="Q197" s="341">
        <f>SUM(E197:P197)/12</f>
        <v>9</v>
      </c>
      <c r="R197" s="86">
        <v>43</v>
      </c>
      <c r="T197" s="35"/>
      <c r="U197" s="40" t="e">
        <f t="shared" si="12"/>
        <v>#DIV/0!</v>
      </c>
    </row>
  </sheetData>
  <phoneticPr fontId="57" type="noConversion"/>
  <dataValidations count="37">
    <dataValidation type="textLength" errorStyle="information" allowBlank="1" showInputMessage="1" showErrorMessage="1" error="XLBVal:6=3239.86_x000d__x000a_" sqref="E159:R159">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error="XLBVal:6=1462.88_x000d__x000a_" sqref="E70:P70">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2=0_x000d__x000a_" sqref="R12 R160 E15:P22 Q193 R197 F13:F14 Q187:Q191 R177:R184 R187:R193 E24:P25 E192:Q192 Q164:R165 E187:P190 E191 E171:P174 Q15:R157 P80:P157 R168:R174 F71:P72 E184:P184 E71:E157 P73:P78 F73:O157">
      <formula1>0</formula1>
      <formula2>300</formula2>
    </dataValidation>
    <dataValidation type="textLength" errorStyle="information" allowBlank="1" showInputMessage="1" showErrorMessage="1" error="XLBVal:6=0_x000d__x000a_" sqref="E158:R158">
      <formula1>0</formula1>
      <formula2>300</formula2>
    </dataValidation>
    <dataValidation type="textLength" errorStyle="information" allowBlank="1" showInputMessage="1" showErrorMessage="1" error="XLBVal:6=169013_x000d__x000a_" sqref="Q168:Q174">
      <formula1>0</formula1>
      <formula2>300</formula2>
    </dataValidation>
    <dataValidation type="textLength" errorStyle="information" allowBlank="1" showInputMessage="1" showErrorMessage="1" error="XLBVal:6=14_x000d__x000a_" sqref="E197:P197">
      <formula1>0</formula1>
      <formula2>300</formula2>
    </dataValidation>
    <dataValidation type="textLength" errorStyle="information" allowBlank="1" showInputMessage="1" showErrorMessage="1" error="XLBVal:6=52728.57_x000d__x000a_" sqref="P79 E23:P23 E26:P69">
      <formula1>0</formula1>
      <formula2>300</formula2>
    </dataValidation>
    <dataValidation type="textLength" errorStyle="information" allowBlank="1" showInputMessage="1" showErrorMessage="1" error="XLBVal:6=178111.05_x000d__x000a_" sqref="E160:P160">
      <formula1>0</formula1>
      <formula2>300</formula2>
    </dataValidation>
    <dataValidation type="textLength" errorStyle="information" allowBlank="1" showInputMessage="1" showErrorMessage="1" error="XLBVal:6=12000_x000d__x000a_" sqref="F164:P164">
      <formula1>0</formula1>
      <formula2>300</formula2>
    </dataValidation>
    <dataValidation type="textLength" errorStyle="information" allowBlank="1" showInputMessage="1" showErrorMessage="1" error="XLBVal:6=3678_x000d__x000a_" sqref="F186:G186 F185:R185 E185:E186">
      <formula1>0</formula1>
      <formula2>300</formula2>
    </dataValidation>
    <dataValidation type="textLength" errorStyle="information" allowBlank="1" showInputMessage="1" showErrorMessage="1" sqref="F194:R195 H186:I186 E162:I163 F196:I196 H176:I176 E194:E196">
      <formula1>0</formula1>
      <formula2>300</formula2>
    </dataValidation>
    <dataValidation type="textLength" errorStyle="information" allowBlank="1" showInputMessage="1" showErrorMessage="1" error="XLBVal:6=12660.27_x000d__x000a_" sqref="F168:P168 F170:P170">
      <formula1>0</formula1>
      <formula2>300</formula2>
    </dataValidation>
    <dataValidation type="textLength" errorStyle="information" allowBlank="1" showInputMessage="1" showErrorMessage="1" error="XLBVal:6=950_x000d__x000a_" sqref="H191:P191 F191">
      <formula1>0</formula1>
      <formula2>300</formula2>
    </dataValidation>
    <dataValidation type="textLength" errorStyle="information" allowBlank="1" showInputMessage="1" showErrorMessage="1" error="XLBVal:6=1260_x000d__x000a_" sqref="Q197">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6595485.04_x000d__x000a_" sqref="G13:G14 H14:P14">
      <formula1>0</formula1>
      <formula2>300</formula2>
    </dataValidation>
    <dataValidation type="textLength" errorStyle="information" allowBlank="1" showInputMessage="1" showErrorMessage="1" error="XLBVal:5=-2586288.67_x000d__x000a_" sqref="H13">
      <formula1>0</formula1>
      <formula2>300</formula2>
    </dataValidation>
    <dataValidation type="textLength" errorStyle="information" allowBlank="1" showInputMessage="1" showErrorMessage="1" error="XLBVal:5=15426.66_x000d__x000a_" sqref="I13">
      <formula1>0</formula1>
      <formula2>300</formula2>
    </dataValidation>
    <dataValidation type="textLength" errorStyle="information" allowBlank="1" showInputMessage="1" showErrorMessage="1" error="XLBVal:6=1293444_x000d__x000a_" sqref="Q177:Q184">
      <formula1>0</formula1>
      <formula2>300</formula2>
    </dataValidation>
    <dataValidation type="textLength" errorStyle="information" allowBlank="1" showInputMessage="1" showErrorMessage="1" error="XLBVal:6=13973.8_x000d__x000a_" sqref="G191">
      <formula1>0</formula1>
      <formula2>300</formula2>
    </dataValidation>
    <dataValidation type="textLength" errorStyle="information" allowBlank="1" showInputMessage="1" showErrorMessage="1" error="XLBVal:6=1128.56_x000d__x000a_" sqref="E183:P183">
      <formula1>0</formula1>
      <formula2>300</formula2>
    </dataValidation>
    <dataValidation type="textLength" errorStyle="information" allowBlank="1" showInputMessage="1" showErrorMessage="1" error="XLBVal:6=441.03_x000d__x000a_" sqref="E181:P181">
      <formula1>0</formula1>
      <formula2>300</formula2>
    </dataValidation>
    <dataValidation type="textLength" errorStyle="information" allowBlank="1" showInputMessage="1" showErrorMessage="1" error="XLBVal:6=4171_x000d__x000a_" sqref="E193:P193">
      <formula1>0</formula1>
      <formula2>300</formula2>
    </dataValidation>
    <dataValidation type="textLength" errorStyle="information" allowBlank="1" showInputMessage="1" showErrorMessage="1" error="XLBVal:6=610_x000d__x000a_" sqref="E170">
      <formula1>0</formula1>
      <formula2>300</formula2>
    </dataValidation>
    <dataValidation type="textLength" errorStyle="information" allowBlank="1" showInputMessage="1" showErrorMessage="1" error="XLBVal:6=5497_x000d__x000a_" sqref="E182:P182">
      <formula1>0</formula1>
      <formula2>300</formula2>
    </dataValidation>
    <dataValidation type="textLength" errorStyle="information" allowBlank="1" showInputMessage="1" showErrorMessage="1" error="XLBVal:6=226.2_x000d__x000a_" sqref="E180:P180">
      <formula1>0</formula1>
      <formula2>300</formula2>
    </dataValidation>
    <dataValidation type="textLength" errorStyle="information" allowBlank="1" showInputMessage="1" showErrorMessage="1" error="XLBVal:6=282.72_x000d__x000a_" sqref="E179:P179">
      <formula1>0</formula1>
      <formula2>300</formula2>
    </dataValidation>
    <dataValidation type="textLength" errorStyle="information" allowBlank="1" showInputMessage="1" showErrorMessage="1" error="XLBVal:6=4410.24_x000d__x000a_" sqref="E178:P178">
      <formula1>0</formula1>
      <formula2>300</formula2>
    </dataValidation>
    <dataValidation type="textLength" errorStyle="information" allowBlank="1" showInputMessage="1" showErrorMessage="1" error="XLBVal:6=9046.88_x000d__x000a_" sqref="E177:P177">
      <formula1>0</formula1>
      <formula2>300</formula2>
    </dataValidation>
    <dataValidation type="textLength" errorStyle="information" allowBlank="1" showInputMessage="1" showErrorMessage="1" error="XLBVal:6=2844.82_x000d__x000a_" sqref="E168">
      <formula1>0</formula1>
      <formula2>300</formula2>
    </dataValidation>
    <dataValidation type="textLength" errorStyle="information" allowBlank="1" showInputMessage="1" showErrorMessage="1" error="XLBVal:6=32973.56_x000d__x000a_" sqref="E165:P165">
      <formula1>0</formula1>
      <formula2>300</formula2>
    </dataValidation>
    <dataValidation type="textLength" errorStyle="information" allowBlank="1" showInputMessage="1" showErrorMessage="1" error="XLBVal:6=20000_x000d__x000a_" sqref="E164">
      <formula1>0</formula1>
      <formula2>300</formula2>
    </dataValidation>
    <dataValidation type="textLength" errorStyle="information" allowBlank="1" showInputMessage="1" showErrorMessage="1" error="XLBVal:6=4508.33_x000d__x000a_" sqref="E169:P169">
      <formula1>0</formula1>
      <formula2>300</formula2>
    </dataValidation>
  </dataValidations>
  <printOptions horizontalCentered="1"/>
  <pageMargins left="0.118110236220472" right="0.118110236220472" top="0.59055118110236204" bottom="0.39370078740157499" header="0" footer="0"/>
  <pageSetup paperSize="9" scale="45" fitToHeight="0" orientation="landscape" r:id="rId1"/>
  <headerFooter>
    <oddFooter>&amp;L&amp;"微软雅黑,Regular"&amp;F&amp;C&amp;"微软雅黑,Regular"Page &amp;P of &amp;N&amp;R&amp;"微软雅黑,Regular"&amp;D</oddFooter>
  </headerFooter>
  <legacy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4">
    <tabColor rgb="FF00B050"/>
  </sheetPr>
  <dimension ref="A1:T197"/>
  <sheetViews>
    <sheetView zoomScale="50" zoomScaleNormal="50" zoomScaleSheetLayoutView="40" workbookViewId="0">
      <pane xSplit="4" ySplit="12" topLeftCell="E13" activePane="bottomRight" state="frozen"/>
      <selection activeCell="L7" sqref="L7"/>
      <selection pane="topRight" activeCell="L7" sqref="L7"/>
      <selection pane="bottomLeft" activeCell="L7" sqref="L7"/>
      <selection pane="bottomRight" activeCell="V156" sqref="V156"/>
    </sheetView>
  </sheetViews>
  <sheetFormatPr defaultColWidth="8.875" defaultRowHeight="26.25" customHeight="1" outlineLevelRow="1" outlineLevelCol="1"/>
  <cols>
    <col min="1" max="3" width="15.5" style="5" hidden="1" customWidth="1" outlineLevel="1"/>
    <col min="4" max="4" width="70.5" style="6" customWidth="1" collapsed="1"/>
    <col min="5" max="5" width="22.125" style="7" customWidth="1"/>
    <col min="6" max="6" width="23.875" style="7" customWidth="1"/>
    <col min="7" max="7" width="25.125" style="7" customWidth="1"/>
    <col min="8" max="8" width="24.125" style="7" customWidth="1"/>
    <col min="9" max="9" width="18.5" style="7" customWidth="1"/>
    <col min="10" max="10" width="18.125" style="5" customWidth="1"/>
    <col min="11" max="12" width="19.875" style="5" customWidth="1"/>
    <col min="13" max="16" width="20.875" style="5" customWidth="1"/>
    <col min="17" max="17" width="23.375" style="5" customWidth="1"/>
    <col min="18" max="18" width="12" style="5" customWidth="1"/>
    <col min="19" max="19" width="22.5" style="8" hidden="1" customWidth="1"/>
    <col min="20" max="20" width="22.5" style="5" hidden="1" customWidth="1"/>
    <col min="21" max="21" width="33.875" style="5" customWidth="1"/>
    <col min="22" max="22" width="34.875" style="5" customWidth="1"/>
    <col min="23" max="16384" width="8.875" style="5"/>
  </cols>
  <sheetData>
    <row r="1" spans="1:20" s="1" customFormat="1" ht="15" customHeight="1" outlineLevel="1">
      <c r="E1" s="9"/>
      <c r="F1" s="9"/>
      <c r="G1" s="9"/>
      <c r="H1" s="9"/>
      <c r="I1" s="9"/>
      <c r="J1" s="9"/>
      <c r="K1" s="9"/>
      <c r="L1" s="9"/>
      <c r="M1" s="9"/>
      <c r="N1" s="9"/>
      <c r="O1" s="9"/>
      <c r="P1" s="9"/>
      <c r="Q1" s="9"/>
      <c r="S1" s="32"/>
    </row>
    <row r="2" spans="1:20" s="1" customFormat="1" ht="15" customHeight="1" outlineLevel="1">
      <c r="E2" s="9"/>
      <c r="F2" s="9"/>
      <c r="G2" s="9"/>
      <c r="H2" s="9"/>
      <c r="I2" s="9"/>
      <c r="J2" s="9"/>
      <c r="K2" s="9"/>
      <c r="L2" s="9"/>
      <c r="M2" s="9"/>
      <c r="N2" s="9"/>
      <c r="O2" s="9"/>
      <c r="P2" s="9"/>
      <c r="Q2" s="9"/>
      <c r="S2" s="32"/>
    </row>
    <row r="3" spans="1:20" s="1" customFormat="1" ht="15" customHeight="1" outlineLevel="1">
      <c r="E3" s="9"/>
      <c r="F3" s="9"/>
      <c r="G3" s="9"/>
      <c r="H3" s="9"/>
      <c r="I3" s="9"/>
      <c r="J3" s="9"/>
      <c r="K3" s="9"/>
      <c r="L3" s="9"/>
      <c r="M3" s="9"/>
      <c r="N3" s="9"/>
      <c r="O3" s="9"/>
      <c r="P3" s="9"/>
      <c r="Q3" s="9"/>
      <c r="S3" s="32"/>
    </row>
    <row r="4" spans="1:20" s="2" customFormat="1" ht="24.95" customHeight="1">
      <c r="D4" s="10" t="str">
        <f>Summary!$D$4</f>
        <v>Hotel Budget Report</v>
      </c>
      <c r="E4" s="11"/>
      <c r="F4" s="11"/>
      <c r="G4" s="12"/>
      <c r="H4" s="13"/>
      <c r="I4" s="13"/>
      <c r="S4" s="33"/>
    </row>
    <row r="5" spans="1:20" s="2" customFormat="1" ht="24.95" customHeight="1">
      <c r="D5" s="10" t="str">
        <f>Summary!$D$5</f>
        <v>酒店预算报表</v>
      </c>
      <c r="E5" s="11"/>
      <c r="F5" s="11"/>
      <c r="G5" s="12"/>
      <c r="H5" s="13"/>
      <c r="I5" s="13"/>
      <c r="S5" s="33"/>
    </row>
    <row r="6" spans="1:20" s="2" customFormat="1" ht="24.95" customHeight="1">
      <c r="D6" s="14" t="s">
        <v>1025</v>
      </c>
      <c r="E6" s="13"/>
      <c r="F6" s="13"/>
      <c r="G6" s="13"/>
      <c r="H6" s="13"/>
      <c r="I6" s="13"/>
      <c r="S6" s="33"/>
    </row>
    <row r="7" spans="1:20" s="2" customFormat="1" ht="24.95" customHeight="1">
      <c r="D7" s="15" t="s">
        <v>1185</v>
      </c>
      <c r="E7" s="13"/>
      <c r="F7" s="13"/>
      <c r="G7" s="13"/>
      <c r="H7" s="13"/>
      <c r="I7" s="13"/>
      <c r="S7" s="33"/>
    </row>
    <row r="8" spans="1:20" ht="24.95" customHeight="1">
      <c r="D8" s="16"/>
    </row>
    <row r="9" spans="1:20" s="3" customFormat="1" ht="24.95" customHeight="1">
      <c r="D9" s="17"/>
      <c r="E9" s="18">
        <v>1</v>
      </c>
      <c r="F9" s="18">
        <v>2</v>
      </c>
      <c r="G9" s="18">
        <v>3</v>
      </c>
      <c r="H9" s="18">
        <v>4</v>
      </c>
      <c r="I9" s="18">
        <v>5</v>
      </c>
      <c r="J9" s="18">
        <v>6</v>
      </c>
      <c r="K9" s="18">
        <v>7</v>
      </c>
      <c r="L9" s="18">
        <v>8</v>
      </c>
      <c r="M9" s="18">
        <v>9</v>
      </c>
      <c r="N9" s="18">
        <v>10</v>
      </c>
      <c r="O9" s="18">
        <v>11</v>
      </c>
      <c r="P9" s="18">
        <v>12</v>
      </c>
      <c r="Q9" s="18">
        <v>2025</v>
      </c>
      <c r="S9" s="35"/>
    </row>
    <row r="10" spans="1:20"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6" t="s">
        <v>24</v>
      </c>
      <c r="T10" s="37" t="s">
        <v>25</v>
      </c>
    </row>
    <row r="11" spans="1:20" s="3" customFormat="1" ht="24.95" customHeight="1">
      <c r="D11" s="21"/>
      <c r="E11" s="22"/>
      <c r="F11" s="22"/>
      <c r="G11" s="22"/>
      <c r="H11" s="23"/>
      <c r="I11" s="23"/>
      <c r="S11" s="35"/>
    </row>
    <row r="12" spans="1:20" s="3" customFormat="1" ht="24.95" customHeight="1">
      <c r="A12" s="3" t="s">
        <v>482</v>
      </c>
      <c r="B12" s="3" t="s">
        <v>1026</v>
      </c>
      <c r="D12" s="21" t="s">
        <v>137</v>
      </c>
      <c r="E12" s="43">
        <f>+E195</f>
        <v>12828.84</v>
      </c>
      <c r="F12" s="43">
        <f t="shared" ref="F12:P12" si="0">+F195</f>
        <v>12870.87</v>
      </c>
      <c r="G12" s="43">
        <f t="shared" si="0"/>
        <v>12807.83</v>
      </c>
      <c r="H12" s="43">
        <f t="shared" si="0"/>
        <v>12828.84</v>
      </c>
      <c r="I12" s="43">
        <f t="shared" si="0"/>
        <v>12828.84</v>
      </c>
      <c r="J12" s="43">
        <f t="shared" si="0"/>
        <v>12828.84</v>
      </c>
      <c r="K12" s="43">
        <f t="shared" si="0"/>
        <v>12807.83</v>
      </c>
      <c r="L12" s="43">
        <f t="shared" si="0"/>
        <v>12807.83</v>
      </c>
      <c r="M12" s="43">
        <f t="shared" si="0"/>
        <v>12828.84</v>
      </c>
      <c r="N12" s="43">
        <f t="shared" si="0"/>
        <v>12870.87</v>
      </c>
      <c r="O12" s="43">
        <f t="shared" si="0"/>
        <v>12807.83</v>
      </c>
      <c r="P12" s="43">
        <f t="shared" si="0"/>
        <v>12807.83</v>
      </c>
      <c r="Q12" s="43">
        <f>SUM(E12:P12)</f>
        <v>153925.08999999997</v>
      </c>
      <c r="R12" s="83">
        <f>Q12/Summary!$Q$16</f>
        <v>4.6282415727986349E-3</v>
      </c>
      <c r="S12" s="35"/>
      <c r="T12" s="40" t="e">
        <f>-IF(Q12-S12=0,0,(Q12-S12)/S12)</f>
        <v>#DIV/0!</v>
      </c>
    </row>
    <row r="13" spans="1:20" s="3" customFormat="1" ht="24.95" customHeight="1">
      <c r="D13" s="26"/>
      <c r="E13" s="24"/>
      <c r="F13" s="24"/>
      <c r="G13" s="24"/>
      <c r="H13" s="25"/>
      <c r="I13" s="25"/>
      <c r="S13" s="35"/>
      <c r="T13" s="40"/>
    </row>
    <row r="14" spans="1:20" s="3" customFormat="1" ht="24.95" customHeight="1">
      <c r="D14" s="21" t="s">
        <v>138</v>
      </c>
      <c r="E14" s="24"/>
      <c r="F14" s="24"/>
      <c r="G14" s="24"/>
      <c r="H14" s="25"/>
      <c r="I14" s="25"/>
      <c r="S14" s="35"/>
      <c r="T14" s="40"/>
    </row>
    <row r="15" spans="1:20" s="3" customFormat="1" ht="24.95" hidden="1" customHeight="1">
      <c r="A15" s="3" t="s">
        <v>484</v>
      </c>
      <c r="B15" s="3" t="s">
        <v>1026</v>
      </c>
      <c r="D15" s="26" t="s">
        <v>485</v>
      </c>
      <c r="E15" s="27">
        <v>0</v>
      </c>
      <c r="F15" s="27">
        <v>0</v>
      </c>
      <c r="G15" s="27">
        <v>0</v>
      </c>
      <c r="H15" s="27">
        <v>0</v>
      </c>
      <c r="I15" s="27">
        <v>0</v>
      </c>
      <c r="J15" s="27">
        <v>0</v>
      </c>
      <c r="K15" s="27">
        <v>0</v>
      </c>
      <c r="L15" s="27">
        <v>0</v>
      </c>
      <c r="M15" s="27">
        <v>0</v>
      </c>
      <c r="N15" s="27">
        <v>0</v>
      </c>
      <c r="O15" s="27">
        <v>0</v>
      </c>
      <c r="P15" s="27">
        <v>0</v>
      </c>
      <c r="Q15" s="3">
        <f>SUM(E15:P15)</f>
        <v>0</v>
      </c>
      <c r="R15" s="39">
        <f>Q15/Summary!$Q$16</f>
        <v>0</v>
      </c>
      <c r="S15" s="35"/>
      <c r="T15" s="40">
        <f t="shared" ref="T15:T46" si="1">IF(Q15-S15=0,0,(Q15-S15)/S15)</f>
        <v>0</v>
      </c>
    </row>
    <row r="16" spans="1:20" s="3" customFormat="1" ht="24.95" hidden="1" customHeight="1">
      <c r="A16" s="3" t="s">
        <v>486</v>
      </c>
      <c r="B16" s="3" t="s">
        <v>1026</v>
      </c>
      <c r="D16" s="28" t="s">
        <v>487</v>
      </c>
      <c r="E16" s="27">
        <v>0</v>
      </c>
      <c r="F16" s="27">
        <v>0</v>
      </c>
      <c r="G16" s="27">
        <v>0</v>
      </c>
      <c r="H16" s="27">
        <v>0</v>
      </c>
      <c r="I16" s="27">
        <v>0</v>
      </c>
      <c r="J16" s="27">
        <v>0</v>
      </c>
      <c r="K16" s="27">
        <v>0</v>
      </c>
      <c r="L16" s="27">
        <v>0</v>
      </c>
      <c r="M16" s="27">
        <v>0</v>
      </c>
      <c r="N16" s="27">
        <v>0</v>
      </c>
      <c r="O16" s="27">
        <v>0</v>
      </c>
      <c r="P16" s="27">
        <v>0</v>
      </c>
      <c r="Q16" s="3">
        <f t="shared" ref="Q16:Q79" si="2">SUM(E16:P16)</f>
        <v>0</v>
      </c>
      <c r="R16" s="39">
        <f>Q16/Summary!$Q$16</f>
        <v>0</v>
      </c>
      <c r="S16" s="35"/>
      <c r="T16" s="40">
        <f t="shared" si="1"/>
        <v>0</v>
      </c>
    </row>
    <row r="17" spans="1:20" s="3" customFormat="1" ht="24.95" hidden="1" customHeight="1">
      <c r="A17" s="3" t="s">
        <v>488</v>
      </c>
      <c r="B17" s="3" t="s">
        <v>1026</v>
      </c>
      <c r="D17" s="26" t="s">
        <v>489</v>
      </c>
      <c r="E17" s="27">
        <v>0</v>
      </c>
      <c r="F17" s="27">
        <v>0</v>
      </c>
      <c r="G17" s="27">
        <v>0</v>
      </c>
      <c r="H17" s="27">
        <v>0</v>
      </c>
      <c r="I17" s="27">
        <v>0</v>
      </c>
      <c r="J17" s="27">
        <v>0</v>
      </c>
      <c r="K17" s="27">
        <v>0</v>
      </c>
      <c r="L17" s="27">
        <v>0</v>
      </c>
      <c r="M17" s="27">
        <v>0</v>
      </c>
      <c r="N17" s="27">
        <v>0</v>
      </c>
      <c r="O17" s="27">
        <v>0</v>
      </c>
      <c r="P17" s="27">
        <v>0</v>
      </c>
      <c r="Q17" s="3">
        <f t="shared" si="2"/>
        <v>0</v>
      </c>
      <c r="R17" s="39">
        <f>Q17/Summary!$Q$16</f>
        <v>0</v>
      </c>
      <c r="S17" s="35"/>
      <c r="T17" s="40">
        <f t="shared" si="1"/>
        <v>0</v>
      </c>
    </row>
    <row r="18" spans="1:20" s="3" customFormat="1" ht="24.95" hidden="1" customHeight="1">
      <c r="A18" s="3" t="s">
        <v>490</v>
      </c>
      <c r="B18" s="3" t="s">
        <v>1026</v>
      </c>
      <c r="D18" s="26" t="s">
        <v>491</v>
      </c>
      <c r="E18" s="27">
        <v>0</v>
      </c>
      <c r="F18" s="27">
        <v>0</v>
      </c>
      <c r="G18" s="27">
        <v>0</v>
      </c>
      <c r="H18" s="27">
        <v>0</v>
      </c>
      <c r="I18" s="27">
        <v>0</v>
      </c>
      <c r="J18" s="27">
        <v>0</v>
      </c>
      <c r="K18" s="27">
        <v>0</v>
      </c>
      <c r="L18" s="27">
        <v>0</v>
      </c>
      <c r="M18" s="27">
        <v>0</v>
      </c>
      <c r="N18" s="27">
        <v>0</v>
      </c>
      <c r="O18" s="27">
        <v>0</v>
      </c>
      <c r="P18" s="27">
        <v>0</v>
      </c>
      <c r="Q18" s="3">
        <f t="shared" si="2"/>
        <v>0</v>
      </c>
      <c r="R18" s="39">
        <f>Q18/Summary!$Q$16</f>
        <v>0</v>
      </c>
      <c r="S18" s="35"/>
      <c r="T18" s="40">
        <f t="shared" si="1"/>
        <v>0</v>
      </c>
    </row>
    <row r="19" spans="1:20" s="3" customFormat="1" ht="24.95" hidden="1" customHeight="1">
      <c r="A19" s="3" t="s">
        <v>492</v>
      </c>
      <c r="B19" s="3" t="s">
        <v>1026</v>
      </c>
      <c r="D19" s="29" t="s">
        <v>493</v>
      </c>
      <c r="E19" s="27">
        <v>0</v>
      </c>
      <c r="F19" s="27">
        <v>0</v>
      </c>
      <c r="G19" s="27">
        <v>0</v>
      </c>
      <c r="H19" s="27">
        <v>0</v>
      </c>
      <c r="I19" s="27">
        <v>0</v>
      </c>
      <c r="J19" s="27">
        <v>0</v>
      </c>
      <c r="K19" s="27">
        <v>0</v>
      </c>
      <c r="L19" s="27">
        <v>0</v>
      </c>
      <c r="M19" s="27">
        <v>0</v>
      </c>
      <c r="N19" s="27">
        <v>0</v>
      </c>
      <c r="O19" s="27">
        <v>0</v>
      </c>
      <c r="P19" s="27">
        <v>0</v>
      </c>
      <c r="Q19" s="3">
        <f t="shared" si="2"/>
        <v>0</v>
      </c>
      <c r="R19" s="39">
        <f>Q19/Summary!$Q$16</f>
        <v>0</v>
      </c>
      <c r="S19" s="35"/>
      <c r="T19" s="40">
        <f t="shared" si="1"/>
        <v>0</v>
      </c>
    </row>
    <row r="20" spans="1:20" s="3" customFormat="1" ht="24.95" hidden="1" customHeight="1">
      <c r="A20" s="3" t="s">
        <v>494</v>
      </c>
      <c r="B20" s="3" t="s">
        <v>1026</v>
      </c>
      <c r="D20" s="29" t="s">
        <v>495</v>
      </c>
      <c r="E20" s="27">
        <v>0</v>
      </c>
      <c r="F20" s="27">
        <v>0</v>
      </c>
      <c r="G20" s="27">
        <v>0</v>
      </c>
      <c r="H20" s="27">
        <v>0</v>
      </c>
      <c r="I20" s="27">
        <v>0</v>
      </c>
      <c r="J20" s="27">
        <v>0</v>
      </c>
      <c r="K20" s="27">
        <v>0</v>
      </c>
      <c r="L20" s="27">
        <v>0</v>
      </c>
      <c r="M20" s="27">
        <v>0</v>
      </c>
      <c r="N20" s="27">
        <v>0</v>
      </c>
      <c r="O20" s="27">
        <v>0</v>
      </c>
      <c r="P20" s="27">
        <v>0</v>
      </c>
      <c r="Q20" s="3">
        <f t="shared" si="2"/>
        <v>0</v>
      </c>
      <c r="R20" s="39">
        <f>Q20/Summary!$Q$16</f>
        <v>0</v>
      </c>
      <c r="S20" s="35"/>
      <c r="T20" s="40">
        <f t="shared" si="1"/>
        <v>0</v>
      </c>
    </row>
    <row r="21" spans="1:20" s="3" customFormat="1" ht="24.95" hidden="1" customHeight="1">
      <c r="A21" s="3" t="s">
        <v>496</v>
      </c>
      <c r="B21" s="3" t="s">
        <v>1026</v>
      </c>
      <c r="D21" s="26" t="s">
        <v>497</v>
      </c>
      <c r="E21" s="27">
        <v>0</v>
      </c>
      <c r="F21" s="27">
        <v>0</v>
      </c>
      <c r="G21" s="27">
        <v>0</v>
      </c>
      <c r="H21" s="27">
        <v>0</v>
      </c>
      <c r="I21" s="27">
        <v>0</v>
      </c>
      <c r="J21" s="27">
        <v>0</v>
      </c>
      <c r="K21" s="27">
        <v>0</v>
      </c>
      <c r="L21" s="27">
        <v>0</v>
      </c>
      <c r="M21" s="27">
        <v>0</v>
      </c>
      <c r="N21" s="27">
        <v>0</v>
      </c>
      <c r="O21" s="27">
        <v>0</v>
      </c>
      <c r="P21" s="27">
        <v>0</v>
      </c>
      <c r="Q21" s="3">
        <f t="shared" si="2"/>
        <v>0</v>
      </c>
      <c r="R21" s="39">
        <f>Q21/Summary!$Q$16</f>
        <v>0</v>
      </c>
      <c r="S21" s="35"/>
      <c r="T21" s="40">
        <f t="shared" si="1"/>
        <v>0</v>
      </c>
    </row>
    <row r="22" spans="1:20" s="3" customFormat="1" ht="24.95" hidden="1" customHeight="1">
      <c r="A22" s="3" t="s">
        <v>498</v>
      </c>
      <c r="B22" s="3" t="s">
        <v>1026</v>
      </c>
      <c r="D22" s="29" t="s">
        <v>499</v>
      </c>
      <c r="E22" s="27">
        <v>0</v>
      </c>
      <c r="F22" s="27">
        <v>0</v>
      </c>
      <c r="G22" s="27">
        <v>0</v>
      </c>
      <c r="H22" s="27">
        <v>0</v>
      </c>
      <c r="I22" s="27">
        <v>0</v>
      </c>
      <c r="J22" s="27">
        <v>0</v>
      </c>
      <c r="K22" s="27">
        <v>0</v>
      </c>
      <c r="L22" s="27">
        <v>0</v>
      </c>
      <c r="M22" s="27">
        <v>0</v>
      </c>
      <c r="N22" s="27">
        <v>0</v>
      </c>
      <c r="O22" s="27">
        <v>0</v>
      </c>
      <c r="P22" s="27">
        <v>0</v>
      </c>
      <c r="Q22" s="3">
        <f t="shared" si="2"/>
        <v>0</v>
      </c>
      <c r="R22" s="39">
        <f>Q22/Summary!$Q$16</f>
        <v>0</v>
      </c>
      <c r="S22" s="35"/>
      <c r="T22" s="40">
        <f t="shared" si="1"/>
        <v>0</v>
      </c>
    </row>
    <row r="23" spans="1:20" s="3" customFormat="1" ht="24.95" hidden="1" customHeight="1">
      <c r="A23" s="3" t="s">
        <v>500</v>
      </c>
      <c r="B23" s="3" t="s">
        <v>1026</v>
      </c>
      <c r="D23" s="26" t="s">
        <v>501</v>
      </c>
      <c r="E23" s="27">
        <v>0</v>
      </c>
      <c r="F23" s="27">
        <v>0</v>
      </c>
      <c r="G23" s="27">
        <v>0</v>
      </c>
      <c r="H23" s="27">
        <v>0</v>
      </c>
      <c r="I23" s="27">
        <v>0</v>
      </c>
      <c r="J23" s="27">
        <v>0</v>
      </c>
      <c r="K23" s="27">
        <v>0</v>
      </c>
      <c r="L23" s="27">
        <v>0</v>
      </c>
      <c r="M23" s="27">
        <v>0</v>
      </c>
      <c r="N23" s="27">
        <v>0</v>
      </c>
      <c r="O23" s="27">
        <v>0</v>
      </c>
      <c r="P23" s="27">
        <v>0</v>
      </c>
      <c r="Q23" s="3">
        <f t="shared" si="2"/>
        <v>0</v>
      </c>
      <c r="R23" s="39">
        <f>Q23/Summary!$Q$16</f>
        <v>0</v>
      </c>
      <c r="S23" s="35"/>
      <c r="T23" s="40">
        <f t="shared" si="1"/>
        <v>0</v>
      </c>
    </row>
    <row r="24" spans="1:20" s="3" customFormat="1" ht="24.95" hidden="1" customHeight="1">
      <c r="A24" s="3" t="s">
        <v>502</v>
      </c>
      <c r="B24" s="3" t="s">
        <v>1026</v>
      </c>
      <c r="D24" s="26" t="s">
        <v>503</v>
      </c>
      <c r="E24" s="27">
        <v>0</v>
      </c>
      <c r="F24" s="27">
        <v>0</v>
      </c>
      <c r="G24" s="27">
        <v>0</v>
      </c>
      <c r="H24" s="27">
        <v>0</v>
      </c>
      <c r="I24" s="27">
        <v>0</v>
      </c>
      <c r="J24" s="27">
        <v>0</v>
      </c>
      <c r="K24" s="27">
        <v>0</v>
      </c>
      <c r="L24" s="27">
        <v>0</v>
      </c>
      <c r="M24" s="27">
        <v>0</v>
      </c>
      <c r="N24" s="27">
        <v>0</v>
      </c>
      <c r="O24" s="27">
        <v>0</v>
      </c>
      <c r="P24" s="27">
        <v>0</v>
      </c>
      <c r="Q24" s="3">
        <f t="shared" si="2"/>
        <v>0</v>
      </c>
      <c r="R24" s="39">
        <f>Q24/Summary!$Q$16</f>
        <v>0</v>
      </c>
      <c r="S24" s="35"/>
      <c r="T24" s="40">
        <f t="shared" si="1"/>
        <v>0</v>
      </c>
    </row>
    <row r="25" spans="1:20" s="3" customFormat="1" ht="24.95" hidden="1" customHeight="1">
      <c r="A25" s="3" t="s">
        <v>504</v>
      </c>
      <c r="B25" s="3" t="s">
        <v>1026</v>
      </c>
      <c r="D25" s="26" t="s">
        <v>505</v>
      </c>
      <c r="E25" s="27">
        <v>0</v>
      </c>
      <c r="F25" s="27">
        <v>0</v>
      </c>
      <c r="G25" s="27">
        <v>0</v>
      </c>
      <c r="H25" s="27">
        <v>0</v>
      </c>
      <c r="I25" s="27">
        <v>0</v>
      </c>
      <c r="J25" s="27">
        <v>0</v>
      </c>
      <c r="K25" s="27">
        <v>0</v>
      </c>
      <c r="L25" s="27">
        <v>0</v>
      </c>
      <c r="M25" s="27">
        <v>0</v>
      </c>
      <c r="N25" s="27">
        <v>0</v>
      </c>
      <c r="O25" s="27">
        <v>0</v>
      </c>
      <c r="P25" s="27">
        <v>0</v>
      </c>
      <c r="Q25" s="3">
        <f t="shared" si="2"/>
        <v>0</v>
      </c>
      <c r="R25" s="39">
        <f>Q25/Summary!$Q$16</f>
        <v>0</v>
      </c>
      <c r="S25" s="35"/>
      <c r="T25" s="40">
        <f t="shared" si="1"/>
        <v>0</v>
      </c>
    </row>
    <row r="26" spans="1:20" s="3" customFormat="1" ht="24.95" hidden="1" customHeight="1">
      <c r="A26" s="3" t="s">
        <v>506</v>
      </c>
      <c r="B26" s="3" t="s">
        <v>1026</v>
      </c>
      <c r="D26" s="26" t="s">
        <v>507</v>
      </c>
      <c r="E26" s="27">
        <v>0</v>
      </c>
      <c r="F26" s="27">
        <v>0</v>
      </c>
      <c r="G26" s="27">
        <v>0</v>
      </c>
      <c r="H26" s="27">
        <v>0</v>
      </c>
      <c r="I26" s="27">
        <v>0</v>
      </c>
      <c r="J26" s="27">
        <v>0</v>
      </c>
      <c r="K26" s="27">
        <v>0</v>
      </c>
      <c r="L26" s="27">
        <v>0</v>
      </c>
      <c r="M26" s="27">
        <v>0</v>
      </c>
      <c r="N26" s="27">
        <v>0</v>
      </c>
      <c r="O26" s="27">
        <v>0</v>
      </c>
      <c r="P26" s="27">
        <v>0</v>
      </c>
      <c r="Q26" s="3">
        <f t="shared" si="2"/>
        <v>0</v>
      </c>
      <c r="R26" s="39">
        <f>Q26/Summary!$Q$16</f>
        <v>0</v>
      </c>
      <c r="S26" s="35"/>
      <c r="T26" s="40">
        <f t="shared" si="1"/>
        <v>0</v>
      </c>
    </row>
    <row r="27" spans="1:20" s="3" customFormat="1" ht="24.95" hidden="1" customHeight="1">
      <c r="A27" s="3" t="s">
        <v>508</v>
      </c>
      <c r="B27" s="3" t="s">
        <v>1026</v>
      </c>
      <c r="D27" s="26" t="s">
        <v>509</v>
      </c>
      <c r="E27" s="27">
        <v>0</v>
      </c>
      <c r="F27" s="27">
        <v>0</v>
      </c>
      <c r="G27" s="27">
        <v>0</v>
      </c>
      <c r="H27" s="27">
        <v>0</v>
      </c>
      <c r="I27" s="27">
        <v>0</v>
      </c>
      <c r="J27" s="27">
        <v>0</v>
      </c>
      <c r="K27" s="27">
        <v>0</v>
      </c>
      <c r="L27" s="27">
        <v>0</v>
      </c>
      <c r="M27" s="27">
        <v>0</v>
      </c>
      <c r="N27" s="27">
        <v>0</v>
      </c>
      <c r="O27" s="27">
        <v>0</v>
      </c>
      <c r="P27" s="27">
        <v>0</v>
      </c>
      <c r="Q27" s="3">
        <f t="shared" si="2"/>
        <v>0</v>
      </c>
      <c r="R27" s="39">
        <f>Q27/Summary!$Q$16</f>
        <v>0</v>
      </c>
      <c r="S27" s="35"/>
      <c r="T27" s="40">
        <f t="shared" si="1"/>
        <v>0</v>
      </c>
    </row>
    <row r="28" spans="1:20" s="3" customFormat="1" ht="24.95" hidden="1" customHeight="1">
      <c r="A28" s="3" t="s">
        <v>510</v>
      </c>
      <c r="B28" s="3" t="s">
        <v>1026</v>
      </c>
      <c r="D28" s="26" t="s">
        <v>511</v>
      </c>
      <c r="E28" s="27">
        <v>0</v>
      </c>
      <c r="F28" s="27">
        <v>0</v>
      </c>
      <c r="G28" s="27">
        <v>0</v>
      </c>
      <c r="H28" s="27">
        <v>0</v>
      </c>
      <c r="I28" s="27">
        <v>0</v>
      </c>
      <c r="J28" s="27">
        <v>0</v>
      </c>
      <c r="K28" s="27">
        <v>0</v>
      </c>
      <c r="L28" s="27">
        <v>0</v>
      </c>
      <c r="M28" s="27">
        <v>0</v>
      </c>
      <c r="N28" s="27">
        <v>0</v>
      </c>
      <c r="O28" s="27">
        <v>0</v>
      </c>
      <c r="P28" s="27">
        <v>0</v>
      </c>
      <c r="Q28" s="3">
        <f t="shared" si="2"/>
        <v>0</v>
      </c>
      <c r="R28" s="39">
        <f>Q28/Summary!$Q$16</f>
        <v>0</v>
      </c>
      <c r="S28" s="35"/>
      <c r="T28" s="40">
        <f t="shared" si="1"/>
        <v>0</v>
      </c>
    </row>
    <row r="29" spans="1:20" s="3" customFormat="1" ht="24.95" hidden="1" customHeight="1">
      <c r="A29" s="3" t="s">
        <v>512</v>
      </c>
      <c r="B29" s="3" t="s">
        <v>1026</v>
      </c>
      <c r="D29" s="26" t="s">
        <v>169</v>
      </c>
      <c r="E29" s="27">
        <v>0</v>
      </c>
      <c r="F29" s="27">
        <v>0</v>
      </c>
      <c r="G29" s="27">
        <v>0</v>
      </c>
      <c r="H29" s="27">
        <v>0</v>
      </c>
      <c r="I29" s="27">
        <v>0</v>
      </c>
      <c r="J29" s="27">
        <v>0</v>
      </c>
      <c r="K29" s="27">
        <v>0</v>
      </c>
      <c r="L29" s="27">
        <v>0</v>
      </c>
      <c r="M29" s="27">
        <v>0</v>
      </c>
      <c r="N29" s="27">
        <v>0</v>
      </c>
      <c r="O29" s="27">
        <v>0</v>
      </c>
      <c r="P29" s="27">
        <v>0</v>
      </c>
      <c r="Q29" s="3">
        <f t="shared" si="2"/>
        <v>0</v>
      </c>
      <c r="R29" s="39">
        <f>Q29/Summary!$Q$16</f>
        <v>0</v>
      </c>
      <c r="S29" s="35"/>
      <c r="T29" s="40">
        <f t="shared" si="1"/>
        <v>0</v>
      </c>
    </row>
    <row r="30" spans="1:20" s="3" customFormat="1" ht="24.95" hidden="1" customHeight="1">
      <c r="A30" s="3" t="s">
        <v>513</v>
      </c>
      <c r="B30" s="3" t="s">
        <v>1026</v>
      </c>
      <c r="D30" s="26" t="s">
        <v>171</v>
      </c>
      <c r="E30" s="27">
        <v>0</v>
      </c>
      <c r="F30" s="27">
        <v>0</v>
      </c>
      <c r="G30" s="27">
        <v>0</v>
      </c>
      <c r="H30" s="27">
        <v>0</v>
      </c>
      <c r="I30" s="27">
        <v>0</v>
      </c>
      <c r="J30" s="27">
        <v>0</v>
      </c>
      <c r="K30" s="27">
        <v>0</v>
      </c>
      <c r="L30" s="27">
        <v>0</v>
      </c>
      <c r="M30" s="27">
        <v>0</v>
      </c>
      <c r="N30" s="27">
        <v>0</v>
      </c>
      <c r="O30" s="27">
        <v>0</v>
      </c>
      <c r="P30" s="27">
        <v>0</v>
      </c>
      <c r="Q30" s="3">
        <f t="shared" si="2"/>
        <v>0</v>
      </c>
      <c r="R30" s="39">
        <f>Q30/Summary!$Q$16</f>
        <v>0</v>
      </c>
      <c r="S30" s="35"/>
      <c r="T30" s="40">
        <f t="shared" si="1"/>
        <v>0</v>
      </c>
    </row>
    <row r="31" spans="1:20" s="3" customFormat="1" ht="24.95" hidden="1" customHeight="1">
      <c r="A31" s="3" t="s">
        <v>514</v>
      </c>
      <c r="B31" s="3" t="s">
        <v>1026</v>
      </c>
      <c r="D31" s="26" t="s">
        <v>515</v>
      </c>
      <c r="E31" s="27">
        <v>0</v>
      </c>
      <c r="F31" s="27">
        <v>0</v>
      </c>
      <c r="G31" s="27">
        <v>0</v>
      </c>
      <c r="H31" s="27">
        <v>0</v>
      </c>
      <c r="I31" s="27">
        <v>0</v>
      </c>
      <c r="J31" s="27">
        <v>0</v>
      </c>
      <c r="K31" s="27">
        <v>0</v>
      </c>
      <c r="L31" s="27">
        <v>0</v>
      </c>
      <c r="M31" s="27">
        <v>0</v>
      </c>
      <c r="N31" s="27">
        <v>0</v>
      </c>
      <c r="O31" s="27">
        <v>0</v>
      </c>
      <c r="P31" s="27">
        <v>0</v>
      </c>
      <c r="Q31" s="3">
        <f t="shared" si="2"/>
        <v>0</v>
      </c>
      <c r="R31" s="39">
        <f>Q31/Summary!$Q$16</f>
        <v>0</v>
      </c>
      <c r="S31" s="35"/>
      <c r="T31" s="40">
        <f t="shared" si="1"/>
        <v>0</v>
      </c>
    </row>
    <row r="32" spans="1:20" s="3" customFormat="1" ht="24.95" hidden="1" customHeight="1">
      <c r="A32" s="3" t="s">
        <v>516</v>
      </c>
      <c r="B32" s="3" t="s">
        <v>1026</v>
      </c>
      <c r="D32" s="26" t="s">
        <v>517</v>
      </c>
      <c r="E32" s="27">
        <v>0</v>
      </c>
      <c r="F32" s="27">
        <v>0</v>
      </c>
      <c r="G32" s="27">
        <v>0</v>
      </c>
      <c r="H32" s="27">
        <v>0</v>
      </c>
      <c r="I32" s="27">
        <v>0</v>
      </c>
      <c r="J32" s="27">
        <v>0</v>
      </c>
      <c r="K32" s="27">
        <v>0</v>
      </c>
      <c r="L32" s="27">
        <v>0</v>
      </c>
      <c r="M32" s="27">
        <v>0</v>
      </c>
      <c r="N32" s="27">
        <v>0</v>
      </c>
      <c r="O32" s="27">
        <v>0</v>
      </c>
      <c r="P32" s="27">
        <v>0</v>
      </c>
      <c r="Q32" s="3">
        <f t="shared" si="2"/>
        <v>0</v>
      </c>
      <c r="R32" s="39">
        <f>Q32/Summary!$Q$16</f>
        <v>0</v>
      </c>
      <c r="S32" s="35"/>
      <c r="T32" s="40">
        <f t="shared" si="1"/>
        <v>0</v>
      </c>
    </row>
    <row r="33" spans="1:20" s="3" customFormat="1" ht="24.95" hidden="1" customHeight="1">
      <c r="A33" s="3" t="s">
        <v>518</v>
      </c>
      <c r="B33" s="3" t="s">
        <v>1026</v>
      </c>
      <c r="D33" s="26" t="s">
        <v>519</v>
      </c>
      <c r="E33" s="27">
        <v>0</v>
      </c>
      <c r="F33" s="27">
        <v>0</v>
      </c>
      <c r="G33" s="27">
        <v>0</v>
      </c>
      <c r="H33" s="27">
        <v>0</v>
      </c>
      <c r="I33" s="27">
        <v>0</v>
      </c>
      <c r="J33" s="27">
        <v>0</v>
      </c>
      <c r="K33" s="27">
        <v>0</v>
      </c>
      <c r="L33" s="27">
        <v>0</v>
      </c>
      <c r="M33" s="27">
        <v>0</v>
      </c>
      <c r="N33" s="27">
        <v>0</v>
      </c>
      <c r="O33" s="27">
        <v>0</v>
      </c>
      <c r="P33" s="27">
        <v>0</v>
      </c>
      <c r="Q33" s="3">
        <f t="shared" si="2"/>
        <v>0</v>
      </c>
      <c r="R33" s="39">
        <f>Q33/Summary!$Q$16</f>
        <v>0</v>
      </c>
      <c r="S33" s="35"/>
      <c r="T33" s="40">
        <f t="shared" si="1"/>
        <v>0</v>
      </c>
    </row>
    <row r="34" spans="1:20" s="3" customFormat="1" ht="24.95" hidden="1" customHeight="1">
      <c r="A34" s="3" t="s">
        <v>520</v>
      </c>
      <c r="B34" s="3" t="s">
        <v>1026</v>
      </c>
      <c r="D34" s="26" t="s">
        <v>521</v>
      </c>
      <c r="E34" s="27">
        <v>0</v>
      </c>
      <c r="F34" s="27">
        <v>0</v>
      </c>
      <c r="G34" s="27">
        <v>0</v>
      </c>
      <c r="H34" s="27">
        <v>0</v>
      </c>
      <c r="I34" s="27">
        <v>0</v>
      </c>
      <c r="J34" s="27">
        <v>0</v>
      </c>
      <c r="K34" s="27">
        <v>0</v>
      </c>
      <c r="L34" s="27">
        <v>0</v>
      </c>
      <c r="M34" s="27">
        <v>0</v>
      </c>
      <c r="N34" s="27">
        <v>0</v>
      </c>
      <c r="O34" s="27">
        <v>0</v>
      </c>
      <c r="P34" s="27">
        <v>0</v>
      </c>
      <c r="Q34" s="3">
        <f t="shared" si="2"/>
        <v>0</v>
      </c>
      <c r="R34" s="39">
        <f>Q34/Summary!$Q$16</f>
        <v>0</v>
      </c>
      <c r="S34" s="35"/>
      <c r="T34" s="40">
        <f t="shared" si="1"/>
        <v>0</v>
      </c>
    </row>
    <row r="35" spans="1:20" s="3" customFormat="1" ht="24.95" hidden="1" customHeight="1">
      <c r="A35" s="3" t="s">
        <v>522</v>
      </c>
      <c r="B35" s="3" t="s">
        <v>1026</v>
      </c>
      <c r="D35" s="26" t="s">
        <v>523</v>
      </c>
      <c r="E35" s="27">
        <v>0</v>
      </c>
      <c r="F35" s="27">
        <v>0</v>
      </c>
      <c r="G35" s="27">
        <v>0</v>
      </c>
      <c r="H35" s="27">
        <v>0</v>
      </c>
      <c r="I35" s="27">
        <v>0</v>
      </c>
      <c r="J35" s="27">
        <v>0</v>
      </c>
      <c r="K35" s="27">
        <v>0</v>
      </c>
      <c r="L35" s="27">
        <v>0</v>
      </c>
      <c r="M35" s="27">
        <v>0</v>
      </c>
      <c r="N35" s="27">
        <v>0</v>
      </c>
      <c r="O35" s="27">
        <v>0</v>
      </c>
      <c r="P35" s="27">
        <v>0</v>
      </c>
      <c r="Q35" s="3">
        <f t="shared" si="2"/>
        <v>0</v>
      </c>
      <c r="R35" s="39">
        <f>Q35/Summary!$Q$16</f>
        <v>0</v>
      </c>
      <c r="S35" s="35"/>
      <c r="T35" s="40">
        <f t="shared" si="1"/>
        <v>0</v>
      </c>
    </row>
    <row r="36" spans="1:20" s="3" customFormat="1" ht="24.95" hidden="1" customHeight="1">
      <c r="A36" s="3" t="s">
        <v>524</v>
      </c>
      <c r="B36" s="3" t="s">
        <v>1026</v>
      </c>
      <c r="D36" s="26" t="s">
        <v>525</v>
      </c>
      <c r="E36" s="27">
        <v>0</v>
      </c>
      <c r="F36" s="27">
        <v>0</v>
      </c>
      <c r="G36" s="27">
        <v>0</v>
      </c>
      <c r="H36" s="27">
        <v>0</v>
      </c>
      <c r="I36" s="27">
        <v>0</v>
      </c>
      <c r="J36" s="27">
        <v>0</v>
      </c>
      <c r="K36" s="27">
        <v>0</v>
      </c>
      <c r="L36" s="27">
        <v>0</v>
      </c>
      <c r="M36" s="27">
        <v>0</v>
      </c>
      <c r="N36" s="27">
        <v>0</v>
      </c>
      <c r="O36" s="27">
        <v>0</v>
      </c>
      <c r="P36" s="27">
        <v>0</v>
      </c>
      <c r="Q36" s="3">
        <f t="shared" si="2"/>
        <v>0</v>
      </c>
      <c r="R36" s="39">
        <f>Q36/Summary!$Q$16</f>
        <v>0</v>
      </c>
      <c r="S36" s="35"/>
      <c r="T36" s="40">
        <f t="shared" si="1"/>
        <v>0</v>
      </c>
    </row>
    <row r="37" spans="1:20" s="3" customFormat="1" ht="24.95" hidden="1" customHeight="1">
      <c r="A37" s="3" t="s">
        <v>526</v>
      </c>
      <c r="B37" s="3" t="s">
        <v>1026</v>
      </c>
      <c r="D37" s="26" t="s">
        <v>527</v>
      </c>
      <c r="E37" s="27">
        <v>0</v>
      </c>
      <c r="F37" s="27">
        <v>0</v>
      </c>
      <c r="G37" s="27">
        <v>0</v>
      </c>
      <c r="H37" s="27">
        <v>0</v>
      </c>
      <c r="I37" s="27">
        <v>0</v>
      </c>
      <c r="J37" s="27">
        <v>0</v>
      </c>
      <c r="K37" s="27">
        <v>0</v>
      </c>
      <c r="L37" s="27">
        <v>0</v>
      </c>
      <c r="M37" s="27">
        <v>0</v>
      </c>
      <c r="N37" s="27">
        <v>0</v>
      </c>
      <c r="O37" s="27">
        <v>0</v>
      </c>
      <c r="P37" s="27">
        <v>0</v>
      </c>
      <c r="Q37" s="3">
        <f t="shared" si="2"/>
        <v>0</v>
      </c>
      <c r="R37" s="39">
        <f>Q37/Summary!$Q$16</f>
        <v>0</v>
      </c>
      <c r="S37" s="35"/>
      <c r="T37" s="40">
        <f t="shared" si="1"/>
        <v>0</v>
      </c>
    </row>
    <row r="38" spans="1:20" s="3" customFormat="1" ht="24.95" hidden="1" customHeight="1">
      <c r="A38" s="3" t="s">
        <v>528</v>
      </c>
      <c r="B38" s="3" t="s">
        <v>1026</v>
      </c>
      <c r="D38" s="26" t="s">
        <v>529</v>
      </c>
      <c r="E38" s="27">
        <v>0</v>
      </c>
      <c r="F38" s="27">
        <v>0</v>
      </c>
      <c r="G38" s="27">
        <v>0</v>
      </c>
      <c r="H38" s="27">
        <v>0</v>
      </c>
      <c r="I38" s="27">
        <v>0</v>
      </c>
      <c r="J38" s="27">
        <v>0</v>
      </c>
      <c r="K38" s="27">
        <v>0</v>
      </c>
      <c r="L38" s="27">
        <v>0</v>
      </c>
      <c r="M38" s="27">
        <v>0</v>
      </c>
      <c r="N38" s="27">
        <v>0</v>
      </c>
      <c r="O38" s="27">
        <v>0</v>
      </c>
      <c r="P38" s="27">
        <v>0</v>
      </c>
      <c r="Q38" s="3">
        <f t="shared" si="2"/>
        <v>0</v>
      </c>
      <c r="R38" s="39">
        <f>Q38/Summary!$Q$16</f>
        <v>0</v>
      </c>
      <c r="S38" s="35"/>
      <c r="T38" s="40">
        <f t="shared" si="1"/>
        <v>0</v>
      </c>
    </row>
    <row r="39" spans="1:20" s="3" customFormat="1" ht="24.95" hidden="1" customHeight="1">
      <c r="A39" s="3" t="s">
        <v>530</v>
      </c>
      <c r="B39" s="3" t="s">
        <v>1026</v>
      </c>
      <c r="D39" s="26" t="s">
        <v>531</v>
      </c>
      <c r="E39" s="27">
        <v>0</v>
      </c>
      <c r="F39" s="27">
        <v>0</v>
      </c>
      <c r="G39" s="27">
        <v>0</v>
      </c>
      <c r="H39" s="27">
        <v>0</v>
      </c>
      <c r="I39" s="27">
        <v>0</v>
      </c>
      <c r="J39" s="27">
        <v>0</v>
      </c>
      <c r="K39" s="27">
        <v>0</v>
      </c>
      <c r="L39" s="27">
        <v>0</v>
      </c>
      <c r="M39" s="27">
        <v>0</v>
      </c>
      <c r="N39" s="27">
        <v>0</v>
      </c>
      <c r="O39" s="27">
        <v>0</v>
      </c>
      <c r="P39" s="27">
        <v>0</v>
      </c>
      <c r="Q39" s="3">
        <f t="shared" si="2"/>
        <v>0</v>
      </c>
      <c r="R39" s="39">
        <f>Q39/Summary!$Q$16</f>
        <v>0</v>
      </c>
      <c r="S39" s="35"/>
      <c r="T39" s="40">
        <f t="shared" si="1"/>
        <v>0</v>
      </c>
    </row>
    <row r="40" spans="1:20" s="3" customFormat="1" ht="24.95" hidden="1" customHeight="1">
      <c r="A40" s="3" t="s">
        <v>532</v>
      </c>
      <c r="B40" s="3" t="s">
        <v>1026</v>
      </c>
      <c r="D40" s="26" t="s">
        <v>1182</v>
      </c>
      <c r="E40" s="27">
        <v>0</v>
      </c>
      <c r="F40" s="27">
        <v>0</v>
      </c>
      <c r="G40" s="27">
        <v>0</v>
      </c>
      <c r="H40" s="27">
        <v>0</v>
      </c>
      <c r="I40" s="27">
        <v>0</v>
      </c>
      <c r="J40" s="27">
        <v>0</v>
      </c>
      <c r="K40" s="27">
        <v>0</v>
      </c>
      <c r="L40" s="27">
        <v>0</v>
      </c>
      <c r="M40" s="27">
        <v>0</v>
      </c>
      <c r="N40" s="27">
        <v>0</v>
      </c>
      <c r="O40" s="27">
        <v>0</v>
      </c>
      <c r="P40" s="27">
        <v>0</v>
      </c>
      <c r="Q40" s="3">
        <f t="shared" si="2"/>
        <v>0</v>
      </c>
      <c r="R40" s="39">
        <f>Q40/Summary!$Q$16</f>
        <v>0</v>
      </c>
      <c r="S40" s="35"/>
      <c r="T40" s="40">
        <f t="shared" si="1"/>
        <v>0</v>
      </c>
    </row>
    <row r="41" spans="1:20" s="3" customFormat="1" ht="24.95" hidden="1" customHeight="1">
      <c r="A41" s="3" t="s">
        <v>534</v>
      </c>
      <c r="B41" s="3" t="s">
        <v>1026</v>
      </c>
      <c r="D41" s="26" t="s">
        <v>535</v>
      </c>
      <c r="E41" s="27">
        <v>0</v>
      </c>
      <c r="F41" s="27">
        <v>0</v>
      </c>
      <c r="G41" s="27">
        <v>0</v>
      </c>
      <c r="H41" s="27">
        <v>0</v>
      </c>
      <c r="I41" s="27">
        <v>0</v>
      </c>
      <c r="J41" s="27">
        <v>0</v>
      </c>
      <c r="K41" s="27">
        <v>0</v>
      </c>
      <c r="L41" s="27">
        <v>0</v>
      </c>
      <c r="M41" s="27">
        <v>0</v>
      </c>
      <c r="N41" s="27">
        <v>0</v>
      </c>
      <c r="O41" s="27">
        <v>0</v>
      </c>
      <c r="P41" s="27">
        <v>0</v>
      </c>
      <c r="Q41" s="3">
        <f t="shared" si="2"/>
        <v>0</v>
      </c>
      <c r="R41" s="39">
        <f>Q41/Summary!$Q$16</f>
        <v>0</v>
      </c>
      <c r="S41" s="35"/>
      <c r="T41" s="40">
        <f t="shared" si="1"/>
        <v>0</v>
      </c>
    </row>
    <row r="42" spans="1:20" s="3" customFormat="1" ht="24.95" hidden="1" customHeight="1">
      <c r="A42" s="3" t="s">
        <v>536</v>
      </c>
      <c r="B42" s="3" t="s">
        <v>1026</v>
      </c>
      <c r="D42" s="26" t="s">
        <v>537</v>
      </c>
      <c r="E42" s="27">
        <v>0</v>
      </c>
      <c r="F42" s="27">
        <v>0</v>
      </c>
      <c r="G42" s="27">
        <v>0</v>
      </c>
      <c r="H42" s="27">
        <v>0</v>
      </c>
      <c r="I42" s="27">
        <v>0</v>
      </c>
      <c r="J42" s="27">
        <v>0</v>
      </c>
      <c r="K42" s="27">
        <v>0</v>
      </c>
      <c r="L42" s="27">
        <v>0</v>
      </c>
      <c r="M42" s="27">
        <v>0</v>
      </c>
      <c r="N42" s="27">
        <v>0</v>
      </c>
      <c r="O42" s="27">
        <v>0</v>
      </c>
      <c r="P42" s="27">
        <v>0</v>
      </c>
      <c r="Q42" s="3">
        <f t="shared" si="2"/>
        <v>0</v>
      </c>
      <c r="R42" s="39">
        <f>Q42/Summary!$Q$16</f>
        <v>0</v>
      </c>
      <c r="S42" s="35"/>
      <c r="T42" s="40">
        <f t="shared" si="1"/>
        <v>0</v>
      </c>
    </row>
    <row r="43" spans="1:20" s="3" customFormat="1" ht="33.75" hidden="1" customHeight="1">
      <c r="A43" s="3" t="s">
        <v>538</v>
      </c>
      <c r="B43" s="3" t="s">
        <v>1026</v>
      </c>
      <c r="D43" s="26" t="s">
        <v>539</v>
      </c>
      <c r="E43" s="27"/>
      <c r="F43" s="27"/>
      <c r="G43" s="27"/>
      <c r="H43" s="27"/>
      <c r="I43" s="27"/>
      <c r="J43" s="27"/>
      <c r="K43" s="27"/>
      <c r="L43" s="27"/>
      <c r="M43" s="27"/>
      <c r="N43" s="27"/>
      <c r="O43" s="27"/>
      <c r="P43" s="27"/>
      <c r="Q43" s="3">
        <f t="shared" si="2"/>
        <v>0</v>
      </c>
      <c r="R43" s="39">
        <f>Q43/Summary!$Q$16</f>
        <v>0</v>
      </c>
      <c r="S43" s="35"/>
      <c r="T43" s="40">
        <f t="shared" si="1"/>
        <v>0</v>
      </c>
    </row>
    <row r="44" spans="1:20" s="3" customFormat="1" ht="24.95" hidden="1" customHeight="1">
      <c r="A44" s="3" t="s">
        <v>540</v>
      </c>
      <c r="B44" s="3" t="s">
        <v>1026</v>
      </c>
      <c r="D44" s="26" t="s">
        <v>541</v>
      </c>
      <c r="E44" s="27"/>
      <c r="F44" s="27"/>
      <c r="G44" s="27"/>
      <c r="H44" s="27"/>
      <c r="I44" s="27"/>
      <c r="J44" s="27"/>
      <c r="K44" s="27"/>
      <c r="L44" s="27"/>
      <c r="M44" s="27"/>
      <c r="N44" s="27"/>
      <c r="O44" s="27"/>
      <c r="P44" s="27"/>
      <c r="Q44" s="3">
        <f t="shared" si="2"/>
        <v>0</v>
      </c>
      <c r="R44" s="39">
        <f>Q44/Summary!$Q$16</f>
        <v>0</v>
      </c>
      <c r="S44" s="35"/>
      <c r="T44" s="40">
        <f t="shared" si="1"/>
        <v>0</v>
      </c>
    </row>
    <row r="45" spans="1:20" s="3" customFormat="1" ht="24.95" hidden="1" customHeight="1">
      <c r="A45" s="3" t="s">
        <v>542</v>
      </c>
      <c r="B45" s="3" t="s">
        <v>1026</v>
      </c>
      <c r="D45" s="26" t="s">
        <v>543</v>
      </c>
      <c r="E45" s="27"/>
      <c r="F45" s="27"/>
      <c r="G45" s="27"/>
      <c r="H45" s="27"/>
      <c r="I45" s="27"/>
      <c r="J45" s="27"/>
      <c r="K45" s="27"/>
      <c r="L45" s="27"/>
      <c r="M45" s="27"/>
      <c r="N45" s="27"/>
      <c r="O45" s="27"/>
      <c r="P45" s="27"/>
      <c r="Q45" s="3">
        <f t="shared" si="2"/>
        <v>0</v>
      </c>
      <c r="R45" s="39">
        <f>Q45/Summary!$Q$16</f>
        <v>0</v>
      </c>
      <c r="S45" s="35"/>
      <c r="T45" s="40">
        <f t="shared" si="1"/>
        <v>0</v>
      </c>
    </row>
    <row r="46" spans="1:20" s="3" customFormat="1" ht="24.95" hidden="1" customHeight="1">
      <c r="A46" s="3" t="s">
        <v>544</v>
      </c>
      <c r="B46" s="3" t="s">
        <v>1026</v>
      </c>
      <c r="D46" s="29" t="s">
        <v>545</v>
      </c>
      <c r="E46" s="27"/>
      <c r="F46" s="27"/>
      <c r="G46" s="27"/>
      <c r="H46" s="27"/>
      <c r="I46" s="27"/>
      <c r="J46" s="27"/>
      <c r="K46" s="27"/>
      <c r="L46" s="27"/>
      <c r="M46" s="27"/>
      <c r="N46" s="27"/>
      <c r="O46" s="27"/>
      <c r="P46" s="27"/>
      <c r="Q46" s="3">
        <f t="shared" si="2"/>
        <v>0</v>
      </c>
      <c r="R46" s="39">
        <f>Q46/Summary!$Q$16</f>
        <v>0</v>
      </c>
      <c r="S46" s="35"/>
      <c r="T46" s="40">
        <f t="shared" si="1"/>
        <v>0</v>
      </c>
    </row>
    <row r="47" spans="1:20" s="3" customFormat="1" ht="24.95" hidden="1" customHeight="1">
      <c r="A47" s="3" t="s">
        <v>546</v>
      </c>
      <c r="B47" s="3" t="s">
        <v>1026</v>
      </c>
      <c r="D47" s="26" t="s">
        <v>547</v>
      </c>
      <c r="E47" s="27"/>
      <c r="F47" s="27"/>
      <c r="G47" s="27"/>
      <c r="H47" s="27"/>
      <c r="I47" s="27"/>
      <c r="J47" s="27"/>
      <c r="K47" s="27"/>
      <c r="L47" s="27"/>
      <c r="M47" s="27"/>
      <c r="N47" s="27"/>
      <c r="O47" s="27"/>
      <c r="P47" s="27"/>
      <c r="Q47" s="3">
        <f t="shared" si="2"/>
        <v>0</v>
      </c>
      <c r="R47" s="39">
        <f>Q47/Summary!$Q$16</f>
        <v>0</v>
      </c>
      <c r="S47" s="35"/>
      <c r="T47" s="40">
        <f t="shared" ref="T47:T68" si="3">IF(Q47-S47=0,0,(Q47-S47)/S47)</f>
        <v>0</v>
      </c>
    </row>
    <row r="48" spans="1:20" s="3" customFormat="1" ht="24.95" hidden="1" customHeight="1">
      <c r="A48" s="3" t="s">
        <v>548</v>
      </c>
      <c r="B48" s="3" t="s">
        <v>1026</v>
      </c>
      <c r="D48" s="26" t="s">
        <v>549</v>
      </c>
      <c r="E48" s="27"/>
      <c r="F48" s="27"/>
      <c r="G48" s="27"/>
      <c r="H48" s="27"/>
      <c r="I48" s="27"/>
      <c r="J48" s="27"/>
      <c r="K48" s="27"/>
      <c r="L48" s="27"/>
      <c r="M48" s="27"/>
      <c r="N48" s="27"/>
      <c r="O48" s="27"/>
      <c r="P48" s="27"/>
      <c r="Q48" s="3">
        <f t="shared" si="2"/>
        <v>0</v>
      </c>
      <c r="R48" s="39">
        <f>Q48/Summary!$Q$16</f>
        <v>0</v>
      </c>
      <c r="S48" s="35"/>
      <c r="T48" s="40">
        <f t="shared" si="3"/>
        <v>0</v>
      </c>
    </row>
    <row r="49" spans="1:20" s="3" customFormat="1" ht="24.95" hidden="1" customHeight="1">
      <c r="A49" s="3" t="s">
        <v>550</v>
      </c>
      <c r="B49" s="3" t="s">
        <v>1026</v>
      </c>
      <c r="D49" s="26" t="s">
        <v>551</v>
      </c>
      <c r="E49" s="27"/>
      <c r="F49" s="27"/>
      <c r="G49" s="27"/>
      <c r="H49" s="27"/>
      <c r="I49" s="27"/>
      <c r="J49" s="27"/>
      <c r="K49" s="27"/>
      <c r="L49" s="27"/>
      <c r="M49" s="27"/>
      <c r="N49" s="27"/>
      <c r="O49" s="27"/>
      <c r="P49" s="27"/>
      <c r="Q49" s="3">
        <f t="shared" si="2"/>
        <v>0</v>
      </c>
      <c r="R49" s="39">
        <f>Q49/Summary!$Q$16</f>
        <v>0</v>
      </c>
      <c r="S49" s="35"/>
      <c r="T49" s="40">
        <f t="shared" si="3"/>
        <v>0</v>
      </c>
    </row>
    <row r="50" spans="1:20" s="3" customFormat="1" ht="24.95" hidden="1" customHeight="1">
      <c r="A50" s="3" t="s">
        <v>552</v>
      </c>
      <c r="B50" s="3" t="s">
        <v>1026</v>
      </c>
      <c r="D50" s="26" t="s">
        <v>553</v>
      </c>
      <c r="E50" s="27"/>
      <c r="F50" s="27"/>
      <c r="G50" s="27"/>
      <c r="H50" s="27"/>
      <c r="I50" s="27"/>
      <c r="J50" s="27"/>
      <c r="K50" s="27"/>
      <c r="L50" s="27"/>
      <c r="M50" s="27"/>
      <c r="N50" s="27"/>
      <c r="O50" s="27"/>
      <c r="P50" s="27"/>
      <c r="Q50" s="3">
        <f t="shared" si="2"/>
        <v>0</v>
      </c>
      <c r="R50" s="39">
        <f>Q50/Summary!$Q$16</f>
        <v>0</v>
      </c>
      <c r="S50" s="35"/>
      <c r="T50" s="40">
        <f t="shared" si="3"/>
        <v>0</v>
      </c>
    </row>
    <row r="51" spans="1:20" s="3" customFormat="1" ht="24.95" hidden="1" customHeight="1">
      <c r="A51" s="3" t="s">
        <v>554</v>
      </c>
      <c r="B51" s="3" t="s">
        <v>1026</v>
      </c>
      <c r="D51" s="26" t="s">
        <v>555</v>
      </c>
      <c r="E51" s="27"/>
      <c r="F51" s="27"/>
      <c r="G51" s="27"/>
      <c r="H51" s="27"/>
      <c r="I51" s="27"/>
      <c r="J51" s="27"/>
      <c r="K51" s="27"/>
      <c r="L51" s="27"/>
      <c r="M51" s="27"/>
      <c r="N51" s="27"/>
      <c r="O51" s="27"/>
      <c r="P51" s="27"/>
      <c r="Q51" s="3">
        <f t="shared" si="2"/>
        <v>0</v>
      </c>
      <c r="R51" s="39">
        <f>Q51/Summary!$Q$16</f>
        <v>0</v>
      </c>
      <c r="S51" s="35"/>
      <c r="T51" s="40">
        <f t="shared" si="3"/>
        <v>0</v>
      </c>
    </row>
    <row r="52" spans="1:20" s="3" customFormat="1" ht="24.95" hidden="1" customHeight="1">
      <c r="A52" s="3" t="s">
        <v>556</v>
      </c>
      <c r="B52" s="3" t="s">
        <v>1026</v>
      </c>
      <c r="D52" s="26" t="s">
        <v>557</v>
      </c>
      <c r="E52" s="27"/>
      <c r="F52" s="27"/>
      <c r="G52" s="27"/>
      <c r="H52" s="27"/>
      <c r="I52" s="27"/>
      <c r="J52" s="27"/>
      <c r="K52" s="27"/>
      <c r="L52" s="27"/>
      <c r="M52" s="27"/>
      <c r="N52" s="27"/>
      <c r="O52" s="27"/>
      <c r="P52" s="27"/>
      <c r="Q52" s="3">
        <f t="shared" si="2"/>
        <v>0</v>
      </c>
      <c r="R52" s="39">
        <f>Q52/Summary!$Q$16</f>
        <v>0</v>
      </c>
      <c r="S52" s="35"/>
      <c r="T52" s="40">
        <f t="shared" si="3"/>
        <v>0</v>
      </c>
    </row>
    <row r="53" spans="1:20" s="3" customFormat="1" ht="24.95" hidden="1" customHeight="1">
      <c r="A53" s="3" t="s">
        <v>558</v>
      </c>
      <c r="B53" s="3" t="s">
        <v>1026</v>
      </c>
      <c r="D53" s="29" t="s">
        <v>559</v>
      </c>
      <c r="E53" s="27"/>
      <c r="F53" s="27"/>
      <c r="G53" s="27"/>
      <c r="H53" s="27"/>
      <c r="I53" s="27"/>
      <c r="J53" s="27"/>
      <c r="K53" s="27"/>
      <c r="L53" s="27"/>
      <c r="M53" s="27"/>
      <c r="N53" s="27"/>
      <c r="O53" s="27"/>
      <c r="P53" s="27"/>
      <c r="Q53" s="3">
        <f t="shared" si="2"/>
        <v>0</v>
      </c>
      <c r="R53" s="39">
        <f>Q53/Summary!$Q$16</f>
        <v>0</v>
      </c>
      <c r="S53" s="35"/>
      <c r="T53" s="40">
        <f t="shared" si="3"/>
        <v>0</v>
      </c>
    </row>
    <row r="54" spans="1:20" s="3" customFormat="1" ht="24.95" hidden="1" customHeight="1">
      <c r="A54" s="3" t="s">
        <v>560</v>
      </c>
      <c r="B54" s="3" t="s">
        <v>1026</v>
      </c>
      <c r="D54" s="26" t="s">
        <v>561</v>
      </c>
      <c r="E54" s="27"/>
      <c r="F54" s="27"/>
      <c r="G54" s="27"/>
      <c r="H54" s="27"/>
      <c r="I54" s="27"/>
      <c r="J54" s="27"/>
      <c r="K54" s="27"/>
      <c r="L54" s="27"/>
      <c r="M54" s="27"/>
      <c r="N54" s="27"/>
      <c r="O54" s="27"/>
      <c r="P54" s="27"/>
      <c r="Q54" s="3">
        <f t="shared" si="2"/>
        <v>0</v>
      </c>
      <c r="R54" s="39">
        <f>Q54/Summary!$Q$16</f>
        <v>0</v>
      </c>
      <c r="S54" s="35"/>
      <c r="T54" s="40">
        <f t="shared" si="3"/>
        <v>0</v>
      </c>
    </row>
    <row r="55" spans="1:20" s="3" customFormat="1" ht="24.95" hidden="1" customHeight="1">
      <c r="A55" s="3" t="s">
        <v>562</v>
      </c>
      <c r="B55" s="3" t="s">
        <v>1026</v>
      </c>
      <c r="D55" s="29" t="s">
        <v>563</v>
      </c>
      <c r="E55" s="27"/>
      <c r="F55" s="27"/>
      <c r="G55" s="27"/>
      <c r="H55" s="27"/>
      <c r="I55" s="27"/>
      <c r="J55" s="27"/>
      <c r="K55" s="27"/>
      <c r="L55" s="27"/>
      <c r="M55" s="27"/>
      <c r="N55" s="27"/>
      <c r="O55" s="27"/>
      <c r="P55" s="27"/>
      <c r="Q55" s="3">
        <f t="shared" si="2"/>
        <v>0</v>
      </c>
      <c r="R55" s="39">
        <f>Q55/Summary!$Q$16</f>
        <v>0</v>
      </c>
      <c r="S55" s="35"/>
      <c r="T55" s="40">
        <f t="shared" si="3"/>
        <v>0</v>
      </c>
    </row>
    <row r="56" spans="1:20" s="3" customFormat="1" ht="24.95" hidden="1" customHeight="1">
      <c r="A56" s="3" t="s">
        <v>564</v>
      </c>
      <c r="B56" s="3" t="s">
        <v>1026</v>
      </c>
      <c r="D56" s="26" t="s">
        <v>565</v>
      </c>
      <c r="E56" s="27"/>
      <c r="F56" s="27"/>
      <c r="G56" s="27"/>
      <c r="H56" s="27"/>
      <c r="I56" s="27"/>
      <c r="J56" s="27"/>
      <c r="K56" s="27"/>
      <c r="L56" s="27"/>
      <c r="M56" s="27"/>
      <c r="N56" s="27"/>
      <c r="O56" s="27"/>
      <c r="P56" s="27"/>
      <c r="Q56" s="3">
        <f t="shared" si="2"/>
        <v>0</v>
      </c>
      <c r="R56" s="39">
        <f>Q56/Summary!$Q$16</f>
        <v>0</v>
      </c>
      <c r="S56" s="35"/>
      <c r="T56" s="40">
        <f t="shared" si="3"/>
        <v>0</v>
      </c>
    </row>
    <row r="57" spans="1:20" s="3" customFormat="1" ht="24.95" hidden="1" customHeight="1">
      <c r="A57" s="3" t="s">
        <v>566</v>
      </c>
      <c r="B57" s="3" t="s">
        <v>1026</v>
      </c>
      <c r="D57" s="26" t="s">
        <v>567</v>
      </c>
      <c r="E57" s="27"/>
      <c r="F57" s="27"/>
      <c r="G57" s="27"/>
      <c r="H57" s="27"/>
      <c r="I57" s="27"/>
      <c r="J57" s="27"/>
      <c r="K57" s="27"/>
      <c r="L57" s="27"/>
      <c r="M57" s="27"/>
      <c r="N57" s="27"/>
      <c r="O57" s="27"/>
      <c r="P57" s="27"/>
      <c r="Q57" s="3">
        <f t="shared" si="2"/>
        <v>0</v>
      </c>
      <c r="R57" s="39">
        <f>Q57/Summary!$Q$16</f>
        <v>0</v>
      </c>
      <c r="S57" s="35"/>
      <c r="T57" s="40">
        <f t="shared" si="3"/>
        <v>0</v>
      </c>
    </row>
    <row r="58" spans="1:20" s="3" customFormat="1" ht="24.95" hidden="1" customHeight="1">
      <c r="A58" s="3" t="s">
        <v>568</v>
      </c>
      <c r="B58" s="3" t="s">
        <v>1026</v>
      </c>
      <c r="D58" s="26" t="s">
        <v>569</v>
      </c>
      <c r="E58" s="27"/>
      <c r="F58" s="27"/>
      <c r="G58" s="27"/>
      <c r="H58" s="27"/>
      <c r="I58" s="27"/>
      <c r="J58" s="27"/>
      <c r="K58" s="27"/>
      <c r="L58" s="27"/>
      <c r="M58" s="27"/>
      <c r="N58" s="27"/>
      <c r="O58" s="27"/>
      <c r="P58" s="27"/>
      <c r="Q58" s="3">
        <f t="shared" si="2"/>
        <v>0</v>
      </c>
      <c r="R58" s="39">
        <f>Q58/Summary!$Q$16</f>
        <v>0</v>
      </c>
      <c r="S58" s="35"/>
      <c r="T58" s="40">
        <f t="shared" si="3"/>
        <v>0</v>
      </c>
    </row>
    <row r="59" spans="1:20" s="3" customFormat="1" ht="24.95" hidden="1" customHeight="1">
      <c r="A59" s="3" t="s">
        <v>570</v>
      </c>
      <c r="B59" s="3" t="s">
        <v>1026</v>
      </c>
      <c r="D59" s="26" t="s">
        <v>571</v>
      </c>
      <c r="E59" s="27"/>
      <c r="F59" s="27"/>
      <c r="G59" s="27"/>
      <c r="H59" s="27"/>
      <c r="I59" s="27"/>
      <c r="J59" s="27"/>
      <c r="K59" s="27"/>
      <c r="L59" s="27"/>
      <c r="M59" s="27"/>
      <c r="N59" s="27"/>
      <c r="O59" s="27"/>
      <c r="P59" s="27"/>
      <c r="Q59" s="3">
        <f t="shared" si="2"/>
        <v>0</v>
      </c>
      <c r="R59" s="39">
        <f>Q59/Summary!$Q$16</f>
        <v>0</v>
      </c>
      <c r="S59" s="35"/>
      <c r="T59" s="40">
        <f t="shared" si="3"/>
        <v>0</v>
      </c>
    </row>
    <row r="60" spans="1:20" s="3" customFormat="1" ht="24.95" hidden="1" customHeight="1">
      <c r="A60" s="3" t="s">
        <v>572</v>
      </c>
      <c r="B60" s="3" t="s">
        <v>1026</v>
      </c>
      <c r="D60" s="26" t="s">
        <v>573</v>
      </c>
      <c r="E60" s="27"/>
      <c r="F60" s="27"/>
      <c r="G60" s="27"/>
      <c r="H60" s="27"/>
      <c r="I60" s="27"/>
      <c r="J60" s="27"/>
      <c r="K60" s="27"/>
      <c r="L60" s="27"/>
      <c r="M60" s="27"/>
      <c r="N60" s="27"/>
      <c r="O60" s="27"/>
      <c r="P60" s="27"/>
      <c r="Q60" s="3">
        <f t="shared" si="2"/>
        <v>0</v>
      </c>
      <c r="R60" s="39">
        <f>Q60/Summary!$Q$16</f>
        <v>0</v>
      </c>
      <c r="S60" s="35"/>
      <c r="T60" s="40">
        <f t="shared" si="3"/>
        <v>0</v>
      </c>
    </row>
    <row r="61" spans="1:20" s="3" customFormat="1" ht="24.95" hidden="1" customHeight="1">
      <c r="A61" s="3" t="s">
        <v>574</v>
      </c>
      <c r="B61" s="3" t="s">
        <v>1026</v>
      </c>
      <c r="D61" s="26" t="s">
        <v>575</v>
      </c>
      <c r="E61" s="27"/>
      <c r="F61" s="27"/>
      <c r="G61" s="27"/>
      <c r="H61" s="27"/>
      <c r="I61" s="27"/>
      <c r="J61" s="27"/>
      <c r="K61" s="27"/>
      <c r="L61" s="27"/>
      <c r="M61" s="27"/>
      <c r="N61" s="27"/>
      <c r="O61" s="27"/>
      <c r="P61" s="27"/>
      <c r="Q61" s="3">
        <f t="shared" si="2"/>
        <v>0</v>
      </c>
      <c r="R61" s="39">
        <f>Q61/Summary!$Q$16</f>
        <v>0</v>
      </c>
      <c r="S61" s="35"/>
      <c r="T61" s="40">
        <f t="shared" si="3"/>
        <v>0</v>
      </c>
    </row>
    <row r="62" spans="1:20" s="3" customFormat="1" ht="24.95" hidden="1" customHeight="1">
      <c r="A62" s="3" t="s">
        <v>576</v>
      </c>
      <c r="B62" s="3" t="s">
        <v>1026</v>
      </c>
      <c r="D62" s="26" t="s">
        <v>577</v>
      </c>
      <c r="E62" s="27"/>
      <c r="F62" s="27"/>
      <c r="G62" s="27"/>
      <c r="H62" s="27"/>
      <c r="I62" s="27"/>
      <c r="J62" s="27"/>
      <c r="K62" s="27"/>
      <c r="L62" s="27"/>
      <c r="M62" s="27"/>
      <c r="N62" s="27"/>
      <c r="O62" s="27"/>
      <c r="P62" s="27"/>
      <c r="Q62" s="3">
        <f t="shared" si="2"/>
        <v>0</v>
      </c>
      <c r="R62" s="39">
        <f>Q62/Summary!$Q$16</f>
        <v>0</v>
      </c>
      <c r="S62" s="35"/>
      <c r="T62" s="40">
        <f t="shared" si="3"/>
        <v>0</v>
      </c>
    </row>
    <row r="63" spans="1:20" s="3" customFormat="1" ht="24.95" hidden="1" customHeight="1">
      <c r="A63" s="3" t="s">
        <v>578</v>
      </c>
      <c r="B63" s="3" t="s">
        <v>1026</v>
      </c>
      <c r="D63" s="26" t="s">
        <v>579</v>
      </c>
      <c r="E63" s="27"/>
      <c r="F63" s="27"/>
      <c r="G63" s="27"/>
      <c r="H63" s="27"/>
      <c r="I63" s="27"/>
      <c r="J63" s="27"/>
      <c r="K63" s="27"/>
      <c r="L63" s="27"/>
      <c r="M63" s="27"/>
      <c r="N63" s="27"/>
      <c r="O63" s="27"/>
      <c r="P63" s="27"/>
      <c r="Q63" s="3">
        <f t="shared" si="2"/>
        <v>0</v>
      </c>
      <c r="R63" s="39">
        <f>Q63/Summary!$Q$16</f>
        <v>0</v>
      </c>
      <c r="S63" s="35"/>
      <c r="T63" s="40">
        <f t="shared" si="3"/>
        <v>0</v>
      </c>
    </row>
    <row r="64" spans="1:20" s="3" customFormat="1" ht="24.95" hidden="1" customHeight="1">
      <c r="A64" s="3" t="s">
        <v>580</v>
      </c>
      <c r="B64" s="3" t="s">
        <v>1026</v>
      </c>
      <c r="D64" s="26" t="s">
        <v>581</v>
      </c>
      <c r="E64" s="27"/>
      <c r="F64" s="27"/>
      <c r="G64" s="27"/>
      <c r="H64" s="27"/>
      <c r="I64" s="27"/>
      <c r="J64" s="27"/>
      <c r="K64" s="27"/>
      <c r="L64" s="27"/>
      <c r="M64" s="27"/>
      <c r="N64" s="27"/>
      <c r="O64" s="27"/>
      <c r="P64" s="27"/>
      <c r="Q64" s="3">
        <f t="shared" si="2"/>
        <v>0</v>
      </c>
      <c r="R64" s="39">
        <f>Q64/Summary!$Q$16</f>
        <v>0</v>
      </c>
      <c r="S64" s="35"/>
      <c r="T64" s="40">
        <f t="shared" si="3"/>
        <v>0</v>
      </c>
    </row>
    <row r="65" spans="1:20" s="3" customFormat="1" ht="24.95" hidden="1" customHeight="1">
      <c r="A65" s="3" t="s">
        <v>582</v>
      </c>
      <c r="B65" s="3" t="s">
        <v>1026</v>
      </c>
      <c r="D65" s="26" t="s">
        <v>583</v>
      </c>
      <c r="E65" s="27"/>
      <c r="F65" s="27"/>
      <c r="G65" s="27"/>
      <c r="H65" s="27"/>
      <c r="I65" s="27"/>
      <c r="J65" s="27"/>
      <c r="K65" s="27"/>
      <c r="L65" s="27"/>
      <c r="M65" s="27"/>
      <c r="N65" s="27"/>
      <c r="O65" s="27"/>
      <c r="P65" s="27"/>
      <c r="Q65" s="3">
        <f t="shared" si="2"/>
        <v>0</v>
      </c>
      <c r="R65" s="39">
        <f>Q65/Summary!$Q$16</f>
        <v>0</v>
      </c>
      <c r="S65" s="35"/>
      <c r="T65" s="40">
        <f t="shared" si="3"/>
        <v>0</v>
      </c>
    </row>
    <row r="66" spans="1:20" s="3" customFormat="1" ht="24.95" hidden="1" customHeight="1">
      <c r="A66" s="3" t="s">
        <v>584</v>
      </c>
      <c r="B66" s="3" t="s">
        <v>1026</v>
      </c>
      <c r="D66" s="26" t="s">
        <v>585</v>
      </c>
      <c r="E66" s="27"/>
      <c r="F66" s="27"/>
      <c r="G66" s="27"/>
      <c r="H66" s="27"/>
      <c r="I66" s="27"/>
      <c r="J66" s="27"/>
      <c r="K66" s="27"/>
      <c r="L66" s="27"/>
      <c r="M66" s="27"/>
      <c r="N66" s="27"/>
      <c r="O66" s="27"/>
      <c r="P66" s="27"/>
      <c r="Q66" s="3">
        <f t="shared" si="2"/>
        <v>0</v>
      </c>
      <c r="R66" s="39">
        <f>Q66/Summary!$Q$16</f>
        <v>0</v>
      </c>
      <c r="S66" s="35"/>
      <c r="T66" s="40">
        <f t="shared" si="3"/>
        <v>0</v>
      </c>
    </row>
    <row r="67" spans="1:20" s="3" customFormat="1" ht="24" hidden="1" customHeight="1">
      <c r="A67" s="3" t="s">
        <v>586</v>
      </c>
      <c r="B67" s="3" t="s">
        <v>1026</v>
      </c>
      <c r="D67" s="26" t="s">
        <v>587</v>
      </c>
      <c r="E67" s="27"/>
      <c r="F67" s="27"/>
      <c r="G67" s="27"/>
      <c r="H67" s="27"/>
      <c r="I67" s="27"/>
      <c r="J67" s="27"/>
      <c r="K67" s="27"/>
      <c r="L67" s="27"/>
      <c r="M67" s="27"/>
      <c r="N67" s="27"/>
      <c r="O67" s="27"/>
      <c r="P67" s="27"/>
      <c r="Q67" s="3">
        <f t="shared" si="2"/>
        <v>0</v>
      </c>
      <c r="R67" s="39">
        <f>Q67/Summary!$Q$16</f>
        <v>0</v>
      </c>
      <c r="S67" s="35"/>
      <c r="T67" s="40">
        <f t="shared" si="3"/>
        <v>0</v>
      </c>
    </row>
    <row r="68" spans="1:20" s="3" customFormat="1" ht="27" hidden="1" customHeight="1">
      <c r="A68" s="3" t="s">
        <v>588</v>
      </c>
      <c r="B68" s="3" t="s">
        <v>1026</v>
      </c>
      <c r="D68" s="26" t="s">
        <v>589</v>
      </c>
      <c r="E68" s="27"/>
      <c r="F68" s="27"/>
      <c r="G68" s="27"/>
      <c r="H68" s="27"/>
      <c r="I68" s="27"/>
      <c r="J68" s="27"/>
      <c r="K68" s="27"/>
      <c r="L68" s="27"/>
      <c r="M68" s="27"/>
      <c r="N68" s="27"/>
      <c r="O68" s="27"/>
      <c r="P68" s="27"/>
      <c r="Q68" s="3">
        <f t="shared" si="2"/>
        <v>0</v>
      </c>
      <c r="R68" s="39">
        <f>Q68/Summary!$Q$16</f>
        <v>0</v>
      </c>
      <c r="S68" s="35"/>
      <c r="T68" s="40">
        <f t="shared" si="3"/>
        <v>0</v>
      </c>
    </row>
    <row r="69" spans="1:20" s="3" customFormat="1" ht="24.95" customHeight="1">
      <c r="A69" s="3" t="s">
        <v>590</v>
      </c>
      <c r="B69" s="3" t="s">
        <v>1026</v>
      </c>
      <c r="D69" s="26" t="s">
        <v>591</v>
      </c>
      <c r="E69" s="27"/>
      <c r="F69" s="27"/>
      <c r="G69" s="27"/>
      <c r="H69" s="27"/>
      <c r="I69" s="27"/>
      <c r="J69" s="27"/>
      <c r="K69" s="27"/>
      <c r="L69" s="27"/>
      <c r="M69" s="27"/>
      <c r="N69" s="27"/>
      <c r="O69" s="27"/>
      <c r="P69" s="27"/>
      <c r="Q69" s="3">
        <f t="shared" si="2"/>
        <v>0</v>
      </c>
      <c r="R69" s="39">
        <f>Q69/Summary!$Q$16</f>
        <v>0</v>
      </c>
      <c r="S69" s="35"/>
      <c r="T69" s="40">
        <f t="shared" ref="T69:T100" si="4">-IF(Q69-S69=0,0,(Q69-S69)/S69)</f>
        <v>0</v>
      </c>
    </row>
    <row r="70" spans="1:20" s="3" customFormat="1" ht="24.95" customHeight="1">
      <c r="A70" s="3" t="s">
        <v>592</v>
      </c>
      <c r="B70" s="3" t="s">
        <v>1026</v>
      </c>
      <c r="D70" s="26" t="s">
        <v>593</v>
      </c>
      <c r="E70" s="27">
        <f>Laundry!E210</f>
        <v>364.7</v>
      </c>
      <c r="F70" s="27">
        <f>Laundry!F210</f>
        <v>391.16</v>
      </c>
      <c r="G70" s="27">
        <f>Laundry!G210</f>
        <v>363.72</v>
      </c>
      <c r="H70" s="27">
        <f>Laundry!H210</f>
        <v>393.43</v>
      </c>
      <c r="I70" s="27">
        <f>Laundry!I210</f>
        <v>397.09</v>
      </c>
      <c r="J70" s="27">
        <f>Laundry!J210</f>
        <v>399.77</v>
      </c>
      <c r="K70" s="27">
        <f>Laundry!K210</f>
        <v>396.82</v>
      </c>
      <c r="L70" s="27">
        <f>Laundry!L210</f>
        <v>398.23</v>
      </c>
      <c r="M70" s="27">
        <f>Laundry!M210</f>
        <v>416.67</v>
      </c>
      <c r="N70" s="27">
        <f>Laundry!N210</f>
        <v>443.13</v>
      </c>
      <c r="O70" s="27">
        <f>Laundry!O210</f>
        <v>385.97</v>
      </c>
      <c r="P70" s="27">
        <f>Laundry!P210</f>
        <v>380.62</v>
      </c>
      <c r="Q70" s="3">
        <f t="shared" si="2"/>
        <v>4731.3100000000004</v>
      </c>
      <c r="R70" s="39">
        <f>Q70/Summary!$Q$16</f>
        <v>1.422617042861428E-4</v>
      </c>
      <c r="S70" s="35"/>
      <c r="T70" s="40" t="e">
        <f t="shared" si="4"/>
        <v>#DIV/0!</v>
      </c>
    </row>
    <row r="71" spans="1:20" s="3" customFormat="1" ht="24.95" hidden="1" customHeight="1">
      <c r="A71" s="3" t="s">
        <v>594</v>
      </c>
      <c r="B71" s="3" t="s">
        <v>1026</v>
      </c>
      <c r="D71" s="26" t="s">
        <v>595</v>
      </c>
      <c r="E71" s="27"/>
      <c r="F71" s="27"/>
      <c r="G71" s="27"/>
      <c r="H71" s="27"/>
      <c r="I71" s="27"/>
      <c r="J71" s="27"/>
      <c r="K71" s="27"/>
      <c r="L71" s="27"/>
      <c r="M71" s="27"/>
      <c r="N71" s="27"/>
      <c r="O71" s="27"/>
      <c r="P71" s="27"/>
      <c r="Q71" s="3">
        <f t="shared" si="2"/>
        <v>0</v>
      </c>
      <c r="R71" s="39">
        <f>Q71/Summary!$Q$16</f>
        <v>0</v>
      </c>
      <c r="S71" s="35"/>
      <c r="T71" s="40">
        <f t="shared" si="4"/>
        <v>0</v>
      </c>
    </row>
    <row r="72" spans="1:20" s="3" customFormat="1" ht="24.95" customHeight="1">
      <c r="A72" s="3" t="s">
        <v>596</v>
      </c>
      <c r="B72" s="3" t="s">
        <v>1026</v>
      </c>
      <c r="D72" s="26" t="s">
        <v>597</v>
      </c>
      <c r="E72" s="27">
        <v>200</v>
      </c>
      <c r="F72" s="27">
        <v>200</v>
      </c>
      <c r="G72" s="27">
        <v>200</v>
      </c>
      <c r="H72" s="27">
        <v>200</v>
      </c>
      <c r="I72" s="27">
        <v>200</v>
      </c>
      <c r="J72" s="27">
        <v>200</v>
      </c>
      <c r="K72" s="27">
        <v>200</v>
      </c>
      <c r="L72" s="27">
        <v>200</v>
      </c>
      <c r="M72" s="27">
        <v>200</v>
      </c>
      <c r="N72" s="27">
        <v>200</v>
      </c>
      <c r="O72" s="27">
        <v>200</v>
      </c>
      <c r="P72" s="27">
        <v>200</v>
      </c>
      <c r="Q72" s="3">
        <f t="shared" si="2"/>
        <v>2400</v>
      </c>
      <c r="R72" s="39">
        <f>Q72/Summary!$Q$16</f>
        <v>7.2163542504452826E-5</v>
      </c>
      <c r="S72" s="35"/>
      <c r="T72" s="40" t="e">
        <f t="shared" si="4"/>
        <v>#DIV/0!</v>
      </c>
    </row>
    <row r="73" spans="1:20" s="3" customFormat="1" ht="24.95" customHeight="1">
      <c r="A73" s="3" t="s">
        <v>598</v>
      </c>
      <c r="B73" s="3" t="s">
        <v>1026</v>
      </c>
      <c r="D73" s="26" t="s">
        <v>599</v>
      </c>
      <c r="E73" s="27"/>
      <c r="F73" s="27"/>
      <c r="G73" s="27"/>
      <c r="H73" s="27"/>
      <c r="I73" s="27"/>
      <c r="J73" s="27"/>
      <c r="K73" s="27"/>
      <c r="L73" s="27"/>
      <c r="M73" s="27"/>
      <c r="N73" s="27"/>
      <c r="O73" s="27"/>
      <c r="P73" s="27"/>
      <c r="Q73" s="3">
        <f t="shared" si="2"/>
        <v>0</v>
      </c>
      <c r="R73" s="39">
        <f>Q73/Summary!$Q$16</f>
        <v>0</v>
      </c>
      <c r="S73" s="35"/>
      <c r="T73" s="40">
        <f t="shared" si="4"/>
        <v>0</v>
      </c>
    </row>
    <row r="74" spans="1:20" s="3" customFormat="1" ht="24.95" customHeight="1">
      <c r="A74" s="3" t="s">
        <v>600</v>
      </c>
      <c r="B74" s="3" t="s">
        <v>1026</v>
      </c>
      <c r="D74" s="26" t="s">
        <v>601</v>
      </c>
      <c r="E74" s="27"/>
      <c r="F74" s="27"/>
      <c r="G74" s="27"/>
      <c r="H74" s="27"/>
      <c r="I74" s="27"/>
      <c r="J74" s="27"/>
      <c r="K74" s="27"/>
      <c r="L74" s="27"/>
      <c r="M74" s="27"/>
      <c r="N74" s="27"/>
      <c r="O74" s="27"/>
      <c r="P74" s="27"/>
      <c r="Q74" s="3">
        <f t="shared" si="2"/>
        <v>0</v>
      </c>
      <c r="R74" s="39">
        <f>Q74/Summary!$Q$16</f>
        <v>0</v>
      </c>
      <c r="S74" s="35"/>
      <c r="T74" s="40">
        <f t="shared" si="4"/>
        <v>0</v>
      </c>
    </row>
    <row r="75" spans="1:20" s="3" customFormat="1" ht="24.95" customHeight="1">
      <c r="A75" s="3" t="s">
        <v>602</v>
      </c>
      <c r="B75" s="3" t="s">
        <v>1026</v>
      </c>
      <c r="D75" s="26" t="s">
        <v>603</v>
      </c>
      <c r="E75" s="27"/>
      <c r="F75" s="27"/>
      <c r="G75" s="27"/>
      <c r="H75" s="27"/>
      <c r="I75" s="27">
        <v>5000</v>
      </c>
      <c r="J75" s="27"/>
      <c r="K75" s="27"/>
      <c r="L75" s="27"/>
      <c r="M75" s="27"/>
      <c r="N75" s="27"/>
      <c r="O75" s="27"/>
      <c r="P75" s="27"/>
      <c r="Q75" s="3">
        <f t="shared" si="2"/>
        <v>5000</v>
      </c>
      <c r="R75" s="39">
        <f>Q75/Summary!$Q$16</f>
        <v>1.5034071355094338E-4</v>
      </c>
      <c r="S75" s="35"/>
      <c r="T75" s="40" t="e">
        <f t="shared" si="4"/>
        <v>#DIV/0!</v>
      </c>
    </row>
    <row r="76" spans="1:20" s="3" customFormat="1" ht="24.95" hidden="1" customHeight="1">
      <c r="A76" s="3" t="s">
        <v>604</v>
      </c>
      <c r="B76" s="3" t="s">
        <v>1026</v>
      </c>
      <c r="D76" s="26" t="s">
        <v>605</v>
      </c>
      <c r="E76" s="27"/>
      <c r="F76" s="27"/>
      <c r="G76" s="27"/>
      <c r="H76" s="27"/>
      <c r="I76" s="27"/>
      <c r="J76" s="27"/>
      <c r="K76" s="27"/>
      <c r="L76" s="27"/>
      <c r="M76" s="27"/>
      <c r="N76" s="27"/>
      <c r="O76" s="27"/>
      <c r="P76" s="27"/>
      <c r="Q76" s="3">
        <f t="shared" si="2"/>
        <v>0</v>
      </c>
      <c r="R76" s="39">
        <f>Q76/Summary!$Q$16</f>
        <v>0</v>
      </c>
      <c r="S76" s="35"/>
      <c r="T76" s="40">
        <f t="shared" si="4"/>
        <v>0</v>
      </c>
    </row>
    <row r="77" spans="1:20" s="3" customFormat="1" ht="24.95" hidden="1" customHeight="1">
      <c r="A77" s="3" t="s">
        <v>606</v>
      </c>
      <c r="B77" s="3" t="s">
        <v>1026</v>
      </c>
      <c r="D77" s="26" t="s">
        <v>607</v>
      </c>
      <c r="E77" s="27"/>
      <c r="F77" s="27"/>
      <c r="G77" s="27"/>
      <c r="H77" s="27"/>
      <c r="I77" s="27"/>
      <c r="J77" s="27"/>
      <c r="K77" s="27"/>
      <c r="L77" s="27"/>
      <c r="M77" s="27"/>
      <c r="N77" s="27"/>
      <c r="O77" s="27"/>
      <c r="P77" s="27"/>
      <c r="Q77" s="3">
        <f t="shared" si="2"/>
        <v>0</v>
      </c>
      <c r="R77" s="39">
        <f>Q77/Summary!$Q$16</f>
        <v>0</v>
      </c>
      <c r="S77" s="35"/>
      <c r="T77" s="40">
        <f t="shared" si="4"/>
        <v>0</v>
      </c>
    </row>
    <row r="78" spans="1:20" s="3" customFormat="1" ht="24.95" hidden="1" customHeight="1">
      <c r="A78" s="270" t="s">
        <v>863</v>
      </c>
      <c r="B78" s="3" t="s">
        <v>1026</v>
      </c>
      <c r="D78" s="26" t="s">
        <v>864</v>
      </c>
      <c r="E78" s="27"/>
      <c r="F78" s="27"/>
      <c r="G78" s="27"/>
      <c r="H78" s="27"/>
      <c r="I78" s="27"/>
      <c r="J78" s="27"/>
      <c r="K78" s="27"/>
      <c r="L78" s="27"/>
      <c r="M78" s="27"/>
      <c r="N78" s="27"/>
      <c r="O78" s="27"/>
      <c r="P78" s="27"/>
      <c r="Q78" s="3">
        <f t="shared" si="2"/>
        <v>0</v>
      </c>
      <c r="R78" s="39">
        <f>Q78/Summary!$Q$16</f>
        <v>0</v>
      </c>
      <c r="S78" s="35"/>
      <c r="T78" s="40">
        <f t="shared" si="4"/>
        <v>0</v>
      </c>
    </row>
    <row r="79" spans="1:20" s="3" customFormat="1" ht="24.95" hidden="1" customHeight="1">
      <c r="A79" s="3" t="s">
        <v>608</v>
      </c>
      <c r="B79" s="3" t="s">
        <v>1026</v>
      </c>
      <c r="D79" s="26" t="s">
        <v>609</v>
      </c>
      <c r="E79" s="27"/>
      <c r="F79" s="27"/>
      <c r="G79" s="27"/>
      <c r="H79" s="27"/>
      <c r="I79" s="27"/>
      <c r="J79" s="27"/>
      <c r="K79" s="27"/>
      <c r="L79" s="27"/>
      <c r="M79" s="27"/>
      <c r="N79" s="27"/>
      <c r="O79" s="27"/>
      <c r="P79" s="27"/>
      <c r="Q79" s="3">
        <f t="shared" si="2"/>
        <v>0</v>
      </c>
      <c r="R79" s="39">
        <f>Q79/Summary!$Q$16</f>
        <v>0</v>
      </c>
      <c r="S79" s="35"/>
      <c r="T79" s="40">
        <f t="shared" si="4"/>
        <v>0</v>
      </c>
    </row>
    <row r="80" spans="1:20" s="3" customFormat="1" ht="24.95" hidden="1" customHeight="1">
      <c r="A80" s="3" t="s">
        <v>865</v>
      </c>
      <c r="B80" s="3" t="s">
        <v>1026</v>
      </c>
      <c r="D80" s="26" t="s">
        <v>866</v>
      </c>
      <c r="E80" s="27"/>
      <c r="F80" s="27"/>
      <c r="G80" s="27"/>
      <c r="H80" s="27"/>
      <c r="I80" s="27"/>
      <c r="J80" s="27"/>
      <c r="K80" s="27"/>
      <c r="L80" s="27"/>
      <c r="M80" s="27"/>
      <c r="N80" s="27"/>
      <c r="O80" s="27"/>
      <c r="P80" s="27"/>
      <c r="Q80" s="3">
        <f t="shared" ref="Q80:Q143" si="5">SUM(E80:P80)</f>
        <v>0</v>
      </c>
      <c r="R80" s="39">
        <f>Q80/Summary!$Q$16</f>
        <v>0</v>
      </c>
      <c r="S80" s="35"/>
      <c r="T80" s="40">
        <f t="shared" si="4"/>
        <v>0</v>
      </c>
    </row>
    <row r="81" spans="1:20" s="3" customFormat="1" ht="24.95" hidden="1" customHeight="1">
      <c r="A81" s="3" t="s">
        <v>867</v>
      </c>
      <c r="B81" s="3" t="s">
        <v>1026</v>
      </c>
      <c r="D81" s="26" t="s">
        <v>868</v>
      </c>
      <c r="E81" s="27"/>
      <c r="F81" s="27"/>
      <c r="G81" s="27"/>
      <c r="H81" s="27"/>
      <c r="I81" s="27"/>
      <c r="J81" s="27"/>
      <c r="K81" s="27"/>
      <c r="L81" s="27"/>
      <c r="M81" s="27"/>
      <c r="N81" s="27"/>
      <c r="O81" s="27"/>
      <c r="P81" s="27"/>
      <c r="Q81" s="3">
        <f t="shared" si="5"/>
        <v>0</v>
      </c>
      <c r="R81" s="39">
        <f>Q81/Summary!$Q$16</f>
        <v>0</v>
      </c>
      <c r="S81" s="35"/>
      <c r="T81" s="40">
        <f t="shared" si="4"/>
        <v>0</v>
      </c>
    </row>
    <row r="82" spans="1:20" s="3" customFormat="1" ht="24.95" hidden="1" customHeight="1">
      <c r="A82" s="3" t="s">
        <v>869</v>
      </c>
      <c r="B82" s="3" t="s">
        <v>1026</v>
      </c>
      <c r="D82" s="26" t="s">
        <v>870</v>
      </c>
      <c r="E82" s="27"/>
      <c r="F82" s="27"/>
      <c r="G82" s="27"/>
      <c r="H82" s="27"/>
      <c r="I82" s="27"/>
      <c r="J82" s="27"/>
      <c r="K82" s="27"/>
      <c r="L82" s="27"/>
      <c r="M82" s="27"/>
      <c r="N82" s="27"/>
      <c r="O82" s="27"/>
      <c r="P82" s="27"/>
      <c r="Q82" s="3">
        <f t="shared" si="5"/>
        <v>0</v>
      </c>
      <c r="R82" s="39">
        <f>Q82/Summary!$Q$16</f>
        <v>0</v>
      </c>
      <c r="S82" s="35"/>
      <c r="T82" s="40">
        <f t="shared" si="4"/>
        <v>0</v>
      </c>
    </row>
    <row r="83" spans="1:20" s="3" customFormat="1" ht="24.95" hidden="1" customHeight="1">
      <c r="A83" s="3" t="s">
        <v>871</v>
      </c>
      <c r="B83" s="3" t="s">
        <v>1026</v>
      </c>
      <c r="D83" s="26" t="s">
        <v>872</v>
      </c>
      <c r="E83" s="27"/>
      <c r="F83" s="27"/>
      <c r="G83" s="27"/>
      <c r="H83" s="27"/>
      <c r="I83" s="27"/>
      <c r="J83" s="27"/>
      <c r="K83" s="27"/>
      <c r="L83" s="27"/>
      <c r="M83" s="27"/>
      <c r="N83" s="27"/>
      <c r="O83" s="27"/>
      <c r="P83" s="27"/>
      <c r="Q83" s="3">
        <f t="shared" si="5"/>
        <v>0</v>
      </c>
      <c r="R83" s="39">
        <f>Q83/Summary!$Q$16</f>
        <v>0</v>
      </c>
      <c r="S83" s="35"/>
      <c r="T83" s="40">
        <f t="shared" si="4"/>
        <v>0</v>
      </c>
    </row>
    <row r="84" spans="1:20" s="3" customFormat="1" ht="24.95" hidden="1" customHeight="1">
      <c r="A84" s="3" t="s">
        <v>873</v>
      </c>
      <c r="B84" s="3" t="s">
        <v>1026</v>
      </c>
      <c r="D84" s="26" t="s">
        <v>874</v>
      </c>
      <c r="E84" s="27"/>
      <c r="F84" s="27"/>
      <c r="G84" s="27"/>
      <c r="H84" s="27"/>
      <c r="I84" s="27"/>
      <c r="J84" s="27"/>
      <c r="K84" s="27"/>
      <c r="L84" s="27"/>
      <c r="M84" s="27"/>
      <c r="N84" s="27"/>
      <c r="O84" s="27"/>
      <c r="P84" s="27"/>
      <c r="Q84" s="3">
        <f t="shared" si="5"/>
        <v>0</v>
      </c>
      <c r="R84" s="39">
        <f>Q84/Summary!$Q$16</f>
        <v>0</v>
      </c>
      <c r="S84" s="35"/>
      <c r="T84" s="40">
        <f t="shared" si="4"/>
        <v>0</v>
      </c>
    </row>
    <row r="85" spans="1:20" s="3" customFormat="1" ht="24.95" hidden="1" customHeight="1">
      <c r="A85" s="3" t="s">
        <v>875</v>
      </c>
      <c r="B85" s="3" t="s">
        <v>1026</v>
      </c>
      <c r="D85" s="26" t="s">
        <v>876</v>
      </c>
      <c r="E85" s="27"/>
      <c r="F85" s="27"/>
      <c r="G85" s="27"/>
      <c r="H85" s="27"/>
      <c r="I85" s="27"/>
      <c r="J85" s="27"/>
      <c r="K85" s="27"/>
      <c r="L85" s="27"/>
      <c r="M85" s="27"/>
      <c r="N85" s="27"/>
      <c r="O85" s="27"/>
      <c r="P85" s="27"/>
      <c r="Q85" s="3">
        <f t="shared" si="5"/>
        <v>0</v>
      </c>
      <c r="R85" s="39">
        <f>Q85/Summary!$Q$16</f>
        <v>0</v>
      </c>
      <c r="S85" s="35"/>
      <c r="T85" s="40">
        <f t="shared" si="4"/>
        <v>0</v>
      </c>
    </row>
    <row r="86" spans="1:20" s="3" customFormat="1" ht="24.95" hidden="1" customHeight="1">
      <c r="A86" s="3" t="s">
        <v>877</v>
      </c>
      <c r="B86" s="3" t="s">
        <v>1026</v>
      </c>
      <c r="D86" s="26" t="s">
        <v>878</v>
      </c>
      <c r="E86" s="27"/>
      <c r="F86" s="27"/>
      <c r="G86" s="27"/>
      <c r="H86" s="27"/>
      <c r="I86" s="27"/>
      <c r="J86" s="27"/>
      <c r="K86" s="27"/>
      <c r="L86" s="27"/>
      <c r="M86" s="27"/>
      <c r="N86" s="27"/>
      <c r="O86" s="27"/>
      <c r="P86" s="27"/>
      <c r="Q86" s="3">
        <f t="shared" si="5"/>
        <v>0</v>
      </c>
      <c r="R86" s="39">
        <f>Q86/Summary!$Q$16</f>
        <v>0</v>
      </c>
      <c r="S86" s="35"/>
      <c r="T86" s="40">
        <f t="shared" si="4"/>
        <v>0</v>
      </c>
    </row>
    <row r="87" spans="1:20" s="3" customFormat="1" ht="24.95" hidden="1" customHeight="1">
      <c r="A87" s="3" t="s">
        <v>879</v>
      </c>
      <c r="B87" s="3" t="s">
        <v>1026</v>
      </c>
      <c r="D87" s="26" t="s">
        <v>880</v>
      </c>
      <c r="E87" s="27"/>
      <c r="F87" s="27"/>
      <c r="G87" s="27"/>
      <c r="H87" s="27"/>
      <c r="I87" s="27"/>
      <c r="J87" s="27"/>
      <c r="K87" s="27"/>
      <c r="L87" s="27"/>
      <c r="M87" s="27"/>
      <c r="N87" s="27"/>
      <c r="O87" s="27"/>
      <c r="P87" s="27"/>
      <c r="Q87" s="3">
        <f t="shared" si="5"/>
        <v>0</v>
      </c>
      <c r="R87" s="39">
        <f>Q87/Summary!$Q$16</f>
        <v>0</v>
      </c>
      <c r="S87" s="35"/>
      <c r="T87" s="40">
        <f t="shared" si="4"/>
        <v>0</v>
      </c>
    </row>
    <row r="88" spans="1:20" s="3" customFormat="1" ht="24.95" hidden="1" customHeight="1">
      <c r="A88" s="3" t="s">
        <v>881</v>
      </c>
      <c r="B88" s="3" t="s">
        <v>1026</v>
      </c>
      <c r="D88" s="26" t="s">
        <v>882</v>
      </c>
      <c r="E88" s="27"/>
      <c r="F88" s="27"/>
      <c r="G88" s="27"/>
      <c r="H88" s="27"/>
      <c r="I88" s="27"/>
      <c r="J88" s="27"/>
      <c r="K88" s="27"/>
      <c r="L88" s="27"/>
      <c r="M88" s="27"/>
      <c r="N88" s="27"/>
      <c r="O88" s="27"/>
      <c r="P88" s="27"/>
      <c r="Q88" s="3">
        <f t="shared" si="5"/>
        <v>0</v>
      </c>
      <c r="R88" s="39">
        <f>Q88/Summary!$Q$16</f>
        <v>0</v>
      </c>
      <c r="S88" s="35"/>
      <c r="T88" s="40">
        <f t="shared" si="4"/>
        <v>0</v>
      </c>
    </row>
    <row r="89" spans="1:20" s="3" customFormat="1" ht="24.95" hidden="1" customHeight="1">
      <c r="A89" s="3" t="s">
        <v>268</v>
      </c>
      <c r="B89" s="3" t="s">
        <v>1026</v>
      </c>
      <c r="D89" s="26" t="s">
        <v>610</v>
      </c>
      <c r="E89" s="27"/>
      <c r="F89" s="27"/>
      <c r="G89" s="27"/>
      <c r="H89" s="27"/>
      <c r="I89" s="27"/>
      <c r="J89" s="27"/>
      <c r="K89" s="27"/>
      <c r="L89" s="27"/>
      <c r="M89" s="27"/>
      <c r="N89" s="27"/>
      <c r="O89" s="27"/>
      <c r="P89" s="27"/>
      <c r="Q89" s="3">
        <f t="shared" si="5"/>
        <v>0</v>
      </c>
      <c r="R89" s="39">
        <f>Q89/Summary!$Q$16</f>
        <v>0</v>
      </c>
      <c r="S89" s="35"/>
      <c r="T89" s="40">
        <f t="shared" si="4"/>
        <v>0</v>
      </c>
    </row>
    <row r="90" spans="1:20" s="3" customFormat="1" ht="24.95" hidden="1" customHeight="1">
      <c r="A90" s="3" t="s">
        <v>883</v>
      </c>
      <c r="B90" s="3" t="s">
        <v>1026</v>
      </c>
      <c r="D90" s="26" t="s">
        <v>884</v>
      </c>
      <c r="E90" s="27"/>
      <c r="F90" s="27"/>
      <c r="G90" s="27"/>
      <c r="H90" s="27"/>
      <c r="I90" s="27"/>
      <c r="J90" s="27"/>
      <c r="K90" s="27"/>
      <c r="L90" s="27"/>
      <c r="M90" s="27"/>
      <c r="N90" s="27"/>
      <c r="O90" s="27"/>
      <c r="P90" s="27"/>
      <c r="Q90" s="3">
        <f t="shared" si="5"/>
        <v>0</v>
      </c>
      <c r="R90" s="39">
        <f>Q90/Summary!$Q$16</f>
        <v>0</v>
      </c>
      <c r="S90" s="35"/>
      <c r="T90" s="40">
        <f t="shared" si="4"/>
        <v>0</v>
      </c>
    </row>
    <row r="91" spans="1:20" s="3" customFormat="1" ht="24.95" hidden="1" customHeight="1">
      <c r="A91" s="3" t="s">
        <v>270</v>
      </c>
      <c r="B91" s="3" t="s">
        <v>1026</v>
      </c>
      <c r="D91" s="26" t="s">
        <v>271</v>
      </c>
      <c r="E91" s="27"/>
      <c r="F91" s="27"/>
      <c r="G91" s="27"/>
      <c r="H91" s="27"/>
      <c r="I91" s="27"/>
      <c r="J91" s="27"/>
      <c r="K91" s="27"/>
      <c r="L91" s="27"/>
      <c r="M91" s="27"/>
      <c r="N91" s="27"/>
      <c r="O91" s="27"/>
      <c r="P91" s="27"/>
      <c r="Q91" s="3">
        <f t="shared" si="5"/>
        <v>0</v>
      </c>
      <c r="R91" s="39">
        <f>Q91/Summary!$Q$16</f>
        <v>0</v>
      </c>
      <c r="S91" s="35"/>
      <c r="T91" s="40">
        <f t="shared" si="4"/>
        <v>0</v>
      </c>
    </row>
    <row r="92" spans="1:20" s="3" customFormat="1" ht="24.95" hidden="1" customHeight="1">
      <c r="A92" s="3" t="s">
        <v>885</v>
      </c>
      <c r="B92" s="3" t="s">
        <v>1026</v>
      </c>
      <c r="D92" s="26" t="s">
        <v>886</v>
      </c>
      <c r="E92" s="27"/>
      <c r="F92" s="27"/>
      <c r="G92" s="27"/>
      <c r="H92" s="27"/>
      <c r="I92" s="27"/>
      <c r="J92" s="27"/>
      <c r="K92" s="27"/>
      <c r="L92" s="27"/>
      <c r="M92" s="27"/>
      <c r="N92" s="27"/>
      <c r="O92" s="27"/>
      <c r="P92" s="27"/>
      <c r="Q92" s="3">
        <f t="shared" si="5"/>
        <v>0</v>
      </c>
      <c r="R92" s="39">
        <f>Q92/Summary!$Q$16</f>
        <v>0</v>
      </c>
      <c r="S92" s="35"/>
      <c r="T92" s="40">
        <f t="shared" si="4"/>
        <v>0</v>
      </c>
    </row>
    <row r="93" spans="1:20" s="3" customFormat="1" ht="24.95" hidden="1" customHeight="1">
      <c r="A93" s="3" t="s">
        <v>887</v>
      </c>
      <c r="B93" s="3" t="s">
        <v>1026</v>
      </c>
      <c r="D93" s="26" t="s">
        <v>888</v>
      </c>
      <c r="E93" s="27"/>
      <c r="F93" s="27"/>
      <c r="G93" s="27"/>
      <c r="H93" s="27"/>
      <c r="I93" s="27"/>
      <c r="J93" s="27"/>
      <c r="K93" s="27"/>
      <c r="L93" s="27"/>
      <c r="M93" s="27"/>
      <c r="N93" s="27"/>
      <c r="O93" s="27"/>
      <c r="P93" s="27"/>
      <c r="Q93" s="3">
        <f t="shared" si="5"/>
        <v>0</v>
      </c>
      <c r="R93" s="39">
        <f>Q93/Summary!$Q$16</f>
        <v>0</v>
      </c>
      <c r="S93" s="35"/>
      <c r="T93" s="40">
        <f t="shared" si="4"/>
        <v>0</v>
      </c>
    </row>
    <row r="94" spans="1:20" s="3" customFormat="1" ht="24.95" hidden="1" customHeight="1">
      <c r="A94" s="3" t="s">
        <v>889</v>
      </c>
      <c r="B94" s="3" t="s">
        <v>1026</v>
      </c>
      <c r="D94" s="26" t="s">
        <v>890</v>
      </c>
      <c r="E94" s="27"/>
      <c r="F94" s="27"/>
      <c r="G94" s="27"/>
      <c r="H94" s="27"/>
      <c r="I94" s="27"/>
      <c r="J94" s="27"/>
      <c r="K94" s="27"/>
      <c r="L94" s="27"/>
      <c r="M94" s="27"/>
      <c r="N94" s="27"/>
      <c r="O94" s="27"/>
      <c r="P94" s="27"/>
      <c r="Q94" s="3">
        <f t="shared" si="5"/>
        <v>0</v>
      </c>
      <c r="R94" s="39">
        <f>Q94/Summary!$Q$16</f>
        <v>0</v>
      </c>
      <c r="S94" s="35"/>
      <c r="T94" s="40">
        <f t="shared" si="4"/>
        <v>0</v>
      </c>
    </row>
    <row r="95" spans="1:20" s="3" customFormat="1" ht="24.95" hidden="1" customHeight="1">
      <c r="A95" s="3" t="s">
        <v>891</v>
      </c>
      <c r="B95" s="3" t="s">
        <v>1026</v>
      </c>
      <c r="D95" s="26" t="s">
        <v>892</v>
      </c>
      <c r="E95" s="27"/>
      <c r="F95" s="27"/>
      <c r="G95" s="27"/>
      <c r="H95" s="27"/>
      <c r="I95" s="27"/>
      <c r="J95" s="27"/>
      <c r="K95" s="27"/>
      <c r="L95" s="27"/>
      <c r="M95" s="27"/>
      <c r="N95" s="27"/>
      <c r="O95" s="27"/>
      <c r="P95" s="27"/>
      <c r="Q95" s="3">
        <f t="shared" si="5"/>
        <v>0</v>
      </c>
      <c r="R95" s="39">
        <f>Q95/Summary!$Q$16</f>
        <v>0</v>
      </c>
      <c r="S95" s="35"/>
      <c r="T95" s="40">
        <f t="shared" si="4"/>
        <v>0</v>
      </c>
    </row>
    <row r="96" spans="1:20" s="3" customFormat="1" ht="24.95" hidden="1" customHeight="1">
      <c r="A96" s="3" t="s">
        <v>893</v>
      </c>
      <c r="B96" s="3" t="s">
        <v>1026</v>
      </c>
      <c r="D96" s="26" t="s">
        <v>894</v>
      </c>
      <c r="E96" s="27"/>
      <c r="F96" s="27"/>
      <c r="G96" s="27"/>
      <c r="H96" s="27"/>
      <c r="I96" s="27"/>
      <c r="J96" s="27"/>
      <c r="K96" s="27"/>
      <c r="L96" s="27"/>
      <c r="M96" s="27"/>
      <c r="N96" s="27"/>
      <c r="O96" s="27"/>
      <c r="P96" s="27"/>
      <c r="Q96" s="3">
        <f t="shared" si="5"/>
        <v>0</v>
      </c>
      <c r="R96" s="39">
        <f>Q96/Summary!$Q$16</f>
        <v>0</v>
      </c>
      <c r="S96" s="35"/>
      <c r="T96" s="40">
        <f t="shared" si="4"/>
        <v>0</v>
      </c>
    </row>
    <row r="97" spans="1:20" s="3" customFormat="1" ht="24.95" hidden="1" customHeight="1">
      <c r="A97" s="3" t="s">
        <v>895</v>
      </c>
      <c r="B97" s="3" t="s">
        <v>1026</v>
      </c>
      <c r="D97" s="26" t="s">
        <v>896</v>
      </c>
      <c r="E97" s="27"/>
      <c r="F97" s="27"/>
      <c r="G97" s="27"/>
      <c r="H97" s="27"/>
      <c r="I97" s="27"/>
      <c r="J97" s="27"/>
      <c r="K97" s="27"/>
      <c r="L97" s="27"/>
      <c r="M97" s="27"/>
      <c r="N97" s="27"/>
      <c r="O97" s="27"/>
      <c r="P97" s="27"/>
      <c r="Q97" s="3">
        <f t="shared" si="5"/>
        <v>0</v>
      </c>
      <c r="R97" s="39">
        <f>Q97/Summary!$Q$16</f>
        <v>0</v>
      </c>
      <c r="S97" s="35"/>
      <c r="T97" s="40">
        <f t="shared" si="4"/>
        <v>0</v>
      </c>
    </row>
    <row r="98" spans="1:20" s="3" customFormat="1" ht="24.95" hidden="1" customHeight="1">
      <c r="A98" s="3" t="s">
        <v>897</v>
      </c>
      <c r="B98" s="3" t="s">
        <v>1026</v>
      </c>
      <c r="D98" s="26" t="s">
        <v>898</v>
      </c>
      <c r="E98" s="27"/>
      <c r="F98" s="27"/>
      <c r="G98" s="27"/>
      <c r="H98" s="27"/>
      <c r="I98" s="27"/>
      <c r="J98" s="27"/>
      <c r="K98" s="27"/>
      <c r="L98" s="27"/>
      <c r="M98" s="27"/>
      <c r="N98" s="27"/>
      <c r="O98" s="27"/>
      <c r="P98" s="27"/>
      <c r="Q98" s="3">
        <f t="shared" si="5"/>
        <v>0</v>
      </c>
      <c r="R98" s="39">
        <f>Q98/Summary!$Q$16</f>
        <v>0</v>
      </c>
      <c r="S98" s="35"/>
      <c r="T98" s="40">
        <f t="shared" si="4"/>
        <v>0</v>
      </c>
    </row>
    <row r="99" spans="1:20" s="3" customFormat="1" ht="24.95" hidden="1" customHeight="1">
      <c r="A99" s="3" t="s">
        <v>899</v>
      </c>
      <c r="B99" s="3" t="s">
        <v>1026</v>
      </c>
      <c r="D99" s="26" t="s">
        <v>900</v>
      </c>
      <c r="E99" s="27"/>
      <c r="F99" s="27"/>
      <c r="G99" s="27"/>
      <c r="H99" s="27"/>
      <c r="I99" s="27"/>
      <c r="J99" s="27"/>
      <c r="K99" s="27"/>
      <c r="L99" s="27"/>
      <c r="M99" s="27"/>
      <c r="N99" s="27"/>
      <c r="O99" s="27"/>
      <c r="P99" s="27"/>
      <c r="Q99" s="3">
        <f t="shared" si="5"/>
        <v>0</v>
      </c>
      <c r="R99" s="39">
        <f>Q99/Summary!$Q$16</f>
        <v>0</v>
      </c>
      <c r="S99" s="35"/>
      <c r="T99" s="40">
        <f t="shared" si="4"/>
        <v>0</v>
      </c>
    </row>
    <row r="100" spans="1:20" s="3" customFormat="1" ht="24.95" hidden="1" customHeight="1">
      <c r="A100" s="3" t="s">
        <v>901</v>
      </c>
      <c r="B100" s="3" t="s">
        <v>1026</v>
      </c>
      <c r="D100" s="26" t="s">
        <v>902</v>
      </c>
      <c r="E100" s="27"/>
      <c r="F100" s="27"/>
      <c r="G100" s="27"/>
      <c r="H100" s="27"/>
      <c r="I100" s="27"/>
      <c r="J100" s="27"/>
      <c r="K100" s="27"/>
      <c r="L100" s="27"/>
      <c r="M100" s="27"/>
      <c r="N100" s="27"/>
      <c r="O100" s="27"/>
      <c r="P100" s="27"/>
      <c r="Q100" s="3">
        <f t="shared" si="5"/>
        <v>0</v>
      </c>
      <c r="R100" s="39">
        <f>Q100/Summary!$Q$16</f>
        <v>0</v>
      </c>
      <c r="S100" s="35"/>
      <c r="T100" s="40">
        <f t="shared" si="4"/>
        <v>0</v>
      </c>
    </row>
    <row r="101" spans="1:20" s="3" customFormat="1" ht="24.95" hidden="1" customHeight="1">
      <c r="A101" s="3" t="s">
        <v>903</v>
      </c>
      <c r="B101" s="3" t="s">
        <v>1026</v>
      </c>
      <c r="D101" s="26" t="s">
        <v>904</v>
      </c>
      <c r="E101" s="27"/>
      <c r="F101" s="27"/>
      <c r="G101" s="27"/>
      <c r="H101" s="27"/>
      <c r="I101" s="27"/>
      <c r="J101" s="27"/>
      <c r="K101" s="27"/>
      <c r="L101" s="27"/>
      <c r="M101" s="27"/>
      <c r="N101" s="27"/>
      <c r="O101" s="27"/>
      <c r="P101" s="27"/>
      <c r="Q101" s="3">
        <f t="shared" si="5"/>
        <v>0</v>
      </c>
      <c r="R101" s="39">
        <f>Q101/Summary!$Q$16</f>
        <v>0</v>
      </c>
      <c r="S101" s="35"/>
      <c r="T101" s="40">
        <f t="shared" ref="T101:T132" si="6">-IF(Q101-S101=0,0,(Q101-S101)/S101)</f>
        <v>0</v>
      </c>
    </row>
    <row r="102" spans="1:20" s="3" customFormat="1" ht="24.95" hidden="1" customHeight="1">
      <c r="A102" s="3" t="s">
        <v>905</v>
      </c>
      <c r="B102" s="3" t="s">
        <v>1026</v>
      </c>
      <c r="D102" s="26" t="s">
        <v>906</v>
      </c>
      <c r="E102" s="27"/>
      <c r="F102" s="27"/>
      <c r="G102" s="27"/>
      <c r="H102" s="27"/>
      <c r="I102" s="27"/>
      <c r="J102" s="27"/>
      <c r="K102" s="27"/>
      <c r="L102" s="27"/>
      <c r="M102" s="27"/>
      <c r="N102" s="27"/>
      <c r="O102" s="27"/>
      <c r="P102" s="27"/>
      <c r="Q102" s="3">
        <f t="shared" si="5"/>
        <v>0</v>
      </c>
      <c r="R102" s="39">
        <f>Q102/Summary!$Q$16</f>
        <v>0</v>
      </c>
      <c r="S102" s="35"/>
      <c r="T102" s="40">
        <f t="shared" si="6"/>
        <v>0</v>
      </c>
    </row>
    <row r="103" spans="1:20" s="3" customFormat="1" ht="24.95" hidden="1" customHeight="1">
      <c r="A103" s="3" t="s">
        <v>907</v>
      </c>
      <c r="B103" s="3" t="s">
        <v>1026</v>
      </c>
      <c r="D103" s="26" t="s">
        <v>908</v>
      </c>
      <c r="E103" s="27"/>
      <c r="F103" s="27"/>
      <c r="G103" s="27"/>
      <c r="H103" s="27"/>
      <c r="I103" s="27"/>
      <c r="J103" s="27"/>
      <c r="K103" s="27"/>
      <c r="L103" s="27"/>
      <c r="M103" s="27"/>
      <c r="N103" s="27"/>
      <c r="O103" s="27"/>
      <c r="P103" s="27"/>
      <c r="Q103" s="3">
        <f t="shared" si="5"/>
        <v>0</v>
      </c>
      <c r="R103" s="39">
        <f>Q103/Summary!$Q$16</f>
        <v>0</v>
      </c>
      <c r="S103" s="35"/>
      <c r="T103" s="40">
        <f t="shared" si="6"/>
        <v>0</v>
      </c>
    </row>
    <row r="104" spans="1:20" s="3" customFormat="1" ht="24.95" hidden="1" customHeight="1">
      <c r="A104" s="3" t="s">
        <v>909</v>
      </c>
      <c r="B104" s="3" t="s">
        <v>1026</v>
      </c>
      <c r="D104" s="26" t="s">
        <v>910</v>
      </c>
      <c r="E104" s="27"/>
      <c r="F104" s="27"/>
      <c r="G104" s="27"/>
      <c r="H104" s="27"/>
      <c r="I104" s="27"/>
      <c r="J104" s="27"/>
      <c r="K104" s="27"/>
      <c r="L104" s="27"/>
      <c r="M104" s="27"/>
      <c r="N104" s="27"/>
      <c r="O104" s="27"/>
      <c r="P104" s="27"/>
      <c r="Q104" s="3">
        <f t="shared" si="5"/>
        <v>0</v>
      </c>
      <c r="R104" s="39">
        <f>Q104/Summary!$Q$16</f>
        <v>0</v>
      </c>
      <c r="S104" s="35"/>
      <c r="T104" s="40">
        <f t="shared" si="6"/>
        <v>0</v>
      </c>
    </row>
    <row r="105" spans="1:20" s="3" customFormat="1" ht="24.95" hidden="1" customHeight="1">
      <c r="A105" s="3" t="s">
        <v>911</v>
      </c>
      <c r="B105" s="3" t="s">
        <v>1026</v>
      </c>
      <c r="D105" s="26" t="s">
        <v>912</v>
      </c>
      <c r="E105" s="27"/>
      <c r="F105" s="27"/>
      <c r="G105" s="27"/>
      <c r="H105" s="27"/>
      <c r="I105" s="27"/>
      <c r="J105" s="27"/>
      <c r="K105" s="27"/>
      <c r="L105" s="27"/>
      <c r="M105" s="27"/>
      <c r="N105" s="27"/>
      <c r="O105" s="27"/>
      <c r="P105" s="27"/>
      <c r="Q105" s="3">
        <f t="shared" si="5"/>
        <v>0</v>
      </c>
      <c r="R105" s="39">
        <f>Q105/Summary!$Q$16</f>
        <v>0</v>
      </c>
      <c r="S105" s="35"/>
      <c r="T105" s="40">
        <f t="shared" si="6"/>
        <v>0</v>
      </c>
    </row>
    <row r="106" spans="1:20" s="3" customFormat="1" ht="24.95" hidden="1" customHeight="1">
      <c r="A106" s="3" t="s">
        <v>913</v>
      </c>
      <c r="B106" s="3" t="s">
        <v>1026</v>
      </c>
      <c r="D106" s="26" t="s">
        <v>914</v>
      </c>
      <c r="E106" s="27"/>
      <c r="F106" s="27"/>
      <c r="G106" s="27"/>
      <c r="H106" s="27"/>
      <c r="I106" s="27"/>
      <c r="J106" s="27"/>
      <c r="K106" s="27"/>
      <c r="L106" s="27"/>
      <c r="M106" s="27"/>
      <c r="N106" s="27"/>
      <c r="O106" s="27"/>
      <c r="P106" s="27"/>
      <c r="Q106" s="3">
        <f t="shared" si="5"/>
        <v>0</v>
      </c>
      <c r="R106" s="39">
        <f>Q106/Summary!$Q$16</f>
        <v>0</v>
      </c>
      <c r="S106" s="35"/>
      <c r="T106" s="40">
        <f t="shared" si="6"/>
        <v>0</v>
      </c>
    </row>
    <row r="107" spans="1:20" s="3" customFormat="1" ht="24.95" hidden="1" customHeight="1">
      <c r="A107" s="3" t="s">
        <v>915</v>
      </c>
      <c r="B107" s="3" t="s">
        <v>1026</v>
      </c>
      <c r="D107" s="26" t="s">
        <v>916</v>
      </c>
      <c r="E107" s="27"/>
      <c r="F107" s="27"/>
      <c r="G107" s="27"/>
      <c r="H107" s="27"/>
      <c r="I107" s="27"/>
      <c r="J107" s="27"/>
      <c r="K107" s="27"/>
      <c r="L107" s="27"/>
      <c r="M107" s="27"/>
      <c r="N107" s="27"/>
      <c r="O107" s="27"/>
      <c r="P107" s="27"/>
      <c r="Q107" s="3">
        <f t="shared" si="5"/>
        <v>0</v>
      </c>
      <c r="R107" s="39">
        <f>Q107/Summary!$Q$16</f>
        <v>0</v>
      </c>
      <c r="S107" s="35"/>
      <c r="T107" s="40">
        <f t="shared" si="6"/>
        <v>0</v>
      </c>
    </row>
    <row r="108" spans="1:20" s="3" customFormat="1" ht="24.95" hidden="1" customHeight="1">
      <c r="A108" s="3" t="s">
        <v>917</v>
      </c>
      <c r="B108" s="3" t="s">
        <v>1026</v>
      </c>
      <c r="D108" s="26" t="s">
        <v>918</v>
      </c>
      <c r="E108" s="27"/>
      <c r="F108" s="27"/>
      <c r="G108" s="27"/>
      <c r="H108" s="27"/>
      <c r="I108" s="27"/>
      <c r="J108" s="27"/>
      <c r="K108" s="27"/>
      <c r="L108" s="27"/>
      <c r="M108" s="27"/>
      <c r="N108" s="27"/>
      <c r="O108" s="27"/>
      <c r="P108" s="27"/>
      <c r="Q108" s="3">
        <f t="shared" si="5"/>
        <v>0</v>
      </c>
      <c r="R108" s="39">
        <f>Q108/Summary!$Q$16</f>
        <v>0</v>
      </c>
      <c r="S108" s="35"/>
      <c r="T108" s="40">
        <f t="shared" si="6"/>
        <v>0</v>
      </c>
    </row>
    <row r="109" spans="1:20" s="3" customFormat="1" ht="24.95" hidden="1" customHeight="1">
      <c r="A109" s="3" t="s">
        <v>919</v>
      </c>
      <c r="B109" s="3" t="s">
        <v>1026</v>
      </c>
      <c r="D109" s="26" t="s">
        <v>920</v>
      </c>
      <c r="E109" s="27"/>
      <c r="F109" s="27"/>
      <c r="G109" s="27"/>
      <c r="H109" s="27"/>
      <c r="I109" s="27"/>
      <c r="J109" s="27"/>
      <c r="K109" s="27"/>
      <c r="L109" s="27"/>
      <c r="M109" s="27"/>
      <c r="N109" s="27"/>
      <c r="O109" s="27"/>
      <c r="P109" s="27"/>
      <c r="Q109" s="3">
        <f t="shared" si="5"/>
        <v>0</v>
      </c>
      <c r="R109" s="39">
        <f>Q109/Summary!$Q$16</f>
        <v>0</v>
      </c>
      <c r="S109" s="35"/>
      <c r="T109" s="40">
        <f t="shared" si="6"/>
        <v>0</v>
      </c>
    </row>
    <row r="110" spans="1:20" s="3" customFormat="1" ht="24.95" hidden="1" customHeight="1">
      <c r="A110" s="3" t="s">
        <v>921</v>
      </c>
      <c r="B110" s="3" t="s">
        <v>1026</v>
      </c>
      <c r="D110" s="26" t="s">
        <v>922</v>
      </c>
      <c r="E110" s="27"/>
      <c r="F110" s="27"/>
      <c r="G110" s="27"/>
      <c r="H110" s="27"/>
      <c r="I110" s="27"/>
      <c r="J110" s="27"/>
      <c r="K110" s="27"/>
      <c r="L110" s="27"/>
      <c r="M110" s="27"/>
      <c r="N110" s="27"/>
      <c r="O110" s="27"/>
      <c r="P110" s="27"/>
      <c r="Q110" s="3">
        <f t="shared" si="5"/>
        <v>0</v>
      </c>
      <c r="R110" s="39">
        <f>Q110/Summary!$Q$16</f>
        <v>0</v>
      </c>
      <c r="S110" s="35"/>
      <c r="T110" s="40">
        <f t="shared" si="6"/>
        <v>0</v>
      </c>
    </row>
    <row r="111" spans="1:20" s="3" customFormat="1" ht="24.95" hidden="1" customHeight="1">
      <c r="A111" s="3" t="s">
        <v>923</v>
      </c>
      <c r="B111" s="3" t="s">
        <v>1026</v>
      </c>
      <c r="D111" s="26" t="s">
        <v>924</v>
      </c>
      <c r="E111" s="27"/>
      <c r="F111" s="27"/>
      <c r="G111" s="27"/>
      <c r="H111" s="27"/>
      <c r="I111" s="27"/>
      <c r="J111" s="27"/>
      <c r="K111" s="27"/>
      <c r="L111" s="27"/>
      <c r="M111" s="27"/>
      <c r="N111" s="27"/>
      <c r="O111" s="27"/>
      <c r="P111" s="27"/>
      <c r="Q111" s="3">
        <f t="shared" si="5"/>
        <v>0</v>
      </c>
      <c r="R111" s="39">
        <f>Q111/Summary!$Q$16</f>
        <v>0</v>
      </c>
      <c r="S111" s="35"/>
      <c r="T111" s="40">
        <f t="shared" si="6"/>
        <v>0</v>
      </c>
    </row>
    <row r="112" spans="1:20" s="3" customFormat="1" ht="24.95" hidden="1" customHeight="1">
      <c r="A112" s="3" t="s">
        <v>925</v>
      </c>
      <c r="B112" s="3" t="s">
        <v>1026</v>
      </c>
      <c r="D112" s="26" t="s">
        <v>926</v>
      </c>
      <c r="E112" s="27"/>
      <c r="F112" s="27"/>
      <c r="G112" s="27"/>
      <c r="H112" s="27"/>
      <c r="I112" s="27"/>
      <c r="J112" s="27"/>
      <c r="K112" s="27"/>
      <c r="L112" s="27"/>
      <c r="M112" s="27"/>
      <c r="N112" s="27"/>
      <c r="O112" s="27"/>
      <c r="P112" s="27"/>
      <c r="Q112" s="3">
        <f t="shared" si="5"/>
        <v>0</v>
      </c>
      <c r="R112" s="39">
        <f>Q112/Summary!$Q$16</f>
        <v>0</v>
      </c>
      <c r="S112" s="35"/>
      <c r="T112" s="40">
        <f t="shared" si="6"/>
        <v>0</v>
      </c>
    </row>
    <row r="113" spans="1:20" s="3" customFormat="1" ht="24.95" hidden="1" customHeight="1">
      <c r="A113" s="3" t="s">
        <v>927</v>
      </c>
      <c r="B113" s="3" t="s">
        <v>1026</v>
      </c>
      <c r="D113" s="26" t="s">
        <v>928</v>
      </c>
      <c r="E113" s="27"/>
      <c r="F113" s="27"/>
      <c r="G113" s="27"/>
      <c r="H113" s="27"/>
      <c r="I113" s="27"/>
      <c r="J113" s="27"/>
      <c r="K113" s="27"/>
      <c r="L113" s="27"/>
      <c r="M113" s="27"/>
      <c r="N113" s="27"/>
      <c r="O113" s="27"/>
      <c r="P113" s="27"/>
      <c r="Q113" s="3">
        <f t="shared" si="5"/>
        <v>0</v>
      </c>
      <c r="R113" s="39">
        <f>Q113/Summary!$Q$16</f>
        <v>0</v>
      </c>
      <c r="S113" s="35"/>
      <c r="T113" s="40">
        <f t="shared" si="6"/>
        <v>0</v>
      </c>
    </row>
    <row r="114" spans="1:20" s="3" customFormat="1" ht="24.95" hidden="1" customHeight="1">
      <c r="A114" s="3" t="s">
        <v>929</v>
      </c>
      <c r="B114" s="3" t="s">
        <v>1026</v>
      </c>
      <c r="D114" s="26" t="s">
        <v>930</v>
      </c>
      <c r="E114" s="27"/>
      <c r="F114" s="27"/>
      <c r="G114" s="27"/>
      <c r="H114" s="27"/>
      <c r="I114" s="27"/>
      <c r="J114" s="27"/>
      <c r="K114" s="27"/>
      <c r="L114" s="27"/>
      <c r="M114" s="27"/>
      <c r="N114" s="27"/>
      <c r="O114" s="27"/>
      <c r="P114" s="27"/>
      <c r="Q114" s="3">
        <f t="shared" si="5"/>
        <v>0</v>
      </c>
      <c r="R114" s="39">
        <f>Q114/Summary!$Q$16</f>
        <v>0</v>
      </c>
      <c r="S114" s="35"/>
      <c r="T114" s="40">
        <f t="shared" si="6"/>
        <v>0</v>
      </c>
    </row>
    <row r="115" spans="1:20" s="3" customFormat="1" ht="24.95" hidden="1" customHeight="1">
      <c r="A115" s="3" t="s">
        <v>931</v>
      </c>
      <c r="B115" s="3" t="s">
        <v>1026</v>
      </c>
      <c r="D115" s="26" t="s">
        <v>932</v>
      </c>
      <c r="E115" s="27"/>
      <c r="F115" s="27"/>
      <c r="G115" s="27"/>
      <c r="H115" s="27"/>
      <c r="I115" s="27"/>
      <c r="J115" s="27"/>
      <c r="K115" s="27"/>
      <c r="L115" s="27"/>
      <c r="M115" s="27"/>
      <c r="N115" s="27"/>
      <c r="O115" s="27"/>
      <c r="P115" s="27"/>
      <c r="Q115" s="3">
        <f t="shared" si="5"/>
        <v>0</v>
      </c>
      <c r="R115" s="39">
        <f>Q115/Summary!$Q$16</f>
        <v>0</v>
      </c>
      <c r="S115" s="35"/>
      <c r="T115" s="40">
        <f t="shared" si="6"/>
        <v>0</v>
      </c>
    </row>
    <row r="116" spans="1:20" s="3" customFormat="1" ht="24.95" hidden="1" customHeight="1">
      <c r="A116" s="3" t="s">
        <v>933</v>
      </c>
      <c r="B116" s="3" t="s">
        <v>1026</v>
      </c>
      <c r="D116" s="26" t="s">
        <v>934</v>
      </c>
      <c r="E116" s="27"/>
      <c r="F116" s="27"/>
      <c r="G116" s="27"/>
      <c r="H116" s="27"/>
      <c r="I116" s="27"/>
      <c r="J116" s="27"/>
      <c r="K116" s="27"/>
      <c r="L116" s="27"/>
      <c r="M116" s="27"/>
      <c r="N116" s="27"/>
      <c r="O116" s="27"/>
      <c r="P116" s="27"/>
      <c r="Q116" s="3">
        <f t="shared" si="5"/>
        <v>0</v>
      </c>
      <c r="R116" s="39">
        <f>Q116/Summary!$Q$16</f>
        <v>0</v>
      </c>
      <c r="S116" s="35"/>
      <c r="T116" s="40">
        <f t="shared" si="6"/>
        <v>0</v>
      </c>
    </row>
    <row r="117" spans="1:20" s="3" customFormat="1" ht="24.95" hidden="1" customHeight="1">
      <c r="A117" s="3" t="s">
        <v>935</v>
      </c>
      <c r="B117" s="3" t="s">
        <v>1026</v>
      </c>
      <c r="D117" s="26" t="s">
        <v>936</v>
      </c>
      <c r="E117" s="27"/>
      <c r="F117" s="27"/>
      <c r="G117" s="27"/>
      <c r="H117" s="27"/>
      <c r="I117" s="27"/>
      <c r="J117" s="27"/>
      <c r="K117" s="27"/>
      <c r="L117" s="27"/>
      <c r="M117" s="27"/>
      <c r="N117" s="27"/>
      <c r="O117" s="27"/>
      <c r="P117" s="27"/>
      <c r="Q117" s="3">
        <f t="shared" si="5"/>
        <v>0</v>
      </c>
      <c r="R117" s="39">
        <f>Q117/Summary!$Q$16</f>
        <v>0</v>
      </c>
      <c r="S117" s="35"/>
      <c r="T117" s="40">
        <f t="shared" si="6"/>
        <v>0</v>
      </c>
    </row>
    <row r="118" spans="1:20" s="3" customFormat="1" ht="24.95" hidden="1" customHeight="1">
      <c r="A118" s="3" t="s">
        <v>937</v>
      </c>
      <c r="B118" s="3" t="s">
        <v>1026</v>
      </c>
      <c r="D118" s="26" t="s">
        <v>938</v>
      </c>
      <c r="E118" s="27"/>
      <c r="F118" s="27"/>
      <c r="G118" s="27"/>
      <c r="H118" s="27"/>
      <c r="I118" s="27"/>
      <c r="J118" s="27"/>
      <c r="K118" s="27"/>
      <c r="L118" s="27"/>
      <c r="M118" s="27"/>
      <c r="N118" s="27"/>
      <c r="O118" s="27"/>
      <c r="P118" s="27"/>
      <c r="Q118" s="3">
        <f t="shared" si="5"/>
        <v>0</v>
      </c>
      <c r="R118" s="39">
        <f>Q118/Summary!$Q$16</f>
        <v>0</v>
      </c>
      <c r="S118" s="35"/>
      <c r="T118" s="40">
        <f t="shared" si="6"/>
        <v>0</v>
      </c>
    </row>
    <row r="119" spans="1:20" s="3" customFormat="1" ht="24.95" hidden="1" customHeight="1">
      <c r="A119" s="3" t="s">
        <v>939</v>
      </c>
      <c r="B119" s="3" t="s">
        <v>1026</v>
      </c>
      <c r="D119" s="26" t="s">
        <v>940</v>
      </c>
      <c r="E119" s="27"/>
      <c r="F119" s="27"/>
      <c r="G119" s="27"/>
      <c r="H119" s="27"/>
      <c r="I119" s="27"/>
      <c r="J119" s="27"/>
      <c r="K119" s="27"/>
      <c r="L119" s="27"/>
      <c r="M119" s="27"/>
      <c r="N119" s="27"/>
      <c r="O119" s="27"/>
      <c r="P119" s="27"/>
      <c r="Q119" s="3">
        <f t="shared" si="5"/>
        <v>0</v>
      </c>
      <c r="R119" s="39">
        <f>Q119/Summary!$Q$16</f>
        <v>0</v>
      </c>
      <c r="S119" s="35"/>
      <c r="T119" s="40">
        <f t="shared" si="6"/>
        <v>0</v>
      </c>
    </row>
    <row r="120" spans="1:20" s="3" customFormat="1" ht="24.95" hidden="1" customHeight="1">
      <c r="A120" s="3" t="s">
        <v>941</v>
      </c>
      <c r="B120" s="3" t="s">
        <v>1026</v>
      </c>
      <c r="D120" s="26" t="s">
        <v>942</v>
      </c>
      <c r="E120" s="27"/>
      <c r="F120" s="27"/>
      <c r="G120" s="27"/>
      <c r="H120" s="27"/>
      <c r="I120" s="27"/>
      <c r="J120" s="27"/>
      <c r="K120" s="27"/>
      <c r="L120" s="27"/>
      <c r="M120" s="27"/>
      <c r="N120" s="27"/>
      <c r="O120" s="27"/>
      <c r="P120" s="27"/>
      <c r="Q120" s="3">
        <f t="shared" si="5"/>
        <v>0</v>
      </c>
      <c r="R120" s="39">
        <f>Q120/Summary!$Q$16</f>
        <v>0</v>
      </c>
      <c r="S120" s="35"/>
      <c r="T120" s="40">
        <f t="shared" si="6"/>
        <v>0</v>
      </c>
    </row>
    <row r="121" spans="1:20" s="3" customFormat="1" ht="24.95" hidden="1" customHeight="1">
      <c r="A121" s="3" t="s">
        <v>943</v>
      </c>
      <c r="B121" s="3" t="s">
        <v>1026</v>
      </c>
      <c r="D121" s="26" t="s">
        <v>944</v>
      </c>
      <c r="E121" s="27"/>
      <c r="F121" s="27"/>
      <c r="G121" s="27"/>
      <c r="H121" s="27"/>
      <c r="I121" s="27"/>
      <c r="J121" s="27"/>
      <c r="K121" s="27"/>
      <c r="L121" s="27"/>
      <c r="M121" s="27"/>
      <c r="N121" s="27"/>
      <c r="O121" s="27"/>
      <c r="P121" s="27"/>
      <c r="Q121" s="3">
        <f t="shared" si="5"/>
        <v>0</v>
      </c>
      <c r="R121" s="39">
        <f>Q121/Summary!$Q$16</f>
        <v>0</v>
      </c>
      <c r="S121" s="35"/>
      <c r="T121" s="40">
        <f t="shared" si="6"/>
        <v>0</v>
      </c>
    </row>
    <row r="122" spans="1:20" s="3" customFormat="1" ht="24.95" hidden="1" customHeight="1">
      <c r="A122" s="3" t="s">
        <v>945</v>
      </c>
      <c r="B122" s="3" t="s">
        <v>1026</v>
      </c>
      <c r="D122" s="26" t="s">
        <v>946</v>
      </c>
      <c r="E122" s="27"/>
      <c r="F122" s="27"/>
      <c r="G122" s="27"/>
      <c r="H122" s="27"/>
      <c r="I122" s="27"/>
      <c r="J122" s="27"/>
      <c r="K122" s="27"/>
      <c r="L122" s="27"/>
      <c r="M122" s="27"/>
      <c r="N122" s="27"/>
      <c r="O122" s="27"/>
      <c r="P122" s="27"/>
      <c r="Q122" s="3">
        <f t="shared" si="5"/>
        <v>0</v>
      </c>
      <c r="R122" s="39">
        <f>Q122/Summary!$Q$16</f>
        <v>0</v>
      </c>
      <c r="S122" s="35"/>
      <c r="T122" s="40">
        <f t="shared" si="6"/>
        <v>0</v>
      </c>
    </row>
    <row r="123" spans="1:20" s="3" customFormat="1" ht="24.95" hidden="1" customHeight="1">
      <c r="A123" s="3" t="s">
        <v>947</v>
      </c>
      <c r="B123" s="3" t="s">
        <v>1026</v>
      </c>
      <c r="D123" s="26" t="s">
        <v>948</v>
      </c>
      <c r="E123" s="27"/>
      <c r="F123" s="27"/>
      <c r="G123" s="27"/>
      <c r="H123" s="27"/>
      <c r="I123" s="27"/>
      <c r="J123" s="27"/>
      <c r="K123" s="27"/>
      <c r="L123" s="27"/>
      <c r="M123" s="27"/>
      <c r="N123" s="27"/>
      <c r="O123" s="27"/>
      <c r="P123" s="27"/>
      <c r="Q123" s="3">
        <f t="shared" si="5"/>
        <v>0</v>
      </c>
      <c r="R123" s="39">
        <f>Q123/Summary!$Q$16</f>
        <v>0</v>
      </c>
      <c r="S123" s="35"/>
      <c r="T123" s="40">
        <f t="shared" si="6"/>
        <v>0</v>
      </c>
    </row>
    <row r="124" spans="1:20" s="3" customFormat="1" ht="24.95" hidden="1" customHeight="1">
      <c r="A124" s="3" t="s">
        <v>949</v>
      </c>
      <c r="B124" s="3" t="s">
        <v>1026</v>
      </c>
      <c r="D124" s="26" t="s">
        <v>950</v>
      </c>
      <c r="E124" s="27"/>
      <c r="F124" s="27"/>
      <c r="G124" s="27"/>
      <c r="H124" s="27"/>
      <c r="I124" s="27"/>
      <c r="J124" s="27"/>
      <c r="K124" s="27"/>
      <c r="L124" s="27"/>
      <c r="M124" s="27"/>
      <c r="N124" s="27"/>
      <c r="O124" s="27"/>
      <c r="P124" s="27"/>
      <c r="Q124" s="3">
        <f t="shared" si="5"/>
        <v>0</v>
      </c>
      <c r="R124" s="39">
        <f>Q124/Summary!$Q$16</f>
        <v>0</v>
      </c>
      <c r="S124" s="35"/>
      <c r="T124" s="40">
        <f t="shared" si="6"/>
        <v>0</v>
      </c>
    </row>
    <row r="125" spans="1:20" s="3" customFormat="1" ht="24.95" hidden="1" customHeight="1">
      <c r="A125" s="3" t="s">
        <v>951</v>
      </c>
      <c r="B125" s="3" t="s">
        <v>1026</v>
      </c>
      <c r="D125" s="26" t="s">
        <v>952</v>
      </c>
      <c r="E125" s="27"/>
      <c r="F125" s="27"/>
      <c r="G125" s="27"/>
      <c r="H125" s="27"/>
      <c r="I125" s="27"/>
      <c r="J125" s="27"/>
      <c r="K125" s="27"/>
      <c r="L125" s="27"/>
      <c r="M125" s="27"/>
      <c r="N125" s="27"/>
      <c r="O125" s="27"/>
      <c r="P125" s="27"/>
      <c r="Q125" s="3">
        <f t="shared" si="5"/>
        <v>0</v>
      </c>
      <c r="R125" s="39">
        <f>Q125/Summary!$Q$16</f>
        <v>0</v>
      </c>
      <c r="S125" s="35"/>
      <c r="T125" s="40">
        <f t="shared" si="6"/>
        <v>0</v>
      </c>
    </row>
    <row r="126" spans="1:20" s="3" customFormat="1" ht="24.95" hidden="1" customHeight="1">
      <c r="A126" s="3" t="s">
        <v>953</v>
      </c>
      <c r="B126" s="3" t="s">
        <v>1026</v>
      </c>
      <c r="D126" s="26" t="s">
        <v>954</v>
      </c>
      <c r="E126" s="27"/>
      <c r="F126" s="27"/>
      <c r="G126" s="27"/>
      <c r="H126" s="27"/>
      <c r="I126" s="27"/>
      <c r="J126" s="27"/>
      <c r="K126" s="27"/>
      <c r="L126" s="27"/>
      <c r="M126" s="27"/>
      <c r="N126" s="27"/>
      <c r="O126" s="27"/>
      <c r="P126" s="27"/>
      <c r="Q126" s="3">
        <f t="shared" si="5"/>
        <v>0</v>
      </c>
      <c r="R126" s="39">
        <f>Q126/Summary!$Q$16</f>
        <v>0</v>
      </c>
      <c r="S126" s="35"/>
      <c r="T126" s="40">
        <f t="shared" si="6"/>
        <v>0</v>
      </c>
    </row>
    <row r="127" spans="1:20" s="3" customFormat="1" ht="24.95" hidden="1" customHeight="1">
      <c r="A127" s="3" t="s">
        <v>955</v>
      </c>
      <c r="B127" s="3" t="s">
        <v>1026</v>
      </c>
      <c r="D127" s="26" t="s">
        <v>956</v>
      </c>
      <c r="E127" s="27"/>
      <c r="F127" s="27"/>
      <c r="G127" s="27"/>
      <c r="H127" s="27"/>
      <c r="I127" s="27"/>
      <c r="J127" s="27"/>
      <c r="K127" s="27"/>
      <c r="L127" s="27"/>
      <c r="M127" s="27"/>
      <c r="N127" s="27"/>
      <c r="O127" s="27"/>
      <c r="P127" s="27"/>
      <c r="Q127" s="3">
        <f t="shared" si="5"/>
        <v>0</v>
      </c>
      <c r="R127" s="39">
        <f>Q127/Summary!$Q$16</f>
        <v>0</v>
      </c>
      <c r="S127" s="35"/>
      <c r="T127" s="40">
        <f t="shared" si="6"/>
        <v>0</v>
      </c>
    </row>
    <row r="128" spans="1:20" s="3" customFormat="1" ht="24.95" hidden="1" customHeight="1">
      <c r="A128" s="3" t="s">
        <v>957</v>
      </c>
      <c r="B128" s="3" t="s">
        <v>1026</v>
      </c>
      <c r="D128" s="26" t="s">
        <v>958</v>
      </c>
      <c r="E128" s="27"/>
      <c r="F128" s="27"/>
      <c r="G128" s="27"/>
      <c r="H128" s="27"/>
      <c r="I128" s="27"/>
      <c r="J128" s="27"/>
      <c r="K128" s="27"/>
      <c r="L128" s="27"/>
      <c r="M128" s="27"/>
      <c r="N128" s="27"/>
      <c r="O128" s="27"/>
      <c r="P128" s="27"/>
      <c r="Q128" s="3">
        <f t="shared" si="5"/>
        <v>0</v>
      </c>
      <c r="R128" s="39">
        <f>Q128/Summary!$Q$16</f>
        <v>0</v>
      </c>
      <c r="S128" s="35"/>
      <c r="T128" s="40">
        <f t="shared" si="6"/>
        <v>0</v>
      </c>
    </row>
    <row r="129" spans="1:20" s="3" customFormat="1" ht="24.95" hidden="1" customHeight="1">
      <c r="A129" s="3" t="s">
        <v>959</v>
      </c>
      <c r="B129" s="3" t="s">
        <v>1026</v>
      </c>
      <c r="D129" s="26" t="s">
        <v>960</v>
      </c>
      <c r="E129" s="27"/>
      <c r="F129" s="27"/>
      <c r="G129" s="27"/>
      <c r="H129" s="27"/>
      <c r="I129" s="27"/>
      <c r="J129" s="27"/>
      <c r="K129" s="27"/>
      <c r="L129" s="27"/>
      <c r="M129" s="27"/>
      <c r="N129" s="27"/>
      <c r="O129" s="27"/>
      <c r="P129" s="27"/>
      <c r="Q129" s="3">
        <f t="shared" si="5"/>
        <v>0</v>
      </c>
      <c r="R129" s="39">
        <f>Q129/Summary!$Q$16</f>
        <v>0</v>
      </c>
      <c r="S129" s="35"/>
      <c r="T129" s="40">
        <f t="shared" si="6"/>
        <v>0</v>
      </c>
    </row>
    <row r="130" spans="1:20" s="3" customFormat="1" ht="24.95" hidden="1" customHeight="1">
      <c r="A130" s="3" t="s">
        <v>961</v>
      </c>
      <c r="B130" s="3" t="s">
        <v>1026</v>
      </c>
      <c r="D130" s="26" t="s">
        <v>962</v>
      </c>
      <c r="E130" s="27"/>
      <c r="F130" s="27"/>
      <c r="G130" s="27"/>
      <c r="H130" s="27"/>
      <c r="I130" s="27"/>
      <c r="J130" s="27"/>
      <c r="K130" s="27"/>
      <c r="L130" s="27"/>
      <c r="M130" s="27"/>
      <c r="N130" s="27"/>
      <c r="O130" s="27"/>
      <c r="P130" s="27"/>
      <c r="Q130" s="3">
        <f t="shared" si="5"/>
        <v>0</v>
      </c>
      <c r="R130" s="39">
        <f>Q130/Summary!$Q$16</f>
        <v>0</v>
      </c>
      <c r="S130" s="35"/>
      <c r="T130" s="40">
        <f t="shared" si="6"/>
        <v>0</v>
      </c>
    </row>
    <row r="131" spans="1:20" s="3" customFormat="1" ht="24.95" hidden="1" customHeight="1">
      <c r="A131" s="3" t="s">
        <v>963</v>
      </c>
      <c r="B131" s="3" t="s">
        <v>1026</v>
      </c>
      <c r="D131" s="26" t="s">
        <v>964</v>
      </c>
      <c r="E131" s="27"/>
      <c r="F131" s="27"/>
      <c r="G131" s="27"/>
      <c r="H131" s="27"/>
      <c r="I131" s="27"/>
      <c r="J131" s="27"/>
      <c r="K131" s="27"/>
      <c r="L131" s="27"/>
      <c r="M131" s="27"/>
      <c r="N131" s="27"/>
      <c r="O131" s="27"/>
      <c r="P131" s="27"/>
      <c r="Q131" s="3">
        <f t="shared" si="5"/>
        <v>0</v>
      </c>
      <c r="R131" s="39">
        <f>Q131/Summary!$Q$16</f>
        <v>0</v>
      </c>
      <c r="S131" s="35"/>
      <c r="T131" s="40">
        <f t="shared" si="6"/>
        <v>0</v>
      </c>
    </row>
    <row r="132" spans="1:20" s="3" customFormat="1" ht="24.95" hidden="1" customHeight="1">
      <c r="A132" s="3" t="s">
        <v>965</v>
      </c>
      <c r="B132" s="3" t="s">
        <v>1026</v>
      </c>
      <c r="D132" s="26" t="s">
        <v>966</v>
      </c>
      <c r="E132" s="27"/>
      <c r="F132" s="27"/>
      <c r="G132" s="27"/>
      <c r="H132" s="27"/>
      <c r="I132" s="27"/>
      <c r="J132" s="27"/>
      <c r="K132" s="27"/>
      <c r="L132" s="27"/>
      <c r="M132" s="27"/>
      <c r="N132" s="27"/>
      <c r="O132" s="27"/>
      <c r="P132" s="27"/>
      <c r="Q132" s="3">
        <f t="shared" si="5"/>
        <v>0</v>
      </c>
      <c r="R132" s="39">
        <f>Q132/Summary!$Q$16</f>
        <v>0</v>
      </c>
      <c r="S132" s="35"/>
      <c r="T132" s="40">
        <f t="shared" si="6"/>
        <v>0</v>
      </c>
    </row>
    <row r="133" spans="1:20" s="3" customFormat="1" ht="24.95" hidden="1" customHeight="1">
      <c r="A133" s="3" t="s">
        <v>967</v>
      </c>
      <c r="B133" s="3" t="s">
        <v>1026</v>
      </c>
      <c r="D133" s="26" t="s">
        <v>968</v>
      </c>
      <c r="E133" s="27"/>
      <c r="F133" s="27"/>
      <c r="G133" s="27"/>
      <c r="H133" s="27"/>
      <c r="I133" s="27"/>
      <c r="J133" s="27"/>
      <c r="K133" s="27"/>
      <c r="L133" s="27"/>
      <c r="M133" s="27"/>
      <c r="N133" s="27"/>
      <c r="O133" s="27"/>
      <c r="P133" s="27"/>
      <c r="Q133" s="3">
        <f t="shared" si="5"/>
        <v>0</v>
      </c>
      <c r="R133" s="39">
        <f>Q133/Summary!$Q$16</f>
        <v>0</v>
      </c>
      <c r="S133" s="35"/>
      <c r="T133" s="40">
        <f t="shared" ref="T133:T159" si="7">-IF(Q133-S133=0,0,(Q133-S133)/S133)</f>
        <v>0</v>
      </c>
    </row>
    <row r="134" spans="1:20" s="3" customFormat="1" ht="24.95" hidden="1" customHeight="1">
      <c r="A134" s="3" t="s">
        <v>969</v>
      </c>
      <c r="B134" s="3" t="s">
        <v>1026</v>
      </c>
      <c r="D134" s="26" t="s">
        <v>970</v>
      </c>
      <c r="E134" s="27"/>
      <c r="F134" s="27"/>
      <c r="G134" s="27"/>
      <c r="H134" s="27"/>
      <c r="I134" s="27"/>
      <c r="J134" s="27"/>
      <c r="K134" s="27"/>
      <c r="L134" s="27"/>
      <c r="M134" s="27"/>
      <c r="N134" s="27"/>
      <c r="O134" s="27"/>
      <c r="P134" s="27"/>
      <c r="Q134" s="3">
        <f t="shared" si="5"/>
        <v>0</v>
      </c>
      <c r="R134" s="39">
        <f>Q134/Summary!$Q$16</f>
        <v>0</v>
      </c>
      <c r="S134" s="35"/>
      <c r="T134" s="40">
        <f t="shared" si="7"/>
        <v>0</v>
      </c>
    </row>
    <row r="135" spans="1:20" s="3" customFormat="1" ht="24.95" hidden="1" customHeight="1">
      <c r="A135" s="3" t="s">
        <v>971</v>
      </c>
      <c r="B135" s="3" t="s">
        <v>1026</v>
      </c>
      <c r="D135" s="26" t="s">
        <v>972</v>
      </c>
      <c r="E135" s="27"/>
      <c r="F135" s="27"/>
      <c r="G135" s="27"/>
      <c r="H135" s="27"/>
      <c r="I135" s="27"/>
      <c r="J135" s="27"/>
      <c r="K135" s="27"/>
      <c r="L135" s="27"/>
      <c r="M135" s="27"/>
      <c r="N135" s="27"/>
      <c r="O135" s="27"/>
      <c r="P135" s="27"/>
      <c r="Q135" s="3">
        <f t="shared" si="5"/>
        <v>0</v>
      </c>
      <c r="R135" s="39">
        <f>Q135/Summary!$Q$16</f>
        <v>0</v>
      </c>
      <c r="S135" s="35"/>
      <c r="T135" s="40">
        <f t="shared" si="7"/>
        <v>0</v>
      </c>
    </row>
    <row r="136" spans="1:20" s="3" customFormat="1" ht="24.95" hidden="1" customHeight="1">
      <c r="A136" s="3" t="s">
        <v>973</v>
      </c>
      <c r="B136" s="3" t="s">
        <v>1026</v>
      </c>
      <c r="D136" s="26" t="s">
        <v>974</v>
      </c>
      <c r="E136" s="27"/>
      <c r="F136" s="27"/>
      <c r="G136" s="27"/>
      <c r="H136" s="27"/>
      <c r="I136" s="27"/>
      <c r="J136" s="27"/>
      <c r="K136" s="27"/>
      <c r="L136" s="27"/>
      <c r="M136" s="27"/>
      <c r="N136" s="27"/>
      <c r="O136" s="27"/>
      <c r="P136" s="27"/>
      <c r="Q136" s="3">
        <f t="shared" si="5"/>
        <v>0</v>
      </c>
      <c r="R136" s="39">
        <f>Q136/Summary!$Q$16</f>
        <v>0</v>
      </c>
      <c r="S136" s="35"/>
      <c r="T136" s="40">
        <f t="shared" si="7"/>
        <v>0</v>
      </c>
    </row>
    <row r="137" spans="1:20" s="3" customFormat="1" ht="24.95" hidden="1" customHeight="1">
      <c r="A137" s="3" t="s">
        <v>975</v>
      </c>
      <c r="B137" s="3" t="s">
        <v>1026</v>
      </c>
      <c r="D137" s="26" t="s">
        <v>976</v>
      </c>
      <c r="E137" s="27"/>
      <c r="F137" s="27"/>
      <c r="G137" s="27"/>
      <c r="H137" s="27"/>
      <c r="I137" s="27"/>
      <c r="J137" s="27"/>
      <c r="K137" s="27"/>
      <c r="L137" s="27"/>
      <c r="M137" s="27"/>
      <c r="N137" s="27"/>
      <c r="O137" s="27"/>
      <c r="P137" s="27"/>
      <c r="Q137" s="3">
        <f t="shared" si="5"/>
        <v>0</v>
      </c>
      <c r="R137" s="39">
        <f>Q137/Summary!$Q$16</f>
        <v>0</v>
      </c>
      <c r="S137" s="35"/>
      <c r="T137" s="40">
        <f t="shared" si="7"/>
        <v>0</v>
      </c>
    </row>
    <row r="138" spans="1:20" s="3" customFormat="1" ht="24.95" hidden="1" customHeight="1">
      <c r="A138" s="3" t="s">
        <v>977</v>
      </c>
      <c r="B138" s="3" t="s">
        <v>1026</v>
      </c>
      <c r="D138" s="26" t="s">
        <v>978</v>
      </c>
      <c r="E138" s="27"/>
      <c r="F138" s="27"/>
      <c r="G138" s="27"/>
      <c r="H138" s="27"/>
      <c r="I138" s="27"/>
      <c r="J138" s="27"/>
      <c r="K138" s="27"/>
      <c r="L138" s="27"/>
      <c r="M138" s="27"/>
      <c r="N138" s="27"/>
      <c r="O138" s="27"/>
      <c r="P138" s="27"/>
      <c r="Q138" s="3">
        <f t="shared" si="5"/>
        <v>0</v>
      </c>
      <c r="R138" s="39">
        <f>Q138/Summary!$Q$16</f>
        <v>0</v>
      </c>
      <c r="S138" s="35"/>
      <c r="T138" s="40">
        <f t="shared" si="7"/>
        <v>0</v>
      </c>
    </row>
    <row r="139" spans="1:20" s="3" customFormat="1" ht="24.95" hidden="1" customHeight="1">
      <c r="A139" s="3" t="s">
        <v>979</v>
      </c>
      <c r="B139" s="3" t="s">
        <v>1026</v>
      </c>
      <c r="D139" s="26" t="s">
        <v>980</v>
      </c>
      <c r="E139" s="27"/>
      <c r="F139" s="27"/>
      <c r="G139" s="27"/>
      <c r="H139" s="27"/>
      <c r="I139" s="27"/>
      <c r="J139" s="27"/>
      <c r="K139" s="27"/>
      <c r="L139" s="27"/>
      <c r="M139" s="27"/>
      <c r="N139" s="27"/>
      <c r="O139" s="27"/>
      <c r="P139" s="27"/>
      <c r="Q139" s="3">
        <f t="shared" si="5"/>
        <v>0</v>
      </c>
      <c r="R139" s="39">
        <f>Q139/Summary!$Q$16</f>
        <v>0</v>
      </c>
      <c r="S139" s="35"/>
      <c r="T139" s="40">
        <f t="shared" si="7"/>
        <v>0</v>
      </c>
    </row>
    <row r="140" spans="1:20" s="3" customFormat="1" ht="24.95" hidden="1" customHeight="1">
      <c r="A140" s="3" t="s">
        <v>981</v>
      </c>
      <c r="B140" s="3" t="s">
        <v>1026</v>
      </c>
      <c r="D140" s="26" t="s">
        <v>982</v>
      </c>
      <c r="E140" s="27"/>
      <c r="F140" s="27"/>
      <c r="G140" s="27"/>
      <c r="H140" s="27"/>
      <c r="I140" s="27"/>
      <c r="J140" s="27"/>
      <c r="K140" s="27"/>
      <c r="L140" s="27"/>
      <c r="M140" s="27"/>
      <c r="N140" s="27"/>
      <c r="O140" s="27"/>
      <c r="P140" s="27"/>
      <c r="Q140" s="3">
        <f t="shared" si="5"/>
        <v>0</v>
      </c>
      <c r="R140" s="39">
        <f>Q140/Summary!$Q$16</f>
        <v>0</v>
      </c>
      <c r="S140" s="35"/>
      <c r="T140" s="40">
        <f t="shared" si="7"/>
        <v>0</v>
      </c>
    </row>
    <row r="141" spans="1:20" s="3" customFormat="1" ht="24.95" hidden="1" customHeight="1">
      <c r="A141" s="3" t="s">
        <v>983</v>
      </c>
      <c r="B141" s="3" t="s">
        <v>1026</v>
      </c>
      <c r="D141" s="26" t="s">
        <v>984</v>
      </c>
      <c r="E141" s="27"/>
      <c r="F141" s="27"/>
      <c r="G141" s="27"/>
      <c r="H141" s="27"/>
      <c r="I141" s="27"/>
      <c r="J141" s="27"/>
      <c r="K141" s="27"/>
      <c r="L141" s="27"/>
      <c r="M141" s="27"/>
      <c r="N141" s="27"/>
      <c r="O141" s="27"/>
      <c r="P141" s="27"/>
      <c r="Q141" s="3">
        <f t="shared" si="5"/>
        <v>0</v>
      </c>
      <c r="R141" s="39">
        <f>Q141/Summary!$Q$16</f>
        <v>0</v>
      </c>
      <c r="S141" s="35"/>
      <c r="T141" s="40">
        <f t="shared" si="7"/>
        <v>0</v>
      </c>
    </row>
    <row r="142" spans="1:20" s="3" customFormat="1" ht="24.95" hidden="1" customHeight="1">
      <c r="A142" s="3" t="s">
        <v>985</v>
      </c>
      <c r="B142" s="3" t="s">
        <v>1026</v>
      </c>
      <c r="D142" s="26" t="s">
        <v>986</v>
      </c>
      <c r="E142" s="27"/>
      <c r="F142" s="27"/>
      <c r="G142" s="27"/>
      <c r="H142" s="27"/>
      <c r="I142" s="27"/>
      <c r="J142" s="27"/>
      <c r="K142" s="27"/>
      <c r="L142" s="27"/>
      <c r="M142" s="27"/>
      <c r="N142" s="27"/>
      <c r="O142" s="27"/>
      <c r="P142" s="27"/>
      <c r="Q142" s="3">
        <f t="shared" si="5"/>
        <v>0</v>
      </c>
      <c r="R142" s="39">
        <f>Q142/Summary!$Q$16</f>
        <v>0</v>
      </c>
      <c r="S142" s="35"/>
      <c r="T142" s="40">
        <f t="shared" si="7"/>
        <v>0</v>
      </c>
    </row>
    <row r="143" spans="1:20" s="3" customFormat="1" ht="24.95" hidden="1" customHeight="1">
      <c r="A143" s="3" t="s">
        <v>987</v>
      </c>
      <c r="B143" s="3" t="s">
        <v>1026</v>
      </c>
      <c r="D143" s="26" t="s">
        <v>988</v>
      </c>
      <c r="E143" s="27"/>
      <c r="F143" s="27"/>
      <c r="G143" s="27"/>
      <c r="H143" s="27"/>
      <c r="I143" s="27"/>
      <c r="J143" s="27"/>
      <c r="K143" s="27"/>
      <c r="L143" s="27"/>
      <c r="M143" s="27"/>
      <c r="N143" s="27"/>
      <c r="O143" s="27"/>
      <c r="P143" s="27"/>
      <c r="Q143" s="3">
        <f t="shared" si="5"/>
        <v>0</v>
      </c>
      <c r="R143" s="39">
        <f>Q143/Summary!$Q$16</f>
        <v>0</v>
      </c>
      <c r="S143" s="35"/>
      <c r="T143" s="40">
        <f t="shared" si="7"/>
        <v>0</v>
      </c>
    </row>
    <row r="144" spans="1:20" s="3" customFormat="1" ht="24.95" hidden="1" customHeight="1">
      <c r="A144" s="3" t="s">
        <v>989</v>
      </c>
      <c r="B144" s="3" t="s">
        <v>1026</v>
      </c>
      <c r="D144" s="26" t="s">
        <v>990</v>
      </c>
      <c r="E144" s="27"/>
      <c r="F144" s="27"/>
      <c r="G144" s="27"/>
      <c r="H144" s="27"/>
      <c r="I144" s="27"/>
      <c r="J144" s="27"/>
      <c r="K144" s="27"/>
      <c r="L144" s="27"/>
      <c r="M144" s="27"/>
      <c r="N144" s="27"/>
      <c r="O144" s="27"/>
      <c r="P144" s="27"/>
      <c r="Q144" s="3">
        <f t="shared" ref="Q144:Q157" si="8">SUM(E144:P144)</f>
        <v>0</v>
      </c>
      <c r="R144" s="39">
        <f>Q144/Summary!$Q$16</f>
        <v>0</v>
      </c>
      <c r="S144" s="35"/>
      <c r="T144" s="40">
        <f t="shared" si="7"/>
        <v>0</v>
      </c>
    </row>
    <row r="145" spans="1:20" s="3" customFormat="1" ht="24.95" hidden="1" customHeight="1">
      <c r="A145" s="3" t="s">
        <v>991</v>
      </c>
      <c r="B145" s="3" t="s">
        <v>1026</v>
      </c>
      <c r="D145" s="26" t="s">
        <v>992</v>
      </c>
      <c r="E145" s="27"/>
      <c r="F145" s="27"/>
      <c r="G145" s="27"/>
      <c r="H145" s="27"/>
      <c r="I145" s="27"/>
      <c r="J145" s="27"/>
      <c r="K145" s="27"/>
      <c r="L145" s="27"/>
      <c r="M145" s="27"/>
      <c r="N145" s="27"/>
      <c r="O145" s="27"/>
      <c r="P145" s="27"/>
      <c r="Q145" s="3">
        <f t="shared" si="8"/>
        <v>0</v>
      </c>
      <c r="R145" s="39">
        <f>Q145/Summary!$Q$16</f>
        <v>0</v>
      </c>
      <c r="S145" s="35"/>
      <c r="T145" s="40">
        <f t="shared" si="7"/>
        <v>0</v>
      </c>
    </row>
    <row r="146" spans="1:20" s="3" customFormat="1" ht="24.95" hidden="1" customHeight="1">
      <c r="A146" s="3" t="s">
        <v>993</v>
      </c>
      <c r="B146" s="3" t="s">
        <v>1026</v>
      </c>
      <c r="D146" s="26" t="s">
        <v>994</v>
      </c>
      <c r="E146" s="27"/>
      <c r="F146" s="27"/>
      <c r="G146" s="27"/>
      <c r="H146" s="27"/>
      <c r="I146" s="27"/>
      <c r="J146" s="27"/>
      <c r="K146" s="27"/>
      <c r="L146" s="27"/>
      <c r="M146" s="27"/>
      <c r="N146" s="27"/>
      <c r="O146" s="27"/>
      <c r="P146" s="27"/>
      <c r="Q146" s="3">
        <f t="shared" si="8"/>
        <v>0</v>
      </c>
      <c r="R146" s="39">
        <f>Q146/Summary!$Q$16</f>
        <v>0</v>
      </c>
      <c r="S146" s="35"/>
      <c r="T146" s="40">
        <f t="shared" si="7"/>
        <v>0</v>
      </c>
    </row>
    <row r="147" spans="1:20" s="3" customFormat="1" ht="24.95" hidden="1" customHeight="1">
      <c r="A147" s="3" t="s">
        <v>995</v>
      </c>
      <c r="B147" s="3" t="s">
        <v>1026</v>
      </c>
      <c r="D147" s="26" t="s">
        <v>996</v>
      </c>
      <c r="E147" s="27"/>
      <c r="F147" s="27"/>
      <c r="G147" s="27"/>
      <c r="H147" s="27"/>
      <c r="I147" s="27"/>
      <c r="J147" s="27"/>
      <c r="K147" s="27"/>
      <c r="L147" s="27"/>
      <c r="M147" s="27"/>
      <c r="N147" s="27"/>
      <c r="O147" s="27"/>
      <c r="P147" s="27"/>
      <c r="Q147" s="3">
        <f t="shared" si="8"/>
        <v>0</v>
      </c>
      <c r="R147" s="39">
        <f>Q147/Summary!$Q$16</f>
        <v>0</v>
      </c>
      <c r="S147" s="35"/>
      <c r="T147" s="40">
        <f t="shared" si="7"/>
        <v>0</v>
      </c>
    </row>
    <row r="148" spans="1:20" s="3" customFormat="1" ht="24.95" hidden="1" customHeight="1">
      <c r="A148" s="3" t="s">
        <v>997</v>
      </c>
      <c r="B148" s="3" t="s">
        <v>1026</v>
      </c>
      <c r="D148" s="26" t="s">
        <v>998</v>
      </c>
      <c r="E148" s="27"/>
      <c r="F148" s="27"/>
      <c r="G148" s="27"/>
      <c r="H148" s="27"/>
      <c r="I148" s="27"/>
      <c r="J148" s="27"/>
      <c r="K148" s="27"/>
      <c r="L148" s="27"/>
      <c r="M148" s="27"/>
      <c r="N148" s="27"/>
      <c r="O148" s="27"/>
      <c r="P148" s="27"/>
      <c r="Q148" s="3">
        <f t="shared" si="8"/>
        <v>0</v>
      </c>
      <c r="R148" s="39">
        <f>Q148/Summary!$Q$16</f>
        <v>0</v>
      </c>
      <c r="S148" s="35"/>
      <c r="T148" s="40">
        <f t="shared" si="7"/>
        <v>0</v>
      </c>
    </row>
    <row r="149" spans="1:20" s="3" customFormat="1" ht="24.95" hidden="1" customHeight="1">
      <c r="A149" s="3" t="s">
        <v>999</v>
      </c>
      <c r="B149" s="3" t="s">
        <v>1026</v>
      </c>
      <c r="D149" s="26" t="s">
        <v>1000</v>
      </c>
      <c r="E149" s="27"/>
      <c r="F149" s="27"/>
      <c r="G149" s="27"/>
      <c r="H149" s="27"/>
      <c r="I149" s="27"/>
      <c r="J149" s="27"/>
      <c r="K149" s="27"/>
      <c r="L149" s="27"/>
      <c r="M149" s="27"/>
      <c r="N149" s="27"/>
      <c r="O149" s="27"/>
      <c r="P149" s="27"/>
      <c r="Q149" s="3">
        <f t="shared" si="8"/>
        <v>0</v>
      </c>
      <c r="R149" s="39">
        <f>Q149/Summary!$Q$16</f>
        <v>0</v>
      </c>
      <c r="S149" s="35"/>
      <c r="T149" s="40">
        <f t="shared" si="7"/>
        <v>0</v>
      </c>
    </row>
    <row r="150" spans="1:20" s="3" customFormat="1" ht="24.95" hidden="1" customHeight="1">
      <c r="A150" s="3" t="s">
        <v>1001</v>
      </c>
      <c r="B150" s="3" t="s">
        <v>1026</v>
      </c>
      <c r="D150" s="26" t="s">
        <v>1002</v>
      </c>
      <c r="E150" s="27"/>
      <c r="F150" s="27"/>
      <c r="G150" s="27"/>
      <c r="H150" s="27"/>
      <c r="I150" s="27"/>
      <c r="J150" s="27"/>
      <c r="K150" s="27"/>
      <c r="L150" s="27"/>
      <c r="M150" s="27"/>
      <c r="N150" s="27"/>
      <c r="O150" s="27"/>
      <c r="P150" s="27"/>
      <c r="Q150" s="3">
        <f t="shared" si="8"/>
        <v>0</v>
      </c>
      <c r="R150" s="39">
        <f>Q150/Summary!$Q$16</f>
        <v>0</v>
      </c>
      <c r="S150" s="35"/>
      <c r="T150" s="40">
        <f t="shared" si="7"/>
        <v>0</v>
      </c>
    </row>
    <row r="151" spans="1:20" s="3" customFormat="1" ht="24.95" hidden="1" customHeight="1">
      <c r="A151" s="3" t="s">
        <v>1003</v>
      </c>
      <c r="B151" s="3" t="s">
        <v>1026</v>
      </c>
      <c r="D151" s="26" t="s">
        <v>1004</v>
      </c>
      <c r="E151" s="27"/>
      <c r="F151" s="27"/>
      <c r="G151" s="27"/>
      <c r="H151" s="27"/>
      <c r="I151" s="27"/>
      <c r="J151" s="27"/>
      <c r="K151" s="27"/>
      <c r="L151" s="27"/>
      <c r="M151" s="27"/>
      <c r="N151" s="27"/>
      <c r="O151" s="27"/>
      <c r="P151" s="27"/>
      <c r="Q151" s="3">
        <f t="shared" si="8"/>
        <v>0</v>
      </c>
      <c r="R151" s="39">
        <f>Q151/Summary!$Q$16</f>
        <v>0</v>
      </c>
      <c r="S151" s="35"/>
      <c r="T151" s="40">
        <f t="shared" si="7"/>
        <v>0</v>
      </c>
    </row>
    <row r="152" spans="1:20" s="3" customFormat="1" ht="24.95" hidden="1" customHeight="1">
      <c r="A152" s="3" t="s">
        <v>1005</v>
      </c>
      <c r="B152" s="3" t="s">
        <v>1026</v>
      </c>
      <c r="D152" s="26" t="s">
        <v>1006</v>
      </c>
      <c r="E152" s="27"/>
      <c r="F152" s="27"/>
      <c r="G152" s="27"/>
      <c r="H152" s="27"/>
      <c r="I152" s="27"/>
      <c r="J152" s="27"/>
      <c r="K152" s="27"/>
      <c r="L152" s="27"/>
      <c r="M152" s="27"/>
      <c r="N152" s="27"/>
      <c r="O152" s="27"/>
      <c r="P152" s="27"/>
      <c r="Q152" s="3">
        <f t="shared" si="8"/>
        <v>0</v>
      </c>
      <c r="R152" s="39">
        <f>Q152/Summary!$Q$16</f>
        <v>0</v>
      </c>
      <c r="S152" s="35"/>
      <c r="T152" s="40">
        <f t="shared" si="7"/>
        <v>0</v>
      </c>
    </row>
    <row r="153" spans="1:20" s="3" customFormat="1" ht="24.95" hidden="1" customHeight="1">
      <c r="A153" s="3" t="s">
        <v>1007</v>
      </c>
      <c r="B153" s="3" t="s">
        <v>1026</v>
      </c>
      <c r="D153" s="26" t="s">
        <v>1008</v>
      </c>
      <c r="E153" s="27"/>
      <c r="F153" s="27"/>
      <c r="G153" s="27"/>
      <c r="H153" s="27"/>
      <c r="I153" s="27"/>
      <c r="J153" s="27"/>
      <c r="K153" s="27"/>
      <c r="L153" s="27"/>
      <c r="M153" s="27"/>
      <c r="N153" s="27"/>
      <c r="O153" s="27"/>
      <c r="P153" s="27"/>
      <c r="Q153" s="3">
        <f t="shared" si="8"/>
        <v>0</v>
      </c>
      <c r="R153" s="39">
        <f>Q153/Summary!$Q$16</f>
        <v>0</v>
      </c>
      <c r="S153" s="35"/>
      <c r="T153" s="40">
        <f t="shared" si="7"/>
        <v>0</v>
      </c>
    </row>
    <row r="154" spans="1:20" s="3" customFormat="1" ht="24.95" customHeight="1">
      <c r="A154" s="3" t="s">
        <v>1009</v>
      </c>
      <c r="B154" s="3" t="s">
        <v>1026</v>
      </c>
      <c r="D154" s="26" t="s">
        <v>1010</v>
      </c>
      <c r="E154" s="27">
        <v>1000</v>
      </c>
      <c r="F154" s="27">
        <v>1000</v>
      </c>
      <c r="G154" s="27">
        <v>1000</v>
      </c>
      <c r="H154" s="27">
        <v>6000</v>
      </c>
      <c r="I154" s="27">
        <v>6000</v>
      </c>
      <c r="J154" s="27">
        <v>6000</v>
      </c>
      <c r="K154" s="27">
        <v>6000</v>
      </c>
      <c r="L154" s="27">
        <v>6000</v>
      </c>
      <c r="M154" s="27">
        <v>4000</v>
      </c>
      <c r="N154" s="27">
        <v>4000</v>
      </c>
      <c r="O154" s="27">
        <v>4000</v>
      </c>
      <c r="P154" s="27">
        <v>4000</v>
      </c>
      <c r="Q154" s="372">
        <f t="shared" si="8"/>
        <v>49000</v>
      </c>
      <c r="R154" s="39">
        <f>Q154/Summary!$Q$16</f>
        <v>1.473338992799245E-3</v>
      </c>
      <c r="S154" s="35"/>
      <c r="T154" s="40" t="e">
        <f t="shared" si="7"/>
        <v>#DIV/0!</v>
      </c>
    </row>
    <row r="155" spans="1:20" s="3" customFormat="1" ht="24.95" customHeight="1">
      <c r="A155" s="3" t="s">
        <v>1011</v>
      </c>
      <c r="B155" s="3" t="s">
        <v>1026</v>
      </c>
      <c r="D155" s="26" t="s">
        <v>1012</v>
      </c>
      <c r="E155" s="27">
        <v>28500</v>
      </c>
      <c r="F155" s="27">
        <v>28500</v>
      </c>
      <c r="G155" s="27">
        <v>28500</v>
      </c>
      <c r="H155" s="27">
        <v>28500</v>
      </c>
      <c r="I155" s="27">
        <v>28500</v>
      </c>
      <c r="J155" s="27">
        <v>28500</v>
      </c>
      <c r="K155" s="27">
        <v>28500</v>
      </c>
      <c r="L155" s="27">
        <v>28500</v>
      </c>
      <c r="M155" s="27">
        <v>28500</v>
      </c>
      <c r="N155" s="27">
        <v>28500</v>
      </c>
      <c r="O155" s="27">
        <v>28500</v>
      </c>
      <c r="P155" s="27">
        <v>28500</v>
      </c>
      <c r="Q155" s="3">
        <f t="shared" si="8"/>
        <v>342000</v>
      </c>
      <c r="R155" s="39">
        <f>Q155/Summary!$Q$16</f>
        <v>1.0283304806884526E-2</v>
      </c>
      <c r="S155" s="35"/>
      <c r="T155" s="40" t="e">
        <f t="shared" si="7"/>
        <v>#DIV/0!</v>
      </c>
    </row>
    <row r="156" spans="1:20" s="3" customFormat="1" ht="24.95" customHeight="1">
      <c r="A156" s="3" t="s">
        <v>1013</v>
      </c>
      <c r="B156" s="3" t="s">
        <v>1026</v>
      </c>
      <c r="D156" s="26" t="s">
        <v>1014</v>
      </c>
      <c r="E156" s="27">
        <v>8400</v>
      </c>
      <c r="F156" s="27">
        <v>8400</v>
      </c>
      <c r="G156" s="27">
        <v>8400</v>
      </c>
      <c r="H156" s="27">
        <v>8400</v>
      </c>
      <c r="I156" s="27">
        <v>8400</v>
      </c>
      <c r="J156" s="27">
        <v>8400</v>
      </c>
      <c r="K156" s="27">
        <v>8400</v>
      </c>
      <c r="L156" s="27">
        <v>8400</v>
      </c>
      <c r="M156" s="27">
        <v>8400</v>
      </c>
      <c r="N156" s="27">
        <v>8400</v>
      </c>
      <c r="O156" s="27">
        <v>8400</v>
      </c>
      <c r="P156" s="27">
        <v>8400</v>
      </c>
      <c r="Q156" s="3">
        <f t="shared" si="8"/>
        <v>100800</v>
      </c>
      <c r="R156" s="39">
        <f>Q156/Summary!$Q$16</f>
        <v>3.0308687851870186E-3</v>
      </c>
      <c r="S156" s="35"/>
      <c r="T156" s="40" t="e">
        <f t="shared" si="7"/>
        <v>#DIV/0!</v>
      </c>
    </row>
    <row r="157" spans="1:20" s="3" customFormat="1" ht="24.95" customHeight="1">
      <c r="A157" s="3" t="s">
        <v>611</v>
      </c>
      <c r="B157" s="3" t="s">
        <v>1026</v>
      </c>
      <c r="D157" s="26" t="s">
        <v>612</v>
      </c>
      <c r="E157" s="27">
        <v>50</v>
      </c>
      <c r="F157" s="27">
        <v>50</v>
      </c>
      <c r="G157" s="27">
        <v>50</v>
      </c>
      <c r="H157" s="27">
        <v>50</v>
      </c>
      <c r="I157" s="27">
        <v>50</v>
      </c>
      <c r="J157" s="27">
        <v>50</v>
      </c>
      <c r="K157" s="27">
        <v>50</v>
      </c>
      <c r="L157" s="27">
        <v>50</v>
      </c>
      <c r="M157" s="27">
        <v>50</v>
      </c>
      <c r="N157" s="27">
        <v>50</v>
      </c>
      <c r="O157" s="27">
        <v>50</v>
      </c>
      <c r="P157" s="27">
        <v>50</v>
      </c>
      <c r="Q157" s="3">
        <f t="shared" si="8"/>
        <v>600</v>
      </c>
      <c r="R157" s="39">
        <f>Q157/Summary!$Q$16</f>
        <v>1.8040885626113206E-5</v>
      </c>
      <c r="S157" s="35"/>
      <c r="T157" s="40" t="e">
        <f t="shared" si="7"/>
        <v>#DIV/0!</v>
      </c>
    </row>
    <row r="158" spans="1:20" s="19" customFormat="1" ht="24.95" customHeight="1">
      <c r="D158" s="21" t="s">
        <v>613</v>
      </c>
      <c r="E158" s="45">
        <f>SUM(E15:E157)</f>
        <v>38514.699999999997</v>
      </c>
      <c r="F158" s="45">
        <f t="shared" ref="F158:Q158" si="9">SUM(F15:F157)</f>
        <v>38541.160000000003</v>
      </c>
      <c r="G158" s="45">
        <f t="shared" si="9"/>
        <v>38513.72</v>
      </c>
      <c r="H158" s="45">
        <f t="shared" si="9"/>
        <v>43543.43</v>
      </c>
      <c r="I158" s="45">
        <f t="shared" si="9"/>
        <v>48547.09</v>
      </c>
      <c r="J158" s="45">
        <f t="shared" si="9"/>
        <v>43549.770000000004</v>
      </c>
      <c r="K158" s="45">
        <f t="shared" si="9"/>
        <v>43546.82</v>
      </c>
      <c r="L158" s="45">
        <f t="shared" si="9"/>
        <v>43548.229999999996</v>
      </c>
      <c r="M158" s="45">
        <f t="shared" si="9"/>
        <v>41566.67</v>
      </c>
      <c r="N158" s="45">
        <f t="shared" si="9"/>
        <v>41593.129999999997</v>
      </c>
      <c r="O158" s="45">
        <f t="shared" si="9"/>
        <v>41535.97</v>
      </c>
      <c r="P158" s="45">
        <f t="shared" si="9"/>
        <v>41530.620000000003</v>
      </c>
      <c r="Q158" s="45">
        <f t="shared" si="9"/>
        <v>504531.31</v>
      </c>
      <c r="R158" s="39">
        <f>Q158/Summary!$Q$16</f>
        <v>1.5170319430838443E-2</v>
      </c>
      <c r="S158" s="35"/>
      <c r="T158" s="40" t="e">
        <f t="shared" si="7"/>
        <v>#DIV/0!</v>
      </c>
    </row>
    <row r="159" spans="1:20" s="19" customFormat="1" ht="24.75" customHeight="1">
      <c r="D159" s="21" t="s">
        <v>614</v>
      </c>
      <c r="E159" s="45">
        <f>+E12+E158</f>
        <v>51343.539999999994</v>
      </c>
      <c r="F159" s="45">
        <f t="shared" ref="F159:P159" si="10">+F12+F158</f>
        <v>51412.030000000006</v>
      </c>
      <c r="G159" s="45">
        <f t="shared" si="10"/>
        <v>51321.55</v>
      </c>
      <c r="H159" s="45">
        <f t="shared" si="10"/>
        <v>56372.270000000004</v>
      </c>
      <c r="I159" s="45">
        <f t="shared" si="10"/>
        <v>61375.929999999993</v>
      </c>
      <c r="J159" s="45">
        <f t="shared" si="10"/>
        <v>56378.61</v>
      </c>
      <c r="K159" s="45">
        <f t="shared" si="10"/>
        <v>56354.65</v>
      </c>
      <c r="L159" s="45">
        <f t="shared" si="10"/>
        <v>56356.06</v>
      </c>
      <c r="M159" s="45">
        <f t="shared" si="10"/>
        <v>54395.509999999995</v>
      </c>
      <c r="N159" s="45">
        <f t="shared" si="10"/>
        <v>54464</v>
      </c>
      <c r="O159" s="45">
        <f t="shared" si="10"/>
        <v>54343.8</v>
      </c>
      <c r="P159" s="45">
        <f t="shared" si="10"/>
        <v>54338.450000000004</v>
      </c>
      <c r="Q159" s="45">
        <f t="shared" ref="Q159" si="11">+Q12+Q158</f>
        <v>658456.39999999991</v>
      </c>
      <c r="R159" s="39">
        <f>Q159/Summary!$Q$16</f>
        <v>1.9798561003637076E-2</v>
      </c>
      <c r="S159" s="35"/>
      <c r="T159" s="40" t="e">
        <f t="shared" si="7"/>
        <v>#DIV/0!</v>
      </c>
    </row>
    <row r="160" spans="1:20" s="3" customFormat="1" ht="24.95" hidden="1" customHeight="1">
      <c r="A160" s="84" t="s">
        <v>615</v>
      </c>
      <c r="B160" s="3" t="s">
        <v>1026</v>
      </c>
      <c r="D160" s="42" t="s">
        <v>351</v>
      </c>
      <c r="E160" s="27">
        <f t="shared" ref="E160:Q160" si="12">+E159</f>
        <v>51343.539999999994</v>
      </c>
      <c r="F160" s="27">
        <f t="shared" si="12"/>
        <v>51412.030000000006</v>
      </c>
      <c r="G160" s="27">
        <f t="shared" si="12"/>
        <v>51321.55</v>
      </c>
      <c r="H160" s="27">
        <f t="shared" si="12"/>
        <v>56372.270000000004</v>
      </c>
      <c r="I160" s="27">
        <f t="shared" si="12"/>
        <v>61375.929999999993</v>
      </c>
      <c r="J160" s="27">
        <f t="shared" si="12"/>
        <v>56378.61</v>
      </c>
      <c r="K160" s="27">
        <f t="shared" si="12"/>
        <v>56354.65</v>
      </c>
      <c r="L160" s="27">
        <f t="shared" si="12"/>
        <v>56356.06</v>
      </c>
      <c r="M160" s="27">
        <f t="shared" si="12"/>
        <v>54395.509999999995</v>
      </c>
      <c r="N160" s="27">
        <f t="shared" si="12"/>
        <v>54464</v>
      </c>
      <c r="O160" s="27">
        <f t="shared" si="12"/>
        <v>54343.8</v>
      </c>
      <c r="P160" s="27">
        <f t="shared" si="12"/>
        <v>54338.450000000004</v>
      </c>
      <c r="Q160" s="3">
        <f t="shared" si="12"/>
        <v>658456.39999999991</v>
      </c>
      <c r="S160" s="35"/>
      <c r="T160" s="40" t="e">
        <f>IF(Q160-S160=0,0,(Q160-S160)/S160)</f>
        <v>#DIV/0!</v>
      </c>
    </row>
    <row r="161" spans="1:20" s="3" customFormat="1" ht="24.95" customHeight="1">
      <c r="D161" s="42"/>
      <c r="E161" s="74"/>
      <c r="F161" s="74"/>
      <c r="G161" s="74"/>
      <c r="H161" s="74"/>
      <c r="I161" s="74"/>
      <c r="J161" s="74"/>
      <c r="K161" s="74"/>
      <c r="L161" s="74"/>
      <c r="M161" s="74"/>
      <c r="N161" s="74"/>
      <c r="O161" s="74"/>
      <c r="P161" s="74"/>
      <c r="S161" s="35"/>
      <c r="T161" s="40"/>
    </row>
    <row r="162" spans="1:20" s="3" customFormat="1" ht="24.95" customHeight="1">
      <c r="B162" s="51"/>
      <c r="D162" s="19" t="s">
        <v>618</v>
      </c>
      <c r="E162" s="48"/>
      <c r="F162" s="48"/>
      <c r="G162" s="48"/>
      <c r="H162" s="48"/>
      <c r="I162" s="48"/>
      <c r="S162" s="35"/>
      <c r="T162" s="40"/>
    </row>
    <row r="163" spans="1:20" s="3" customFormat="1" ht="24.95" customHeight="1">
      <c r="B163" s="51"/>
      <c r="D163" s="19" t="s">
        <v>444</v>
      </c>
      <c r="E163" s="48"/>
      <c r="F163" s="48"/>
      <c r="G163" s="48"/>
      <c r="H163" s="48"/>
      <c r="I163" s="48"/>
      <c r="S163" s="35"/>
      <c r="T163" s="40"/>
    </row>
    <row r="164" spans="1:20" s="3" customFormat="1" ht="24.95" customHeight="1">
      <c r="A164" s="270" t="s">
        <v>295</v>
      </c>
      <c r="B164" s="3" t="s">
        <v>1026</v>
      </c>
      <c r="D164" s="26" t="s">
        <v>297</v>
      </c>
      <c r="E164" s="63"/>
      <c r="F164" s="63"/>
      <c r="G164" s="63"/>
      <c r="H164" s="63"/>
      <c r="I164" s="63"/>
      <c r="J164" s="63"/>
      <c r="K164" s="63"/>
      <c r="L164" s="63"/>
      <c r="M164" s="63"/>
      <c r="N164" s="63"/>
      <c r="O164" s="63"/>
      <c r="P164" s="63"/>
      <c r="Q164" s="3">
        <f>SUM(E164:P164)</f>
        <v>0</v>
      </c>
      <c r="R164" s="39">
        <f>Q164/Summary!$Q$16</f>
        <v>0</v>
      </c>
      <c r="S164" s="35"/>
      <c r="T164" s="40">
        <f>-IF(Q164-S164=0,0,(Q164-S164)/S164)</f>
        <v>0</v>
      </c>
    </row>
    <row r="165" spans="1:20" s="3" customFormat="1" ht="24.95" customHeight="1">
      <c r="A165" s="50" t="s">
        <v>298</v>
      </c>
      <c r="B165" s="3" t="s">
        <v>1026</v>
      </c>
      <c r="D165" s="26" t="s">
        <v>447</v>
      </c>
      <c r="E165" s="63"/>
      <c r="F165" s="27"/>
      <c r="G165" s="27"/>
      <c r="H165" s="27"/>
      <c r="I165" s="27"/>
      <c r="J165" s="27"/>
      <c r="K165" s="27"/>
      <c r="L165" s="27"/>
      <c r="M165" s="27"/>
      <c r="N165" s="27"/>
      <c r="O165" s="27"/>
      <c r="P165" s="27"/>
      <c r="Q165" s="3">
        <f>SUM(E165:P165)</f>
        <v>0</v>
      </c>
      <c r="R165" s="39">
        <f>Q165/Summary!$Q$16</f>
        <v>0</v>
      </c>
      <c r="S165" s="35"/>
      <c r="T165" s="40">
        <f>-IF(Q165-S165=0,0,(Q165-S165)/S165)</f>
        <v>0</v>
      </c>
    </row>
    <row r="166" spans="1:20" s="3" customFormat="1" ht="24.95" customHeight="1">
      <c r="B166" s="51"/>
      <c r="D166" s="21" t="s">
        <v>450</v>
      </c>
      <c r="E166" s="52">
        <f>SUM(E164:E165)</f>
        <v>0</v>
      </c>
      <c r="F166" s="52">
        <f t="shared" ref="F166:P166" si="13">SUM(F164:F165)</f>
        <v>0</v>
      </c>
      <c r="G166" s="52">
        <f t="shared" si="13"/>
        <v>0</v>
      </c>
      <c r="H166" s="52">
        <f t="shared" si="13"/>
        <v>0</v>
      </c>
      <c r="I166" s="52">
        <f t="shared" si="13"/>
        <v>0</v>
      </c>
      <c r="J166" s="52">
        <f t="shared" si="13"/>
        <v>0</v>
      </c>
      <c r="K166" s="52">
        <f t="shared" si="13"/>
        <v>0</v>
      </c>
      <c r="L166" s="52">
        <f t="shared" si="13"/>
        <v>0</v>
      </c>
      <c r="M166" s="52">
        <f t="shared" si="13"/>
        <v>0</v>
      </c>
      <c r="N166" s="52">
        <f t="shared" si="13"/>
        <v>0</v>
      </c>
      <c r="O166" s="52">
        <f t="shared" si="13"/>
        <v>0</v>
      </c>
      <c r="P166" s="52">
        <f t="shared" si="13"/>
        <v>0</v>
      </c>
      <c r="Q166" s="52">
        <f t="shared" ref="Q166" si="14">SUM(Q164:Q165)</f>
        <v>0</v>
      </c>
      <c r="R166" s="39">
        <f>Q166/Summary!$Q$16</f>
        <v>0</v>
      </c>
      <c r="S166" s="35"/>
      <c r="T166" s="40">
        <f>-IF(Q166-S166=0,0,(Q166-S166)/S166)</f>
        <v>0</v>
      </c>
    </row>
    <row r="167" spans="1:20" s="3" customFormat="1" ht="24.95" customHeight="1">
      <c r="B167" s="51"/>
      <c r="E167" s="53"/>
      <c r="F167" s="53"/>
      <c r="G167" s="53"/>
      <c r="S167" s="35"/>
      <c r="T167" s="40"/>
    </row>
    <row r="168" spans="1:20" s="3" customFormat="1" ht="24.95" customHeight="1">
      <c r="A168" s="271" t="s">
        <v>619</v>
      </c>
      <c r="B168" s="3" t="s">
        <v>1026</v>
      </c>
      <c r="D168" s="26" t="s">
        <v>307</v>
      </c>
      <c r="E168" s="63"/>
      <c r="F168" s="27"/>
      <c r="G168" s="27"/>
      <c r="H168" s="27"/>
      <c r="I168" s="27"/>
      <c r="J168" s="27"/>
      <c r="K168" s="27"/>
      <c r="L168" s="27"/>
      <c r="M168" s="27"/>
      <c r="N168" s="27"/>
      <c r="O168" s="27"/>
      <c r="P168" s="27"/>
      <c r="Q168" s="3">
        <f>SUM(E168:P168)</f>
        <v>0</v>
      </c>
      <c r="R168" s="39">
        <f>Q168/Summary!$Q$16</f>
        <v>0</v>
      </c>
      <c r="S168" s="35"/>
      <c r="T168" s="40">
        <f t="shared" ref="T168:T175" si="15">-IF(Q168-S168=0,0,(Q168-S168)/S168)</f>
        <v>0</v>
      </c>
    </row>
    <row r="169" spans="1:20" s="3" customFormat="1" ht="24.95" customHeight="1">
      <c r="A169" s="54" t="s">
        <v>308</v>
      </c>
      <c r="B169" s="3" t="s">
        <v>1026</v>
      </c>
      <c r="D169" s="26" t="s">
        <v>309</v>
      </c>
      <c r="E169" s="63">
        <f>ROUND(8000/12*1.5,2)</f>
        <v>1000</v>
      </c>
      <c r="F169" s="63">
        <f t="shared" ref="F169:P169" si="16">ROUND(8000/12*1.5,2)</f>
        <v>1000</v>
      </c>
      <c r="G169" s="63">
        <f t="shared" si="16"/>
        <v>1000</v>
      </c>
      <c r="H169" s="63">
        <f t="shared" si="16"/>
        <v>1000</v>
      </c>
      <c r="I169" s="63">
        <f t="shared" si="16"/>
        <v>1000</v>
      </c>
      <c r="J169" s="63">
        <f t="shared" si="16"/>
        <v>1000</v>
      </c>
      <c r="K169" s="63">
        <f t="shared" si="16"/>
        <v>1000</v>
      </c>
      <c r="L169" s="63">
        <f t="shared" si="16"/>
        <v>1000</v>
      </c>
      <c r="M169" s="63">
        <f t="shared" si="16"/>
        <v>1000</v>
      </c>
      <c r="N169" s="63">
        <f t="shared" si="16"/>
        <v>1000</v>
      </c>
      <c r="O169" s="63">
        <f t="shared" si="16"/>
        <v>1000</v>
      </c>
      <c r="P169" s="63">
        <f t="shared" si="16"/>
        <v>1000</v>
      </c>
      <c r="Q169" s="3">
        <f t="shared" ref="Q169:Q174" si="17">SUM(E169:P169)</f>
        <v>12000</v>
      </c>
      <c r="R169" s="39">
        <f>Q169/Summary!$Q$16</f>
        <v>3.608177125222641E-4</v>
      </c>
      <c r="S169" s="35"/>
      <c r="T169" s="40" t="e">
        <f t="shared" si="15"/>
        <v>#DIV/0!</v>
      </c>
    </row>
    <row r="170" spans="1:20" s="3" customFormat="1" ht="24.95" customHeight="1">
      <c r="A170" s="271" t="s">
        <v>620</v>
      </c>
      <c r="B170" s="3" t="s">
        <v>1026</v>
      </c>
      <c r="D170" s="26" t="s">
        <v>311</v>
      </c>
      <c r="E170" s="63"/>
      <c r="F170" s="27"/>
      <c r="G170" s="27"/>
      <c r="H170" s="27"/>
      <c r="I170" s="27"/>
      <c r="J170" s="27"/>
      <c r="K170" s="27"/>
      <c r="L170" s="27"/>
      <c r="M170" s="27"/>
      <c r="N170" s="27"/>
      <c r="O170" s="27"/>
      <c r="P170" s="27"/>
      <c r="Q170" s="3">
        <f t="shared" si="17"/>
        <v>0</v>
      </c>
      <c r="R170" s="39">
        <f>Q170/Summary!$Q$16</f>
        <v>0</v>
      </c>
      <c r="S170" s="35"/>
      <c r="T170" s="40">
        <f t="shared" si="15"/>
        <v>0</v>
      </c>
    </row>
    <row r="171" spans="1:20" s="3" customFormat="1" ht="24.95" customHeight="1">
      <c r="A171" s="271" t="s">
        <v>621</v>
      </c>
      <c r="B171" s="3" t="s">
        <v>1026</v>
      </c>
      <c r="D171" s="26" t="s">
        <v>313</v>
      </c>
      <c r="E171" s="63"/>
      <c r="F171" s="27"/>
      <c r="G171" s="27"/>
      <c r="H171" s="27"/>
      <c r="I171" s="27"/>
      <c r="J171" s="27"/>
      <c r="K171" s="27"/>
      <c r="L171" s="27"/>
      <c r="M171" s="27"/>
      <c r="N171" s="27"/>
      <c r="O171" s="27"/>
      <c r="P171" s="27"/>
      <c r="Q171" s="3">
        <f t="shared" ref="Q171:Q172" si="18">SUM(E171:P171)</f>
        <v>0</v>
      </c>
      <c r="R171" s="39">
        <f>Q171/Summary!$Q$16</f>
        <v>0</v>
      </c>
      <c r="S171" s="35"/>
      <c r="T171" s="40">
        <f t="shared" ref="T171:T172" si="19">-IF(Q171-S171=0,0,(Q171-S171)/S171)</f>
        <v>0</v>
      </c>
    </row>
    <row r="172" spans="1:20" s="3" customFormat="1" ht="24.75" customHeight="1">
      <c r="A172" s="271" t="s">
        <v>622</v>
      </c>
      <c r="B172" s="3" t="s">
        <v>1026</v>
      </c>
      <c r="D172" s="26" t="s">
        <v>315</v>
      </c>
      <c r="E172" s="63"/>
      <c r="F172" s="27"/>
      <c r="G172" s="27"/>
      <c r="H172" s="27"/>
      <c r="I172" s="27"/>
      <c r="J172" s="27"/>
      <c r="K172" s="27"/>
      <c r="L172" s="27"/>
      <c r="M172" s="27"/>
      <c r="N172" s="27"/>
      <c r="O172" s="27"/>
      <c r="P172" s="27"/>
      <c r="Q172" s="3">
        <f t="shared" si="18"/>
        <v>0</v>
      </c>
      <c r="R172" s="39">
        <f>Q172/Summary!$Q$16</f>
        <v>0</v>
      </c>
      <c r="S172" s="35"/>
      <c r="T172" s="40">
        <f t="shared" si="19"/>
        <v>0</v>
      </c>
    </row>
    <row r="173" spans="1:20" s="3" customFormat="1" ht="24.95" customHeight="1">
      <c r="A173" s="271" t="s">
        <v>1109</v>
      </c>
      <c r="B173" s="3" t="s">
        <v>1026</v>
      </c>
      <c r="D173" s="26" t="s">
        <v>1113</v>
      </c>
      <c r="E173" s="63">
        <v>10900</v>
      </c>
      <c r="F173" s="63">
        <v>10900</v>
      </c>
      <c r="G173" s="63">
        <v>10900</v>
      </c>
      <c r="H173" s="63">
        <v>10900</v>
      </c>
      <c r="I173" s="63">
        <v>10900</v>
      </c>
      <c r="J173" s="63">
        <v>10900</v>
      </c>
      <c r="K173" s="63">
        <v>10900</v>
      </c>
      <c r="L173" s="63">
        <v>10900</v>
      </c>
      <c r="M173" s="63">
        <v>10900</v>
      </c>
      <c r="N173" s="63">
        <v>10900</v>
      </c>
      <c r="O173" s="63">
        <v>10900</v>
      </c>
      <c r="P173" s="63">
        <v>10900</v>
      </c>
      <c r="Q173" s="3">
        <f t="shared" si="17"/>
        <v>130800</v>
      </c>
      <c r="R173" s="39">
        <f>Q173/Summary!$Q$16</f>
        <v>3.9329130664926791E-3</v>
      </c>
      <c r="S173" s="35"/>
      <c r="T173" s="40" t="e">
        <f t="shared" si="15"/>
        <v>#DIV/0!</v>
      </c>
    </row>
    <row r="174" spans="1:20" s="3" customFormat="1" ht="24.75" customHeight="1">
      <c r="A174" s="271" t="s">
        <v>1109</v>
      </c>
      <c r="B174" s="3" t="s">
        <v>1026</v>
      </c>
      <c r="D174" s="26" t="s">
        <v>1114</v>
      </c>
      <c r="E174" s="63"/>
      <c r="F174" s="27"/>
      <c r="G174" s="27"/>
      <c r="H174" s="27"/>
      <c r="I174" s="27"/>
      <c r="J174" s="27"/>
      <c r="K174" s="27"/>
      <c r="L174" s="27"/>
      <c r="M174" s="27"/>
      <c r="N174" s="27"/>
      <c r="O174" s="27"/>
      <c r="P174" s="27"/>
      <c r="Q174" s="3">
        <f t="shared" si="17"/>
        <v>0</v>
      </c>
      <c r="R174" s="39">
        <f>Q174/Summary!$Q$16</f>
        <v>0</v>
      </c>
      <c r="S174" s="35"/>
      <c r="T174" s="40">
        <f t="shared" si="15"/>
        <v>0</v>
      </c>
    </row>
    <row r="175" spans="1:20" s="19" customFormat="1" ht="24.95" customHeight="1">
      <c r="A175" s="54"/>
      <c r="B175" s="51"/>
      <c r="D175" s="19" t="s">
        <v>316</v>
      </c>
      <c r="E175" s="52">
        <f>SUM(E168:E174)</f>
        <v>11900</v>
      </c>
      <c r="F175" s="52">
        <f t="shared" ref="F175:P175" si="20">SUM(F168:F174)</f>
        <v>11900</v>
      </c>
      <c r="G175" s="52">
        <f t="shared" si="20"/>
        <v>11900</v>
      </c>
      <c r="H175" s="52">
        <f t="shared" si="20"/>
        <v>11900</v>
      </c>
      <c r="I175" s="52">
        <f t="shared" si="20"/>
        <v>11900</v>
      </c>
      <c r="J175" s="52">
        <f t="shared" si="20"/>
        <v>11900</v>
      </c>
      <c r="K175" s="52">
        <f t="shared" si="20"/>
        <v>11900</v>
      </c>
      <c r="L175" s="52">
        <f t="shared" si="20"/>
        <v>11900</v>
      </c>
      <c r="M175" s="52">
        <f t="shared" si="20"/>
        <v>11900</v>
      </c>
      <c r="N175" s="52">
        <f t="shared" si="20"/>
        <v>11900</v>
      </c>
      <c r="O175" s="52">
        <f t="shared" si="20"/>
        <v>11900</v>
      </c>
      <c r="P175" s="52">
        <f t="shared" si="20"/>
        <v>11900</v>
      </c>
      <c r="Q175" s="52">
        <f t="shared" ref="Q175" si="21">SUM(Q168:Q174)</f>
        <v>142800</v>
      </c>
      <c r="R175" s="39">
        <f>Q175/Summary!$Q$16</f>
        <v>4.2937307790149428E-3</v>
      </c>
      <c r="S175" s="35"/>
      <c r="T175" s="40" t="e">
        <f t="shared" si="15"/>
        <v>#DIV/0!</v>
      </c>
    </row>
    <row r="176" spans="1:20" s="3" customFormat="1" ht="24.95" customHeight="1">
      <c r="A176" s="50"/>
      <c r="D176" s="19"/>
      <c r="E176" s="53"/>
      <c r="F176" s="53"/>
      <c r="G176" s="53"/>
      <c r="S176" s="35"/>
      <c r="T176" s="40"/>
    </row>
    <row r="177" spans="1:20" s="3" customFormat="1" ht="24.95" customHeight="1">
      <c r="A177" s="271" t="s">
        <v>625</v>
      </c>
      <c r="B177" s="3" t="s">
        <v>1026</v>
      </c>
      <c r="D177" s="26" t="s">
        <v>318</v>
      </c>
      <c r="E177" s="63"/>
      <c r="F177" s="27"/>
      <c r="G177" s="27"/>
      <c r="H177" s="27"/>
      <c r="I177" s="27"/>
      <c r="J177" s="27"/>
      <c r="K177" s="27"/>
      <c r="L177" s="27"/>
      <c r="M177" s="27"/>
      <c r="N177" s="27"/>
      <c r="O177" s="27"/>
      <c r="P177" s="27"/>
      <c r="Q177" s="3">
        <f>SUM(E177:P177)</f>
        <v>0</v>
      </c>
      <c r="R177" s="39">
        <f>Q177/Summary!$Q$16</f>
        <v>0</v>
      </c>
      <c r="S177" s="35"/>
      <c r="T177" s="40">
        <f t="shared" ref="T177:T185" si="22">-IF(Q177-S177=0,0,(Q177-S177)/S177)</f>
        <v>0</v>
      </c>
    </row>
    <row r="178" spans="1:20" s="3" customFormat="1" ht="24.95" customHeight="1">
      <c r="A178" s="271" t="s">
        <v>626</v>
      </c>
      <c r="B178" s="3" t="s">
        <v>1026</v>
      </c>
      <c r="D178" s="26" t="s">
        <v>320</v>
      </c>
      <c r="E178" s="63"/>
      <c r="F178" s="27"/>
      <c r="G178" s="27"/>
      <c r="H178" s="27"/>
      <c r="I178" s="27"/>
      <c r="J178" s="27"/>
      <c r="K178" s="27"/>
      <c r="L178" s="27"/>
      <c r="M178" s="27"/>
      <c r="N178" s="27"/>
      <c r="O178" s="27"/>
      <c r="P178" s="27"/>
      <c r="Q178" s="3">
        <f t="shared" ref="Q178:Q184" si="23">SUM(E178:P178)</f>
        <v>0</v>
      </c>
      <c r="R178" s="39">
        <f>Q178/Summary!$Q$16</f>
        <v>0</v>
      </c>
      <c r="S178" s="35"/>
      <c r="T178" s="40">
        <f t="shared" si="22"/>
        <v>0</v>
      </c>
    </row>
    <row r="179" spans="1:20" s="3" customFormat="1" ht="24.95" customHeight="1">
      <c r="A179" s="271" t="s">
        <v>627</v>
      </c>
      <c r="B179" s="3" t="s">
        <v>1026</v>
      </c>
      <c r="D179" s="26" t="s">
        <v>322</v>
      </c>
      <c r="E179" s="63"/>
      <c r="F179" s="27"/>
      <c r="G179" s="27"/>
      <c r="H179" s="27"/>
      <c r="I179" s="27"/>
      <c r="J179" s="27"/>
      <c r="K179" s="27"/>
      <c r="L179" s="27"/>
      <c r="M179" s="27"/>
      <c r="N179" s="27"/>
      <c r="O179" s="27"/>
      <c r="P179" s="27"/>
      <c r="Q179" s="3">
        <f t="shared" si="23"/>
        <v>0</v>
      </c>
      <c r="R179" s="39">
        <f>Q179/Summary!$Q$16</f>
        <v>0</v>
      </c>
      <c r="S179" s="35"/>
      <c r="T179" s="40">
        <f t="shared" si="22"/>
        <v>0</v>
      </c>
    </row>
    <row r="180" spans="1:20" s="3" customFormat="1" ht="24.95" customHeight="1">
      <c r="A180" s="271" t="s">
        <v>628</v>
      </c>
      <c r="B180" s="3" t="s">
        <v>1026</v>
      </c>
      <c r="D180" s="26" t="s">
        <v>324</v>
      </c>
      <c r="E180" s="63"/>
      <c r="F180" s="27"/>
      <c r="G180" s="27"/>
      <c r="H180" s="27"/>
      <c r="I180" s="27"/>
      <c r="J180" s="27"/>
      <c r="K180" s="27"/>
      <c r="L180" s="27"/>
      <c r="M180" s="27"/>
      <c r="N180" s="27"/>
      <c r="O180" s="27"/>
      <c r="P180" s="27"/>
      <c r="Q180" s="3">
        <f t="shared" si="23"/>
        <v>0</v>
      </c>
      <c r="R180" s="39">
        <f>Q180/Summary!$Q$16</f>
        <v>0</v>
      </c>
      <c r="S180" s="35"/>
      <c r="T180" s="40">
        <f t="shared" si="22"/>
        <v>0</v>
      </c>
    </row>
    <row r="181" spans="1:20" s="3" customFormat="1" ht="24.95" customHeight="1">
      <c r="A181" s="271" t="s">
        <v>629</v>
      </c>
      <c r="B181" s="3" t="s">
        <v>1026</v>
      </c>
      <c r="D181" s="26" t="s">
        <v>326</v>
      </c>
      <c r="E181" s="63"/>
      <c r="F181" s="27"/>
      <c r="G181" s="27"/>
      <c r="H181" s="27"/>
      <c r="I181" s="27"/>
      <c r="J181" s="27"/>
      <c r="K181" s="27"/>
      <c r="L181" s="27"/>
      <c r="M181" s="27"/>
      <c r="N181" s="27"/>
      <c r="O181" s="27"/>
      <c r="P181" s="27"/>
      <c r="Q181" s="3">
        <f t="shared" si="23"/>
        <v>0</v>
      </c>
      <c r="R181" s="39">
        <f>Q181/Summary!$Q$16</f>
        <v>0</v>
      </c>
      <c r="S181" s="35"/>
      <c r="T181" s="40">
        <f t="shared" si="22"/>
        <v>0</v>
      </c>
    </row>
    <row r="182" spans="1:20" s="3" customFormat="1" ht="24.95" customHeight="1">
      <c r="A182" s="271" t="s">
        <v>630</v>
      </c>
      <c r="B182" s="3" t="s">
        <v>1026</v>
      </c>
      <c r="D182" s="26" t="s">
        <v>328</v>
      </c>
      <c r="E182" s="63"/>
      <c r="F182" s="27"/>
      <c r="G182" s="27"/>
      <c r="H182" s="27"/>
      <c r="I182" s="27"/>
      <c r="J182" s="27"/>
      <c r="K182" s="27"/>
      <c r="L182" s="27"/>
      <c r="M182" s="27"/>
      <c r="N182" s="27"/>
      <c r="O182" s="27"/>
      <c r="P182" s="27"/>
      <c r="Q182" s="3">
        <f t="shared" si="23"/>
        <v>0</v>
      </c>
      <c r="R182" s="39">
        <f>Q182/Summary!$Q$16</f>
        <v>0</v>
      </c>
      <c r="S182" s="35"/>
      <c r="T182" s="40">
        <f t="shared" si="22"/>
        <v>0</v>
      </c>
    </row>
    <row r="183" spans="1:20" s="3" customFormat="1" ht="24.95" customHeight="1">
      <c r="A183" s="271" t="s">
        <v>631</v>
      </c>
      <c r="B183" s="3" t="s">
        <v>1026</v>
      </c>
      <c r="D183" s="26" t="s">
        <v>330</v>
      </c>
      <c r="E183" s="63"/>
      <c r="F183" s="27"/>
      <c r="G183" s="27"/>
      <c r="H183" s="27"/>
      <c r="I183" s="27"/>
      <c r="J183" s="27"/>
      <c r="K183" s="27"/>
      <c r="L183" s="27"/>
      <c r="M183" s="27"/>
      <c r="N183" s="27"/>
      <c r="O183" s="27"/>
      <c r="P183" s="27"/>
      <c r="Q183" s="3">
        <f t="shared" si="23"/>
        <v>0</v>
      </c>
      <c r="R183" s="39">
        <f>Q183/Summary!$Q$16</f>
        <v>0</v>
      </c>
      <c r="S183" s="35"/>
      <c r="T183" s="40">
        <f t="shared" si="22"/>
        <v>0</v>
      </c>
    </row>
    <row r="184" spans="1:20" s="3" customFormat="1" ht="24.95" customHeight="1">
      <c r="A184" s="271" t="s">
        <v>632</v>
      </c>
      <c r="B184" s="3" t="s">
        <v>1026</v>
      </c>
      <c r="D184" s="26" t="s">
        <v>332</v>
      </c>
      <c r="E184" s="63"/>
      <c r="F184" s="27"/>
      <c r="G184" s="27"/>
      <c r="H184" s="27"/>
      <c r="I184" s="27"/>
      <c r="J184" s="27"/>
      <c r="K184" s="27"/>
      <c r="L184" s="27"/>
      <c r="M184" s="27"/>
      <c r="N184" s="27"/>
      <c r="O184" s="27"/>
      <c r="P184" s="27"/>
      <c r="Q184" s="3">
        <f t="shared" si="23"/>
        <v>0</v>
      </c>
      <c r="R184" s="39">
        <f>Q184/Summary!$Q$16</f>
        <v>0</v>
      </c>
      <c r="S184" s="35"/>
      <c r="T184" s="40">
        <f t="shared" si="22"/>
        <v>0</v>
      </c>
    </row>
    <row r="185" spans="1:20" s="19" customFormat="1" ht="24.95" customHeight="1">
      <c r="A185" s="54"/>
      <c r="B185" s="51"/>
      <c r="D185" s="19" t="s">
        <v>333</v>
      </c>
      <c r="E185" s="45">
        <f>SUM(E177:E184)</f>
        <v>0</v>
      </c>
      <c r="F185" s="45">
        <f t="shared" ref="F185:P185" si="24">SUM(F177:F184)</f>
        <v>0</v>
      </c>
      <c r="G185" s="45">
        <f t="shared" si="24"/>
        <v>0</v>
      </c>
      <c r="H185" s="45">
        <f t="shared" si="24"/>
        <v>0</v>
      </c>
      <c r="I185" s="45">
        <f t="shared" si="24"/>
        <v>0</v>
      </c>
      <c r="J185" s="45">
        <f t="shared" si="24"/>
        <v>0</v>
      </c>
      <c r="K185" s="45">
        <f t="shared" si="24"/>
        <v>0</v>
      </c>
      <c r="L185" s="45">
        <f t="shared" si="24"/>
        <v>0</v>
      </c>
      <c r="M185" s="45">
        <f t="shared" si="24"/>
        <v>0</v>
      </c>
      <c r="N185" s="45">
        <f t="shared" si="24"/>
        <v>0</v>
      </c>
      <c r="O185" s="45">
        <f t="shared" si="24"/>
        <v>0</v>
      </c>
      <c r="P185" s="45">
        <f t="shared" si="24"/>
        <v>0</v>
      </c>
      <c r="Q185" s="45">
        <f t="shared" ref="Q185" si="25">SUM(Q177:Q184)</f>
        <v>0</v>
      </c>
      <c r="R185" s="39">
        <f>Q185/Summary!$Q$16</f>
        <v>0</v>
      </c>
      <c r="S185" s="35"/>
      <c r="T185" s="40">
        <f t="shared" si="22"/>
        <v>0</v>
      </c>
    </row>
    <row r="186" spans="1:20" s="19" customFormat="1" ht="24.95" customHeight="1">
      <c r="A186" s="54"/>
      <c r="B186" s="51"/>
      <c r="D186" s="21"/>
      <c r="E186" s="55"/>
      <c r="F186" s="55"/>
      <c r="G186" s="55"/>
      <c r="S186" s="35"/>
      <c r="T186" s="40"/>
    </row>
    <row r="187" spans="1:20" s="3" customFormat="1" ht="24.95" hidden="1" customHeight="1">
      <c r="A187" s="271" t="s">
        <v>633</v>
      </c>
      <c r="B187" s="3" t="s">
        <v>1026</v>
      </c>
      <c r="D187" s="26" t="s">
        <v>335</v>
      </c>
      <c r="E187" s="63">
        <v>0</v>
      </c>
      <c r="F187" s="27">
        <v>0</v>
      </c>
      <c r="G187" s="27">
        <v>0</v>
      </c>
      <c r="H187" s="27">
        <v>0</v>
      </c>
      <c r="I187" s="27">
        <v>0</v>
      </c>
      <c r="J187" s="27">
        <v>0</v>
      </c>
      <c r="K187" s="27">
        <v>0</v>
      </c>
      <c r="L187" s="27">
        <v>0</v>
      </c>
      <c r="M187" s="27">
        <v>0</v>
      </c>
      <c r="N187" s="27">
        <v>0</v>
      </c>
      <c r="O187" s="27">
        <v>0</v>
      </c>
      <c r="P187" s="27">
        <v>0</v>
      </c>
      <c r="Q187" s="3">
        <f>SUM(E187:P187)</f>
        <v>0</v>
      </c>
      <c r="R187" s="39">
        <f>Q187/Summary!$Q$16</f>
        <v>0</v>
      </c>
      <c r="S187" s="35"/>
      <c r="T187" s="40">
        <f t="shared" ref="T187:T195" si="26">-IF(Q187-S187=0,0,(Q187-S187)/S187)</f>
        <v>0</v>
      </c>
    </row>
    <row r="188" spans="1:20" s="3" customFormat="1" ht="24.95" hidden="1" customHeight="1">
      <c r="A188" s="271" t="s">
        <v>634</v>
      </c>
      <c r="B188" s="3" t="s">
        <v>1026</v>
      </c>
      <c r="D188" s="3" t="s">
        <v>337</v>
      </c>
      <c r="E188" s="63">
        <v>0</v>
      </c>
      <c r="F188" s="27">
        <v>0</v>
      </c>
      <c r="G188" s="27">
        <v>0</v>
      </c>
      <c r="H188" s="27">
        <v>0</v>
      </c>
      <c r="I188" s="27">
        <v>0</v>
      </c>
      <c r="J188" s="27">
        <v>0</v>
      </c>
      <c r="K188" s="27">
        <v>0</v>
      </c>
      <c r="L188" s="27">
        <v>0</v>
      </c>
      <c r="M188" s="27">
        <v>0</v>
      </c>
      <c r="N188" s="27">
        <v>0</v>
      </c>
      <c r="O188" s="27">
        <v>0</v>
      </c>
      <c r="P188" s="27">
        <v>0</v>
      </c>
      <c r="Q188" s="3">
        <f t="shared" ref="Q188:Q193" si="27">SUM(E188:P188)</f>
        <v>0</v>
      </c>
      <c r="R188" s="39">
        <f>Q188/Summary!$Q$16</f>
        <v>0</v>
      </c>
      <c r="S188" s="35"/>
      <c r="T188" s="40">
        <f t="shared" si="26"/>
        <v>0</v>
      </c>
    </row>
    <row r="189" spans="1:20" s="3" customFormat="1" ht="24.95" hidden="1" customHeight="1">
      <c r="A189" s="271" t="s">
        <v>635</v>
      </c>
      <c r="B189" s="3" t="s">
        <v>1026</v>
      </c>
      <c r="D189" s="26" t="s">
        <v>339</v>
      </c>
      <c r="E189" s="63">
        <v>0</v>
      </c>
      <c r="F189" s="27">
        <v>0</v>
      </c>
      <c r="G189" s="27">
        <v>0</v>
      </c>
      <c r="H189" s="27">
        <v>0</v>
      </c>
      <c r="I189" s="27">
        <v>0</v>
      </c>
      <c r="J189" s="27">
        <v>0</v>
      </c>
      <c r="K189" s="27">
        <v>0</v>
      </c>
      <c r="L189" s="27">
        <v>0</v>
      </c>
      <c r="M189" s="27">
        <v>0</v>
      </c>
      <c r="N189" s="27">
        <v>0</v>
      </c>
      <c r="O189" s="27">
        <v>0</v>
      </c>
      <c r="P189" s="27">
        <v>0</v>
      </c>
      <c r="Q189" s="3">
        <f t="shared" si="27"/>
        <v>0</v>
      </c>
      <c r="R189" s="39">
        <f>Q189/Summary!$Q$16</f>
        <v>0</v>
      </c>
      <c r="S189" s="35"/>
      <c r="T189" s="40">
        <f t="shared" si="26"/>
        <v>0</v>
      </c>
    </row>
    <row r="190" spans="1:20" s="3" customFormat="1" ht="24.95" hidden="1" customHeight="1">
      <c r="A190" s="271" t="s">
        <v>636</v>
      </c>
      <c r="B190" s="3" t="s">
        <v>1026</v>
      </c>
      <c r="D190" s="26" t="s">
        <v>341</v>
      </c>
      <c r="E190" s="63">
        <v>0</v>
      </c>
      <c r="F190" s="27">
        <v>0</v>
      </c>
      <c r="G190" s="27">
        <v>0</v>
      </c>
      <c r="H190" s="27">
        <v>0</v>
      </c>
      <c r="I190" s="27">
        <v>0</v>
      </c>
      <c r="J190" s="27">
        <v>0</v>
      </c>
      <c r="K190" s="27">
        <v>0</v>
      </c>
      <c r="L190" s="27">
        <v>0</v>
      </c>
      <c r="M190" s="27">
        <v>0</v>
      </c>
      <c r="N190" s="27">
        <v>0</v>
      </c>
      <c r="O190" s="27">
        <v>0</v>
      </c>
      <c r="P190" s="27">
        <v>0</v>
      </c>
      <c r="Q190" s="3">
        <f t="shared" si="27"/>
        <v>0</v>
      </c>
      <c r="R190" s="39">
        <f>Q190/Summary!$Q$16</f>
        <v>0</v>
      </c>
      <c r="S190" s="35"/>
      <c r="T190" s="40">
        <f t="shared" si="26"/>
        <v>0</v>
      </c>
    </row>
    <row r="191" spans="1:20" s="3" customFormat="1" ht="24.95" customHeight="1">
      <c r="A191" s="271" t="s">
        <v>637</v>
      </c>
      <c r="B191" s="3" t="s">
        <v>1026</v>
      </c>
      <c r="D191" s="26" t="s">
        <v>343</v>
      </c>
      <c r="E191" s="63">
        <v>0</v>
      </c>
      <c r="F191" s="27"/>
      <c r="G191" s="27"/>
      <c r="H191" s="27"/>
      <c r="I191" s="27"/>
      <c r="J191" s="27"/>
      <c r="K191" s="27"/>
      <c r="L191" s="27"/>
      <c r="M191" s="27"/>
      <c r="N191" s="27"/>
      <c r="O191" s="27"/>
      <c r="P191" s="27"/>
      <c r="Q191" s="3">
        <f t="shared" si="27"/>
        <v>0</v>
      </c>
      <c r="R191" s="39">
        <f>Q191/Summary!$Q$16</f>
        <v>0</v>
      </c>
      <c r="S191" s="35"/>
      <c r="T191" s="40">
        <f t="shared" si="26"/>
        <v>0</v>
      </c>
    </row>
    <row r="192" spans="1:20" s="3" customFormat="1" ht="24.95" customHeight="1">
      <c r="A192" s="271" t="s">
        <v>344</v>
      </c>
      <c r="B192" s="3" t="s">
        <v>1026</v>
      </c>
      <c r="D192" s="26" t="s">
        <v>345</v>
      </c>
      <c r="E192" s="63"/>
      <c r="F192" s="27"/>
      <c r="G192" s="27"/>
      <c r="H192" s="27"/>
      <c r="I192" s="27"/>
      <c r="J192" s="27"/>
      <c r="K192" s="27"/>
      <c r="L192" s="27"/>
      <c r="M192" s="27"/>
      <c r="N192" s="27"/>
      <c r="O192" s="27"/>
      <c r="P192" s="27"/>
      <c r="Q192" s="3">
        <f t="shared" si="27"/>
        <v>0</v>
      </c>
      <c r="R192" s="39">
        <f>Q192/Summary!$Q$16</f>
        <v>0</v>
      </c>
      <c r="S192" s="35"/>
      <c r="T192" s="40">
        <f t="shared" si="26"/>
        <v>0</v>
      </c>
    </row>
    <row r="193" spans="1:20" s="3" customFormat="1" ht="24.95" customHeight="1">
      <c r="A193" s="3" t="s">
        <v>640</v>
      </c>
      <c r="B193" s="3" t="s">
        <v>1026</v>
      </c>
      <c r="D193" s="26" t="s">
        <v>347</v>
      </c>
      <c r="E193" s="63">
        <f>'Staff Canteen'!E209</f>
        <v>928.84</v>
      </c>
      <c r="F193" s="63">
        <f>'Staff Canteen'!F209</f>
        <v>970.87</v>
      </c>
      <c r="G193" s="63">
        <f>'Staff Canteen'!G209</f>
        <v>907.83</v>
      </c>
      <c r="H193" s="63">
        <f>'Staff Canteen'!H209</f>
        <v>928.84</v>
      </c>
      <c r="I193" s="63">
        <f>'Staff Canteen'!I209</f>
        <v>928.84</v>
      </c>
      <c r="J193" s="63">
        <f>'Staff Canteen'!J209</f>
        <v>928.84</v>
      </c>
      <c r="K193" s="63">
        <f>'Staff Canteen'!K209</f>
        <v>907.83</v>
      </c>
      <c r="L193" s="63">
        <f>'Staff Canteen'!L209</f>
        <v>907.83</v>
      </c>
      <c r="M193" s="63">
        <f>'Staff Canteen'!M209</f>
        <v>928.84</v>
      </c>
      <c r="N193" s="63">
        <f>'Staff Canteen'!N209</f>
        <v>970.87</v>
      </c>
      <c r="O193" s="63">
        <f>'Staff Canteen'!O209</f>
        <v>907.83</v>
      </c>
      <c r="P193" s="63">
        <f>'Staff Canteen'!P209</f>
        <v>907.83</v>
      </c>
      <c r="Q193" s="3">
        <f t="shared" si="27"/>
        <v>11125.09</v>
      </c>
      <c r="R193" s="39">
        <f>Q193/Summary!$Q$16</f>
        <v>3.345107937836929E-4</v>
      </c>
      <c r="S193" s="35"/>
      <c r="T193" s="40" t="e">
        <f t="shared" si="26"/>
        <v>#DIV/0!</v>
      </c>
    </row>
    <row r="194" spans="1:20" s="3" customFormat="1" ht="24.95" customHeight="1">
      <c r="A194" s="54"/>
      <c r="B194" s="51"/>
      <c r="D194" s="19" t="s">
        <v>348</v>
      </c>
      <c r="E194" s="52">
        <f>SUM(E187:E193)</f>
        <v>928.84</v>
      </c>
      <c r="F194" s="52">
        <f t="shared" ref="F194:P194" si="28">SUM(F187:F193)</f>
        <v>970.87</v>
      </c>
      <c r="G194" s="52">
        <f t="shared" si="28"/>
        <v>907.83</v>
      </c>
      <c r="H194" s="52">
        <f t="shared" si="28"/>
        <v>928.84</v>
      </c>
      <c r="I194" s="52">
        <f t="shared" si="28"/>
        <v>928.84</v>
      </c>
      <c r="J194" s="52">
        <f t="shared" si="28"/>
        <v>928.84</v>
      </c>
      <c r="K194" s="52">
        <f t="shared" si="28"/>
        <v>907.83</v>
      </c>
      <c r="L194" s="52">
        <f t="shared" si="28"/>
        <v>907.83</v>
      </c>
      <c r="M194" s="52">
        <f t="shared" si="28"/>
        <v>928.84</v>
      </c>
      <c r="N194" s="52">
        <f t="shared" si="28"/>
        <v>970.87</v>
      </c>
      <c r="O194" s="52">
        <f t="shared" si="28"/>
        <v>907.83</v>
      </c>
      <c r="P194" s="52">
        <f t="shared" si="28"/>
        <v>907.83</v>
      </c>
      <c r="Q194" s="52">
        <f t="shared" ref="Q194" si="29">SUM(Q187:Q193)</f>
        <v>11125.09</v>
      </c>
      <c r="R194" s="39">
        <f>Q194/Summary!$Q$16</f>
        <v>3.345107937836929E-4</v>
      </c>
      <c r="S194" s="35"/>
      <c r="T194" s="40" t="e">
        <f t="shared" si="26"/>
        <v>#DIV/0!</v>
      </c>
    </row>
    <row r="195" spans="1:20" s="3" customFormat="1" ht="24.95" customHeight="1">
      <c r="A195" s="54"/>
      <c r="B195" s="51"/>
      <c r="D195" s="19" t="s">
        <v>349</v>
      </c>
      <c r="E195" s="52">
        <f>E166+E175+E185+E194</f>
        <v>12828.84</v>
      </c>
      <c r="F195" s="52">
        <f t="shared" ref="F195:Q195" si="30">F166+F175+F185+F194</f>
        <v>12870.87</v>
      </c>
      <c r="G195" s="52">
        <f t="shared" si="30"/>
        <v>12807.83</v>
      </c>
      <c r="H195" s="52">
        <f t="shared" si="30"/>
        <v>12828.84</v>
      </c>
      <c r="I195" s="52">
        <f t="shared" si="30"/>
        <v>12828.84</v>
      </c>
      <c r="J195" s="52">
        <f t="shared" si="30"/>
        <v>12828.84</v>
      </c>
      <c r="K195" s="52">
        <f t="shared" si="30"/>
        <v>12807.83</v>
      </c>
      <c r="L195" s="52">
        <f t="shared" si="30"/>
        <v>12807.83</v>
      </c>
      <c r="M195" s="52">
        <f t="shared" si="30"/>
        <v>12828.84</v>
      </c>
      <c r="N195" s="52">
        <f t="shared" si="30"/>
        <v>12870.87</v>
      </c>
      <c r="O195" s="52">
        <f t="shared" si="30"/>
        <v>12807.83</v>
      </c>
      <c r="P195" s="52">
        <f t="shared" si="30"/>
        <v>12807.83</v>
      </c>
      <c r="Q195" s="350">
        <f t="shared" si="30"/>
        <v>153925.09</v>
      </c>
      <c r="R195" s="39">
        <f>Q195/Summary!$Q$16</f>
        <v>4.6282415727986357E-3</v>
      </c>
      <c r="S195" s="35"/>
      <c r="T195" s="40" t="e">
        <f t="shared" si="26"/>
        <v>#DIV/0!</v>
      </c>
    </row>
    <row r="196" spans="1:20" s="3" customFormat="1" ht="24.95" customHeight="1">
      <c r="A196" s="54"/>
      <c r="B196" s="51"/>
      <c r="D196" s="21"/>
      <c r="E196" s="53"/>
      <c r="F196" s="53"/>
      <c r="G196" s="53"/>
      <c r="S196" s="35"/>
      <c r="T196" s="40"/>
    </row>
    <row r="197" spans="1:20" s="3" customFormat="1" ht="24.95" customHeight="1">
      <c r="A197" s="50" t="s">
        <v>105</v>
      </c>
      <c r="B197" s="3" t="s">
        <v>1026</v>
      </c>
      <c r="D197" s="19" t="s">
        <v>352</v>
      </c>
      <c r="E197" s="303">
        <v>1</v>
      </c>
      <c r="F197" s="303">
        <v>1</v>
      </c>
      <c r="G197" s="303">
        <v>1</v>
      </c>
      <c r="H197" s="303">
        <v>1</v>
      </c>
      <c r="I197" s="303">
        <v>1</v>
      </c>
      <c r="J197" s="303">
        <v>1</v>
      </c>
      <c r="K197" s="303">
        <v>1</v>
      </c>
      <c r="L197" s="303">
        <v>1</v>
      </c>
      <c r="M197" s="303">
        <v>1</v>
      </c>
      <c r="N197" s="303">
        <v>1</v>
      </c>
      <c r="O197" s="303">
        <v>1</v>
      </c>
      <c r="P197" s="303">
        <v>1</v>
      </c>
      <c r="Q197" s="341">
        <v>1</v>
      </c>
      <c r="S197" s="35"/>
      <c r="T197" s="40" t="e">
        <f>-IF(Q197-S197=0,0,(Q197-S197)/S197)</f>
        <v>#DIV/0!</v>
      </c>
    </row>
  </sheetData>
  <phoneticPr fontId="57" type="noConversion"/>
  <dataValidations count="36">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087.18_x000d__x000a_" sqref="E154:P154">
      <formula1>0</formula1>
      <formula2>300</formula2>
    </dataValidation>
    <dataValidation type="textLength" errorStyle="information" allowBlank="1" showInputMessage="1" showErrorMessage="1" error="XLBVal:6=665041.16_x000d__x000a_" sqref="E12:P12">
      <formula1>0</formula1>
      <formula2>300</formula2>
    </dataValidation>
    <dataValidation type="textLength" errorStyle="information" allowBlank="1" showInputMessage="1" showErrorMessage="1" error="XLBVal:6=200_x000d__x000a_" sqref="E69:P69">
      <formula1>0</formula1>
      <formula2>300</formula2>
    </dataValidation>
    <dataValidation type="textLength" errorStyle="information" allowBlank="1" showInputMessage="1" showErrorMessage="1" error="XLBVal:6=17583450_x000d__x000a_" sqref="Q12">
      <formula1>0</formula1>
      <formula2>300</formula2>
    </dataValidation>
    <dataValidation type="textLength" errorStyle="information" allowBlank="1" showInputMessage="1" showErrorMessage="1" error="XLBVal:2=0_x000d__x000a_" sqref="F25:O25 E26:F26 H26:O26 E70:P153 E15:E25 F13:F19 P25:P43 Q15:Q157 Q164:Q165 F22:P24 E44:P68 F20:N21 E27:O43 O18:P21 G15:P17 G18:N19 E187:P192 F183:P184 E184 E165 E168:P168 Q187:Q193 E170:P174">
      <formula1>0</formula1>
      <formula2>300</formula2>
    </dataValidation>
    <dataValidation type="textLength" errorStyle="information" allowBlank="1" showInputMessage="1" showErrorMessage="1" error="XLBVal:6=215.1_x000d__x000a_" sqref="G26">
      <formula1>0</formula1>
      <formula2>300</formula2>
    </dataValidation>
    <dataValidation type="textLength" errorStyle="information" allowBlank="1" showInputMessage="1" showErrorMessage="1" error="XLBVal:6=1968.73_x000d__x000a_" sqref="E157:P157">
      <formula1>0</formula1>
      <formula2>300</formula2>
    </dataValidation>
    <dataValidation type="textLength" errorStyle="information" allowBlank="1" showInputMessage="1" showErrorMessage="1" error="XLBVal:6=52295.96_x000d__x000a_" sqref="E155:P155">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12372.32_x000d__x000a_" sqref="E156:P156">
      <formula1>0</formula1>
      <formula2>300</formula2>
    </dataValidation>
    <dataValidation type="textLength" errorStyle="information" allowBlank="1" showInputMessage="1" showErrorMessage="1" error="XLBVal:6=0_x000d__x000a_" sqref="E158:Q158">
      <formula1>0</formula1>
      <formula2>300</formula2>
    </dataValidation>
    <dataValidation type="textLength" errorStyle="information" allowBlank="1" showInputMessage="1" showErrorMessage="1" error="XLBVal:6=3239.86_x000d__x000a_" sqref="E159:Q159">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6=97897.59_x000d__x000a_" sqref="E160:P160">
      <formula1>0</formula1>
      <formula2>300</formula2>
    </dataValidation>
    <dataValidation type="textLength" errorStyle="information" allowBlank="1" showInputMessage="1" showErrorMessage="1" error="XLBVal:6=12779429.56_x000d__x000a_" sqref="Q160">
      <formula1>0</formula1>
      <formula2>300</formula2>
    </dataValidation>
    <dataValidation type="textLength" errorStyle="information" allowBlank="1" showInputMessage="1" showErrorMessage="1" error="XLBVal:6=19500_x000d__x000a_" sqref="F165:P165">
      <formula1>0</formula1>
      <formula2>300</formula2>
    </dataValidation>
    <dataValidation type="textLength" errorStyle="information" allowBlank="1" showInputMessage="1" showErrorMessage="1" sqref="H186:I186 F194:Q195 E162:I163 F196:I196 H167:I167 H176:I176 E194:E196">
      <formula1>0</formula1>
      <formula2>300</formula2>
    </dataValidation>
    <dataValidation type="textLength" errorStyle="information" allowBlank="1" showInputMessage="1" showErrorMessage="1" error="XLBVal:6=3678_x000d__x000a_" sqref="F186:G186 F185:Q185 E185:E186">
      <formula1>0</formula1>
      <formula2>300</formula2>
    </dataValidation>
    <dataValidation type="textLength" errorStyle="information" allowBlank="1" showInputMessage="1" showErrorMessage="1" error="XLBVal:6=1260_x000d__x000a_" sqref="Q197">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69013_x000d__x000a_" sqref="Q168:Q174">
      <formula1>0</formula1>
      <formula2>300</formula2>
    </dataValidation>
    <dataValidation type="textLength" errorStyle="information" allowBlank="1" showInputMessage="1" showErrorMessage="1" error="XLBVal:6=1293444_x000d__x000a_" sqref="Q177:Q184">
      <formula1>0</formula1>
      <formula2>300</formula2>
    </dataValidation>
    <dataValidation type="textLength" errorStyle="information" allowBlank="1" showInputMessage="1" showErrorMessage="1" error="XLBVal:6=2963.25_x000d__x000a_" sqref="F177:P182">
      <formula1>0</formula1>
      <formula2>300</formula2>
    </dataValidation>
    <dataValidation type="textLength" errorStyle="information" allowBlank="1" showInputMessage="1" showErrorMessage="1" error="XLBVal:6=318_x000d__x000a_" sqref="E193:P193">
      <formula1>0</formula1>
      <formula2>300</formula2>
    </dataValidation>
    <dataValidation type="textLength" errorStyle="information" allowBlank="1" showInputMessage="1" showErrorMessage="1" error="XLBVal:6=59.26_x000d__x000a_" sqref="E181">
      <formula1>0</formula1>
      <formula2>300</formula2>
    </dataValidation>
    <dataValidation type="textLength" errorStyle="information" allowBlank="1" showInputMessage="1" showErrorMessage="1" error="XLBVal:6=160_x000d__x000a_" sqref="E183">
      <formula1>0</formula1>
      <formula2>300</formula2>
    </dataValidation>
    <dataValidation type="textLength" errorStyle="information" allowBlank="1" showInputMessage="1" showErrorMessage="1" error="XLBVal:6=37.04_x000d__x000a_" sqref="E179">
      <formula1>0</formula1>
      <formula2>300</formula2>
    </dataValidation>
    <dataValidation type="textLength" errorStyle="information" allowBlank="1" showInputMessage="1" showErrorMessage="1" error="XLBVal:6=592.56_x000d__x000a_" sqref="E178">
      <formula1>0</formula1>
      <formula2>300</formula2>
    </dataValidation>
    <dataValidation type="textLength" errorStyle="information" allowBlank="1" showInputMessage="1" showErrorMessage="1" error="XLBVal:6=1185.12_x000d__x000a_" sqref="E177">
      <formula1>0</formula1>
      <formula2>300</formula2>
    </dataValidation>
    <dataValidation type="textLength" errorStyle="information" allowBlank="1" showInputMessage="1" showErrorMessage="1" error="XLBVal:6=29.63_x000d__x000a_" sqref="E180">
      <formula1>0</formula1>
      <formula2>300</formula2>
    </dataValidation>
    <dataValidation type="textLength" errorStyle="information" allowBlank="1" showInputMessage="1" showErrorMessage="1" error="XLBVal:6=790_x000d__x000a_" sqref="E182">
      <formula1>0</formula1>
      <formula2>300</formula2>
    </dataValidation>
    <dataValidation type="textLength" errorStyle="information" allowBlank="1" showInputMessage="1" showErrorMessage="1" error="XLBVal:6=8000_x000d__x000a_" sqref="E164:P164">
      <formula1>0</formula1>
      <formula2>300</formula2>
    </dataValidation>
    <dataValidation type="textLength" errorStyle="information" allowBlank="1" showInputMessage="1" showErrorMessage="1" error="XLBVal:6=666.67_x000d__x000a_" sqref="E169:P169">
      <formula1>0</formula1>
      <formula2>300</formula2>
    </dataValidation>
    <dataValidation type="textLength" errorStyle="information" allowBlank="1" showInputMessage="1" showErrorMessage="1" error="XLBVal:6=1_x000d__x000a_" sqref="E197:P197">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8">
    <tabColor rgb="FF00B050"/>
    <pageSetUpPr fitToPage="1"/>
  </sheetPr>
  <dimension ref="A1:V197"/>
  <sheetViews>
    <sheetView zoomScale="50" zoomScaleNormal="50" zoomScaleSheetLayoutView="25" workbookViewId="0">
      <pane xSplit="4" ySplit="12" topLeftCell="E13" activePane="bottomRight" state="frozen"/>
      <selection activeCell="L7" sqref="L7"/>
      <selection pane="topRight" activeCell="L7" sqref="L7"/>
      <selection pane="bottomLeft" activeCell="L7" sqref="L7"/>
      <selection pane="bottomRight" activeCell="T169" sqref="T169"/>
    </sheetView>
  </sheetViews>
  <sheetFormatPr defaultColWidth="8.875" defaultRowHeight="26.25" customHeight="1" outlineLevelRow="1" outlineLevelCol="1"/>
  <cols>
    <col min="1" max="2" width="15.5" style="5" hidden="1" customWidth="1" outlineLevel="1"/>
    <col min="3" max="3" width="13.5" style="5" hidden="1" customWidth="1" outlineLevel="1"/>
    <col min="4" max="4" width="59.875" style="6" customWidth="1" collapsed="1"/>
    <col min="5" max="9" width="22.625" style="7" customWidth="1"/>
    <col min="10" max="16" width="22.625" style="5" customWidth="1"/>
    <col min="17" max="17" width="23.375" style="5" customWidth="1"/>
    <col min="18" max="18" width="27.125" style="5" hidden="1" customWidth="1"/>
    <col min="19" max="19" width="12" style="5" customWidth="1"/>
    <col min="20" max="20" width="21.875" style="5" customWidth="1"/>
    <col min="21" max="21" width="20.625" style="338" customWidth="1"/>
    <col min="22" max="22" width="22.625" style="407" bestFit="1" customWidth="1"/>
    <col min="23" max="23" width="19.375" style="5" customWidth="1"/>
    <col min="24" max="16384" width="8.875" style="5"/>
  </cols>
  <sheetData>
    <row r="1" spans="1:22" s="1" customFormat="1" ht="15" customHeight="1" outlineLevel="1">
      <c r="E1" s="9"/>
      <c r="F1" s="9"/>
      <c r="G1" s="9"/>
      <c r="H1" s="9"/>
      <c r="I1" s="9"/>
      <c r="J1" s="9"/>
      <c r="K1" s="9"/>
      <c r="L1" s="9"/>
      <c r="M1" s="9"/>
      <c r="N1" s="9"/>
      <c r="O1" s="9"/>
      <c r="P1" s="9"/>
      <c r="Q1" s="9"/>
      <c r="R1" s="9" t="s">
        <v>14</v>
      </c>
      <c r="U1" s="337"/>
      <c r="V1" s="410"/>
    </row>
    <row r="2" spans="1:22" s="1" customFormat="1" ht="15" customHeight="1" outlineLevel="1">
      <c r="E2" s="9"/>
      <c r="F2" s="9"/>
      <c r="G2" s="9"/>
      <c r="H2" s="9"/>
      <c r="I2" s="9"/>
      <c r="J2" s="9"/>
      <c r="K2" s="9"/>
      <c r="L2" s="9"/>
      <c r="M2" s="9"/>
      <c r="N2" s="9"/>
      <c r="O2" s="9"/>
      <c r="P2" s="9"/>
      <c r="Q2" s="9"/>
      <c r="R2" s="9" t="s">
        <v>15</v>
      </c>
      <c r="U2" s="337"/>
      <c r="V2" s="410"/>
    </row>
    <row r="3" spans="1:22" s="1" customFormat="1" ht="15" customHeight="1" outlineLevel="1">
      <c r="E3" s="9"/>
      <c r="F3" s="9"/>
      <c r="G3" s="9"/>
      <c r="H3" s="9"/>
      <c r="I3" s="9"/>
      <c r="J3" s="9"/>
      <c r="K3" s="9"/>
      <c r="L3" s="9"/>
      <c r="M3" s="9"/>
      <c r="N3" s="9"/>
      <c r="O3" s="9"/>
      <c r="P3" s="9"/>
      <c r="Q3" s="9"/>
      <c r="R3" s="9" t="s">
        <v>375</v>
      </c>
      <c r="U3" s="337"/>
      <c r="V3" s="410"/>
    </row>
    <row r="4" spans="1:22" s="2" customFormat="1" ht="24.95" customHeight="1">
      <c r="D4" s="14" t="str">
        <f>Summary!$D$4</f>
        <v>Hotel Budget Report</v>
      </c>
      <c r="E4" s="11"/>
      <c r="F4" s="11"/>
      <c r="G4" s="12"/>
      <c r="H4" s="13"/>
      <c r="I4" s="13"/>
      <c r="U4" s="320"/>
      <c r="V4" s="326"/>
    </row>
    <row r="5" spans="1:22" s="2" customFormat="1" ht="24.95" customHeight="1">
      <c r="D5" s="14" t="str">
        <f>Summary!$D$5</f>
        <v>酒店预算报表</v>
      </c>
      <c r="E5" s="11"/>
      <c r="F5" s="11"/>
      <c r="G5" s="12"/>
      <c r="H5" s="13"/>
      <c r="I5" s="13"/>
      <c r="U5" s="320"/>
      <c r="V5" s="326"/>
    </row>
    <row r="6" spans="1:22" s="2" customFormat="1" ht="24.95" customHeight="1">
      <c r="D6" s="14" t="s">
        <v>1027</v>
      </c>
      <c r="E6" s="13"/>
      <c r="F6" s="13"/>
      <c r="G6" s="13"/>
      <c r="H6" s="13"/>
      <c r="I6" s="13"/>
      <c r="U6" s="320"/>
      <c r="V6" s="326"/>
    </row>
    <row r="7" spans="1:22" s="2" customFormat="1" ht="24.95" customHeight="1">
      <c r="D7" s="15" t="s">
        <v>1185</v>
      </c>
      <c r="E7" s="13"/>
      <c r="F7" s="13"/>
      <c r="G7" s="13"/>
      <c r="H7" s="13"/>
      <c r="I7" s="13"/>
      <c r="U7" s="320"/>
      <c r="V7" s="326"/>
    </row>
    <row r="8" spans="1:22" ht="24.95" customHeight="1">
      <c r="D8" s="16"/>
    </row>
    <row r="9" spans="1:22" s="3" customFormat="1" ht="24.95" customHeight="1">
      <c r="D9" s="17"/>
      <c r="E9" s="18">
        <v>1</v>
      </c>
      <c r="F9" s="18">
        <v>2</v>
      </c>
      <c r="G9" s="18">
        <v>3</v>
      </c>
      <c r="H9" s="18">
        <v>4</v>
      </c>
      <c r="I9" s="18">
        <v>5</v>
      </c>
      <c r="J9" s="18">
        <v>6</v>
      </c>
      <c r="K9" s="18">
        <v>7</v>
      </c>
      <c r="L9" s="18">
        <v>8</v>
      </c>
      <c r="M9" s="18">
        <v>9</v>
      </c>
      <c r="N9" s="18">
        <v>10</v>
      </c>
      <c r="O9" s="18">
        <v>11</v>
      </c>
      <c r="P9" s="18">
        <v>12</v>
      </c>
      <c r="Q9" s="18">
        <v>2025</v>
      </c>
      <c r="R9" s="18">
        <v>2018</v>
      </c>
      <c r="T9" s="34"/>
      <c r="U9" s="315"/>
      <c r="V9" s="372"/>
    </row>
    <row r="10" spans="1:22"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T10" s="393"/>
      <c r="U10" s="395"/>
      <c r="V10" s="371"/>
    </row>
    <row r="11" spans="1:22" s="3" customFormat="1" ht="24.95" customHeight="1">
      <c r="D11" s="21"/>
      <c r="E11" s="22"/>
      <c r="F11" s="22"/>
      <c r="G11" s="22"/>
      <c r="H11" s="23"/>
      <c r="I11" s="23"/>
      <c r="U11" s="315"/>
      <c r="V11" s="372"/>
    </row>
    <row r="12" spans="1:22" s="3" customFormat="1" ht="24.95" customHeight="1">
      <c r="A12" s="3" t="s">
        <v>482</v>
      </c>
      <c r="B12" s="3" t="s">
        <v>56</v>
      </c>
      <c r="D12" s="21" t="s">
        <v>137</v>
      </c>
      <c r="E12" s="43">
        <f>+E195</f>
        <v>88741.14</v>
      </c>
      <c r="F12" s="43">
        <f t="shared" ref="F12:P12" si="0">+F195</f>
        <v>99280.45</v>
      </c>
      <c r="G12" s="43">
        <f t="shared" si="0"/>
        <v>87471.47</v>
      </c>
      <c r="H12" s="43">
        <f t="shared" si="0"/>
        <v>88866.74</v>
      </c>
      <c r="I12" s="43">
        <f t="shared" si="0"/>
        <v>88866.74</v>
      </c>
      <c r="J12" s="43">
        <f t="shared" si="0"/>
        <v>88866.74</v>
      </c>
      <c r="K12" s="43">
        <f t="shared" si="0"/>
        <v>87471.47</v>
      </c>
      <c r="L12" s="43">
        <f t="shared" si="0"/>
        <v>87471.47</v>
      </c>
      <c r="M12" s="43">
        <f t="shared" si="0"/>
        <v>88866.74</v>
      </c>
      <c r="N12" s="43">
        <f t="shared" si="0"/>
        <v>99657.249999999985</v>
      </c>
      <c r="O12" s="43">
        <f t="shared" si="0"/>
        <v>87471.47</v>
      </c>
      <c r="P12" s="43">
        <f t="shared" si="0"/>
        <v>87471.47</v>
      </c>
      <c r="Q12" s="43">
        <f>SUM(E12:P12)</f>
        <v>1080503.1499999999</v>
      </c>
      <c r="R12" s="43">
        <v>2277794</v>
      </c>
      <c r="S12" s="39">
        <f>Q12/Summary!$Q$16</f>
        <v>3.2488722913008396E-2</v>
      </c>
      <c r="T12" s="61"/>
      <c r="U12" s="315"/>
      <c r="V12" s="360"/>
    </row>
    <row r="13" spans="1:22" s="3" customFormat="1" ht="24.95" customHeight="1">
      <c r="D13" s="26"/>
      <c r="E13" s="24"/>
      <c r="F13" s="24"/>
      <c r="G13" s="24"/>
      <c r="H13" s="24"/>
      <c r="I13" s="24"/>
      <c r="J13" s="24"/>
      <c r="K13" s="24"/>
      <c r="L13" s="24"/>
      <c r="M13" s="24"/>
      <c r="N13" s="24"/>
      <c r="O13" s="24"/>
      <c r="P13" s="24"/>
      <c r="U13" s="315"/>
      <c r="V13" s="360"/>
    </row>
    <row r="14" spans="1:22" s="3" customFormat="1" ht="24.95" customHeight="1">
      <c r="D14" s="21" t="s">
        <v>138</v>
      </c>
      <c r="E14" s="24"/>
      <c r="F14" s="24"/>
      <c r="G14" s="24"/>
      <c r="H14" s="24"/>
      <c r="I14" s="24"/>
      <c r="J14" s="24"/>
      <c r="K14" s="24"/>
      <c r="L14" s="24"/>
      <c r="M14" s="24"/>
      <c r="N14" s="24"/>
      <c r="O14" s="24"/>
      <c r="P14" s="24"/>
      <c r="U14" s="315"/>
      <c r="V14" s="360"/>
    </row>
    <row r="15" spans="1:22" s="3" customFormat="1" ht="24.95" hidden="1" customHeight="1">
      <c r="A15" s="3" t="s">
        <v>484</v>
      </c>
      <c r="B15" s="3" t="s">
        <v>56</v>
      </c>
      <c r="D15" s="26" t="s">
        <v>485</v>
      </c>
      <c r="E15" s="43">
        <v>0</v>
      </c>
      <c r="F15" s="43">
        <v>0</v>
      </c>
      <c r="G15" s="43">
        <v>0</v>
      </c>
      <c r="H15" s="43">
        <v>0</v>
      </c>
      <c r="I15" s="43">
        <v>0</v>
      </c>
      <c r="J15" s="43">
        <v>0</v>
      </c>
      <c r="K15" s="43">
        <v>0</v>
      </c>
      <c r="L15" s="43">
        <v>0</v>
      </c>
      <c r="M15" s="43">
        <v>0</v>
      </c>
      <c r="N15" s="43">
        <v>0</v>
      </c>
      <c r="O15" s="43">
        <v>0</v>
      </c>
      <c r="P15" s="43">
        <v>0</v>
      </c>
      <c r="Q15" s="41">
        <f>SUM(E15:P15)</f>
        <v>0</v>
      </c>
      <c r="R15" s="61">
        <v>0</v>
      </c>
      <c r="U15" s="315"/>
      <c r="V15" s="360"/>
    </row>
    <row r="16" spans="1:22" s="3" customFormat="1" ht="24.95" hidden="1" customHeight="1">
      <c r="A16" s="3" t="s">
        <v>486</v>
      </c>
      <c r="B16" s="3" t="s">
        <v>56</v>
      </c>
      <c r="D16" s="28" t="s">
        <v>487</v>
      </c>
      <c r="E16" s="43">
        <v>0</v>
      </c>
      <c r="F16" s="43">
        <v>0</v>
      </c>
      <c r="G16" s="43">
        <v>0</v>
      </c>
      <c r="H16" s="43">
        <v>0</v>
      </c>
      <c r="I16" s="43">
        <v>0</v>
      </c>
      <c r="J16" s="43">
        <v>0</v>
      </c>
      <c r="K16" s="43">
        <v>0</v>
      </c>
      <c r="L16" s="43">
        <v>0</v>
      </c>
      <c r="M16" s="43">
        <v>0</v>
      </c>
      <c r="N16" s="43">
        <v>0</v>
      </c>
      <c r="O16" s="43">
        <v>0</v>
      </c>
      <c r="P16" s="43">
        <v>0</v>
      </c>
      <c r="Q16" s="41">
        <f t="shared" ref="Q16:Q79" si="1">SUM(E16:P16)</f>
        <v>0</v>
      </c>
      <c r="R16" s="61">
        <v>0</v>
      </c>
      <c r="U16" s="315"/>
      <c r="V16" s="360"/>
    </row>
    <row r="17" spans="1:22" s="3" customFormat="1" ht="24.95" hidden="1" customHeight="1">
      <c r="A17" s="3" t="s">
        <v>488</v>
      </c>
      <c r="B17" s="3" t="s">
        <v>56</v>
      </c>
      <c r="D17" s="26" t="s">
        <v>489</v>
      </c>
      <c r="E17" s="43">
        <v>0</v>
      </c>
      <c r="F17" s="43">
        <v>0</v>
      </c>
      <c r="G17" s="43">
        <v>0</v>
      </c>
      <c r="H17" s="43">
        <v>0</v>
      </c>
      <c r="I17" s="43">
        <v>0</v>
      </c>
      <c r="J17" s="43">
        <v>0</v>
      </c>
      <c r="K17" s="43">
        <v>0</v>
      </c>
      <c r="L17" s="43">
        <v>0</v>
      </c>
      <c r="M17" s="43">
        <v>0</v>
      </c>
      <c r="N17" s="43">
        <v>0</v>
      </c>
      <c r="O17" s="43">
        <v>0</v>
      </c>
      <c r="P17" s="43">
        <v>0</v>
      </c>
      <c r="Q17" s="41">
        <f t="shared" si="1"/>
        <v>0</v>
      </c>
      <c r="R17" s="61">
        <v>0</v>
      </c>
      <c r="U17" s="315"/>
      <c r="V17" s="360"/>
    </row>
    <row r="18" spans="1:22" s="3" customFormat="1" ht="24.95" hidden="1" customHeight="1">
      <c r="A18" s="3" t="s">
        <v>490</v>
      </c>
      <c r="B18" s="3" t="s">
        <v>56</v>
      </c>
      <c r="D18" s="26" t="s">
        <v>491</v>
      </c>
      <c r="E18" s="43">
        <v>0</v>
      </c>
      <c r="F18" s="43">
        <v>0</v>
      </c>
      <c r="G18" s="43">
        <v>0</v>
      </c>
      <c r="H18" s="43">
        <v>0</v>
      </c>
      <c r="I18" s="43">
        <v>0</v>
      </c>
      <c r="J18" s="43">
        <v>0</v>
      </c>
      <c r="K18" s="43">
        <v>0</v>
      </c>
      <c r="L18" s="43">
        <v>0</v>
      </c>
      <c r="M18" s="43">
        <v>0</v>
      </c>
      <c r="N18" s="43">
        <v>0</v>
      </c>
      <c r="O18" s="43">
        <v>0</v>
      </c>
      <c r="P18" s="43">
        <v>0</v>
      </c>
      <c r="Q18" s="41">
        <f t="shared" si="1"/>
        <v>0</v>
      </c>
      <c r="R18" s="61">
        <v>0</v>
      </c>
      <c r="U18" s="315"/>
      <c r="V18" s="360"/>
    </row>
    <row r="19" spans="1:22" s="3" customFormat="1" ht="24.95" hidden="1" customHeight="1">
      <c r="A19" s="3" t="s">
        <v>492</v>
      </c>
      <c r="B19" s="3" t="s">
        <v>56</v>
      </c>
      <c r="D19" s="29" t="s">
        <v>493</v>
      </c>
      <c r="E19" s="43">
        <v>0</v>
      </c>
      <c r="F19" s="43">
        <v>0</v>
      </c>
      <c r="G19" s="43">
        <v>0</v>
      </c>
      <c r="H19" s="43">
        <v>0</v>
      </c>
      <c r="I19" s="43">
        <v>0</v>
      </c>
      <c r="J19" s="43">
        <v>0</v>
      </c>
      <c r="K19" s="43">
        <v>0</v>
      </c>
      <c r="L19" s="43">
        <v>0</v>
      </c>
      <c r="M19" s="43">
        <v>0</v>
      </c>
      <c r="N19" s="43">
        <v>0</v>
      </c>
      <c r="O19" s="43">
        <v>0</v>
      </c>
      <c r="P19" s="43">
        <v>0</v>
      </c>
      <c r="Q19" s="41">
        <f t="shared" si="1"/>
        <v>0</v>
      </c>
      <c r="R19" s="61">
        <v>0</v>
      </c>
      <c r="U19" s="315"/>
      <c r="V19" s="360"/>
    </row>
    <row r="20" spans="1:22" s="3" customFormat="1" ht="24.95" hidden="1" customHeight="1">
      <c r="A20" s="3" t="s">
        <v>494</v>
      </c>
      <c r="B20" s="3" t="s">
        <v>56</v>
      </c>
      <c r="D20" s="29" t="s">
        <v>495</v>
      </c>
      <c r="E20" s="43">
        <v>0</v>
      </c>
      <c r="F20" s="43">
        <v>0</v>
      </c>
      <c r="G20" s="43">
        <v>0</v>
      </c>
      <c r="H20" s="43">
        <v>0</v>
      </c>
      <c r="I20" s="43">
        <v>0</v>
      </c>
      <c r="J20" s="43">
        <v>0</v>
      </c>
      <c r="K20" s="43">
        <v>0</v>
      </c>
      <c r="L20" s="43">
        <v>0</v>
      </c>
      <c r="M20" s="43">
        <v>0</v>
      </c>
      <c r="N20" s="43">
        <v>0</v>
      </c>
      <c r="O20" s="43">
        <v>0</v>
      </c>
      <c r="P20" s="43">
        <v>0</v>
      </c>
      <c r="Q20" s="41">
        <f t="shared" si="1"/>
        <v>0</v>
      </c>
      <c r="R20" s="61">
        <v>0</v>
      </c>
      <c r="U20" s="315"/>
      <c r="V20" s="360"/>
    </row>
    <row r="21" spans="1:22" s="3" customFormat="1" ht="24.95" hidden="1" customHeight="1">
      <c r="A21" s="3" t="s">
        <v>496</v>
      </c>
      <c r="B21" s="3" t="s">
        <v>56</v>
      </c>
      <c r="D21" s="26" t="s">
        <v>497</v>
      </c>
      <c r="E21" s="43">
        <v>0</v>
      </c>
      <c r="F21" s="43">
        <v>0</v>
      </c>
      <c r="G21" s="43">
        <v>0</v>
      </c>
      <c r="H21" s="43">
        <v>0</v>
      </c>
      <c r="I21" s="43">
        <v>0</v>
      </c>
      <c r="J21" s="43">
        <v>0</v>
      </c>
      <c r="K21" s="43">
        <v>0</v>
      </c>
      <c r="L21" s="43">
        <v>0</v>
      </c>
      <c r="M21" s="43">
        <v>0</v>
      </c>
      <c r="N21" s="43">
        <v>0</v>
      </c>
      <c r="O21" s="43">
        <v>0</v>
      </c>
      <c r="P21" s="43">
        <v>0</v>
      </c>
      <c r="Q21" s="41">
        <f t="shared" si="1"/>
        <v>0</v>
      </c>
      <c r="R21" s="61">
        <v>0</v>
      </c>
      <c r="U21" s="315"/>
      <c r="V21" s="360"/>
    </row>
    <row r="22" spans="1:22" s="3" customFormat="1" ht="24.95" hidden="1" customHeight="1">
      <c r="A22" s="3" t="s">
        <v>498</v>
      </c>
      <c r="B22" s="3" t="s">
        <v>56</v>
      </c>
      <c r="D22" s="29" t="s">
        <v>499</v>
      </c>
      <c r="E22" s="43">
        <v>0</v>
      </c>
      <c r="F22" s="43">
        <v>0</v>
      </c>
      <c r="G22" s="43">
        <v>0</v>
      </c>
      <c r="H22" s="43">
        <v>0</v>
      </c>
      <c r="I22" s="43">
        <v>0</v>
      </c>
      <c r="J22" s="43">
        <v>0</v>
      </c>
      <c r="K22" s="43">
        <v>0</v>
      </c>
      <c r="L22" s="43">
        <v>0</v>
      </c>
      <c r="M22" s="43">
        <v>0</v>
      </c>
      <c r="N22" s="43">
        <v>0</v>
      </c>
      <c r="O22" s="43">
        <v>0</v>
      </c>
      <c r="P22" s="43">
        <v>0</v>
      </c>
      <c r="Q22" s="41">
        <f t="shared" si="1"/>
        <v>0</v>
      </c>
      <c r="R22" s="61">
        <v>0</v>
      </c>
      <c r="U22" s="315"/>
      <c r="V22" s="360"/>
    </row>
    <row r="23" spans="1:22" s="3" customFormat="1" ht="24.95" customHeight="1">
      <c r="A23" s="3" t="s">
        <v>500</v>
      </c>
      <c r="B23" s="3" t="s">
        <v>56</v>
      </c>
      <c r="D23" s="26" t="s">
        <v>501</v>
      </c>
      <c r="E23" s="43">
        <v>79053.06</v>
      </c>
      <c r="F23" s="43">
        <v>79053.06</v>
      </c>
      <c r="G23" s="43">
        <v>79053.06</v>
      </c>
      <c r="H23" s="43">
        <v>79053.06</v>
      </c>
      <c r="I23" s="43">
        <v>79053.06</v>
      </c>
      <c r="J23" s="43">
        <v>79053.06</v>
      </c>
      <c r="K23" s="43">
        <v>119053.06</v>
      </c>
      <c r="L23" s="43">
        <v>79053.06</v>
      </c>
      <c r="M23" s="43">
        <v>79053.06</v>
      </c>
      <c r="N23" s="43">
        <v>79053.06</v>
      </c>
      <c r="O23" s="43">
        <v>79053.06</v>
      </c>
      <c r="P23" s="43">
        <v>79053.06</v>
      </c>
      <c r="Q23" s="293">
        <f t="shared" si="1"/>
        <v>988636.7200000002</v>
      </c>
      <c r="R23" s="61">
        <v>854.7</v>
      </c>
      <c r="S23" s="39">
        <f>Q23/Summary!$Q$16</f>
        <v>2.9726469985492849E-2</v>
      </c>
      <c r="T23" s="61"/>
      <c r="U23" s="315"/>
      <c r="V23" s="142"/>
    </row>
    <row r="24" spans="1:22" s="3" customFormat="1" ht="24.95" hidden="1" customHeight="1">
      <c r="A24" s="3" t="s">
        <v>502</v>
      </c>
      <c r="B24" s="3" t="s">
        <v>56</v>
      </c>
      <c r="D24" s="26" t="s">
        <v>503</v>
      </c>
      <c r="E24" s="43"/>
      <c r="F24" s="43"/>
      <c r="G24" s="43"/>
      <c r="H24" s="43"/>
      <c r="I24" s="43"/>
      <c r="J24" s="43"/>
      <c r="K24" s="43"/>
      <c r="L24" s="43"/>
      <c r="M24" s="43"/>
      <c r="N24" s="43"/>
      <c r="O24" s="43"/>
      <c r="P24" s="43"/>
      <c r="Q24" s="41">
        <f t="shared" si="1"/>
        <v>0</v>
      </c>
      <c r="R24" s="61">
        <v>26257.8</v>
      </c>
      <c r="S24" s="39">
        <f>Q24/Summary!$Q$16</f>
        <v>0</v>
      </c>
      <c r="T24" s="61"/>
      <c r="U24" s="315"/>
      <c r="V24" s="360"/>
    </row>
    <row r="25" spans="1:22" s="3" customFormat="1" ht="24.95" hidden="1" customHeight="1">
      <c r="A25" s="3" t="s">
        <v>504</v>
      </c>
      <c r="B25" s="3" t="s">
        <v>56</v>
      </c>
      <c r="D25" s="26" t="s">
        <v>505</v>
      </c>
      <c r="E25" s="43"/>
      <c r="F25" s="43"/>
      <c r="G25" s="43"/>
      <c r="H25" s="43"/>
      <c r="I25" s="43"/>
      <c r="J25" s="43"/>
      <c r="K25" s="43"/>
      <c r="L25" s="43"/>
      <c r="M25" s="43"/>
      <c r="N25" s="43"/>
      <c r="O25" s="43"/>
      <c r="P25" s="43"/>
      <c r="Q25" s="41">
        <f t="shared" si="1"/>
        <v>0</v>
      </c>
      <c r="R25" s="61">
        <v>0</v>
      </c>
      <c r="S25" s="39">
        <f>Q25/Summary!$Q$16</f>
        <v>0</v>
      </c>
      <c r="T25" s="61"/>
      <c r="U25" s="315"/>
      <c r="V25" s="360"/>
    </row>
    <row r="26" spans="1:22" s="3" customFormat="1" ht="24.95" customHeight="1">
      <c r="A26" s="3" t="s">
        <v>506</v>
      </c>
      <c r="B26" s="3" t="s">
        <v>56</v>
      </c>
      <c r="D26" s="26" t="s">
        <v>507</v>
      </c>
      <c r="E26" s="63">
        <v>300</v>
      </c>
      <c r="F26" s="63">
        <v>300</v>
      </c>
      <c r="G26" s="63">
        <v>300</v>
      </c>
      <c r="H26" s="63">
        <v>300</v>
      </c>
      <c r="I26" s="63">
        <v>300</v>
      </c>
      <c r="J26" s="63">
        <v>300</v>
      </c>
      <c r="K26" s="63">
        <v>300</v>
      </c>
      <c r="L26" s="63">
        <v>300</v>
      </c>
      <c r="M26" s="63">
        <v>300</v>
      </c>
      <c r="N26" s="63">
        <v>300</v>
      </c>
      <c r="O26" s="63">
        <v>300</v>
      </c>
      <c r="P26" s="63">
        <v>300</v>
      </c>
      <c r="Q26" s="293">
        <f t="shared" si="1"/>
        <v>3600</v>
      </c>
      <c r="R26" s="61">
        <v>1206.3</v>
      </c>
      <c r="S26" s="39">
        <f>Q26/Summary!$Q$16</f>
        <v>1.0824531375667923E-4</v>
      </c>
      <c r="T26" s="61"/>
      <c r="U26" s="315"/>
      <c r="V26" s="360"/>
    </row>
    <row r="27" spans="1:22" s="3" customFormat="1" ht="24.95" hidden="1" customHeight="1">
      <c r="A27" s="3" t="s">
        <v>508</v>
      </c>
      <c r="B27" s="3" t="s">
        <v>56</v>
      </c>
      <c r="D27" s="26" t="s">
        <v>509</v>
      </c>
      <c r="E27" s="43"/>
      <c r="F27" s="43"/>
      <c r="G27" s="43"/>
      <c r="H27" s="43"/>
      <c r="I27" s="43"/>
      <c r="J27" s="43"/>
      <c r="K27" s="43"/>
      <c r="L27" s="43"/>
      <c r="M27" s="43"/>
      <c r="N27" s="43"/>
      <c r="O27" s="43"/>
      <c r="P27" s="43"/>
      <c r="Q27" s="41">
        <f t="shared" si="1"/>
        <v>0</v>
      </c>
      <c r="R27" s="61">
        <v>0</v>
      </c>
      <c r="S27" s="39">
        <f>Q27/Summary!$Q$16</f>
        <v>0</v>
      </c>
      <c r="T27" s="61"/>
      <c r="U27" s="315"/>
      <c r="V27" s="360"/>
    </row>
    <row r="28" spans="1:22" s="3" customFormat="1" ht="24.95" hidden="1" customHeight="1">
      <c r="A28" s="3" t="s">
        <v>510</v>
      </c>
      <c r="B28" s="3" t="s">
        <v>56</v>
      </c>
      <c r="D28" s="26" t="s">
        <v>511</v>
      </c>
      <c r="E28" s="43"/>
      <c r="F28" s="43"/>
      <c r="G28" s="43"/>
      <c r="H28" s="43"/>
      <c r="I28" s="43"/>
      <c r="J28" s="43"/>
      <c r="K28" s="43"/>
      <c r="L28" s="43"/>
      <c r="M28" s="43"/>
      <c r="N28" s="43"/>
      <c r="O28" s="43"/>
      <c r="P28" s="43"/>
      <c r="Q28" s="41">
        <f t="shared" si="1"/>
        <v>0</v>
      </c>
      <c r="R28" s="61">
        <v>0</v>
      </c>
      <c r="S28" s="39">
        <f>Q28/Summary!$Q$16</f>
        <v>0</v>
      </c>
      <c r="T28" s="61"/>
      <c r="U28" s="315"/>
      <c r="V28" s="360"/>
    </row>
    <row r="29" spans="1:22" s="3" customFormat="1" ht="24.95" hidden="1" customHeight="1">
      <c r="A29" s="3" t="s">
        <v>512</v>
      </c>
      <c r="B29" s="3" t="s">
        <v>56</v>
      </c>
      <c r="D29" s="26" t="s">
        <v>169</v>
      </c>
      <c r="E29" s="43"/>
      <c r="F29" s="43"/>
      <c r="G29" s="43"/>
      <c r="H29" s="43"/>
      <c r="I29" s="43"/>
      <c r="J29" s="43"/>
      <c r="K29" s="43"/>
      <c r="L29" s="43"/>
      <c r="M29" s="43"/>
      <c r="N29" s="43"/>
      <c r="O29" s="43"/>
      <c r="P29" s="43"/>
      <c r="Q29" s="41">
        <f t="shared" si="1"/>
        <v>0</v>
      </c>
      <c r="R29" s="61">
        <v>0</v>
      </c>
      <c r="S29" s="39">
        <f>Q29/Summary!$Q$16</f>
        <v>0</v>
      </c>
      <c r="T29" s="61"/>
      <c r="U29" s="315"/>
      <c r="V29" s="360"/>
    </row>
    <row r="30" spans="1:22" s="3" customFormat="1" ht="24.95" hidden="1" customHeight="1">
      <c r="A30" s="3" t="s">
        <v>513</v>
      </c>
      <c r="B30" s="3" t="s">
        <v>56</v>
      </c>
      <c r="D30" s="26" t="s">
        <v>171</v>
      </c>
      <c r="E30" s="43"/>
      <c r="F30" s="43"/>
      <c r="G30" s="43"/>
      <c r="H30" s="43"/>
      <c r="I30" s="43"/>
      <c r="J30" s="43"/>
      <c r="K30" s="43"/>
      <c r="L30" s="43"/>
      <c r="M30" s="43"/>
      <c r="N30" s="43"/>
      <c r="O30" s="43"/>
      <c r="P30" s="43"/>
      <c r="Q30" s="41">
        <f t="shared" si="1"/>
        <v>0</v>
      </c>
      <c r="R30" s="61">
        <v>0</v>
      </c>
      <c r="S30" s="39">
        <f>Q30/Summary!$Q$16</f>
        <v>0</v>
      </c>
      <c r="T30" s="61"/>
      <c r="U30" s="315"/>
      <c r="V30" s="360"/>
    </row>
    <row r="31" spans="1:22" s="3" customFormat="1" ht="24.95" hidden="1" customHeight="1">
      <c r="A31" s="3" t="s">
        <v>514</v>
      </c>
      <c r="B31" s="3" t="s">
        <v>56</v>
      </c>
      <c r="D31" s="26" t="s">
        <v>515</v>
      </c>
      <c r="E31" s="43"/>
      <c r="F31" s="43"/>
      <c r="G31" s="43"/>
      <c r="H31" s="43"/>
      <c r="I31" s="43"/>
      <c r="J31" s="43"/>
      <c r="K31" s="43"/>
      <c r="L31" s="43"/>
      <c r="M31" s="43"/>
      <c r="N31" s="43"/>
      <c r="O31" s="43"/>
      <c r="P31" s="43"/>
      <c r="Q31" s="41">
        <f t="shared" si="1"/>
        <v>0</v>
      </c>
      <c r="R31" s="61">
        <v>0</v>
      </c>
      <c r="S31" s="39">
        <f>Q31/Summary!$Q$16</f>
        <v>0</v>
      </c>
      <c r="T31" s="61"/>
      <c r="U31" s="315"/>
      <c r="V31" s="360"/>
    </row>
    <row r="32" spans="1:22" s="3" customFormat="1" ht="24.95" hidden="1" customHeight="1">
      <c r="A32" s="3" t="s">
        <v>516</v>
      </c>
      <c r="B32" s="3" t="s">
        <v>56</v>
      </c>
      <c r="D32" s="26" t="s">
        <v>517</v>
      </c>
      <c r="E32" s="43"/>
      <c r="F32" s="43"/>
      <c r="G32" s="43"/>
      <c r="H32" s="43"/>
      <c r="I32" s="43"/>
      <c r="J32" s="43"/>
      <c r="K32" s="43"/>
      <c r="L32" s="43"/>
      <c r="M32" s="43"/>
      <c r="N32" s="43"/>
      <c r="O32" s="43"/>
      <c r="P32" s="43"/>
      <c r="Q32" s="41">
        <f t="shared" si="1"/>
        <v>0</v>
      </c>
      <c r="R32" s="61">
        <v>0</v>
      </c>
      <c r="S32" s="39">
        <f>Q32/Summary!$Q$16</f>
        <v>0</v>
      </c>
      <c r="T32" s="61"/>
      <c r="U32" s="315"/>
      <c r="V32" s="360"/>
    </row>
    <row r="33" spans="1:22" s="3" customFormat="1" ht="24.95" hidden="1" customHeight="1">
      <c r="A33" s="3" t="s">
        <v>518</v>
      </c>
      <c r="B33" s="3" t="s">
        <v>56</v>
      </c>
      <c r="D33" s="26" t="s">
        <v>519</v>
      </c>
      <c r="E33" s="43"/>
      <c r="F33" s="43"/>
      <c r="G33" s="43"/>
      <c r="H33" s="43"/>
      <c r="I33" s="43"/>
      <c r="J33" s="43"/>
      <c r="K33" s="43"/>
      <c r="L33" s="43"/>
      <c r="M33" s="43"/>
      <c r="N33" s="43"/>
      <c r="O33" s="43"/>
      <c r="P33" s="43"/>
      <c r="Q33" s="41">
        <f t="shared" si="1"/>
        <v>0</v>
      </c>
      <c r="R33" s="61">
        <v>0</v>
      </c>
      <c r="S33" s="39">
        <f>Q33/Summary!$Q$16</f>
        <v>0</v>
      </c>
      <c r="T33" s="61"/>
      <c r="U33" s="315"/>
      <c r="V33" s="360"/>
    </row>
    <row r="34" spans="1:22" s="3" customFormat="1" ht="24.95" hidden="1" customHeight="1">
      <c r="A34" s="3" t="s">
        <v>520</v>
      </c>
      <c r="B34" s="3" t="s">
        <v>56</v>
      </c>
      <c r="D34" s="26" t="s">
        <v>521</v>
      </c>
      <c r="E34" s="43"/>
      <c r="F34" s="43"/>
      <c r="G34" s="43"/>
      <c r="H34" s="43"/>
      <c r="I34" s="43"/>
      <c r="J34" s="43"/>
      <c r="K34" s="43"/>
      <c r="L34" s="43"/>
      <c r="M34" s="43"/>
      <c r="N34" s="43"/>
      <c r="O34" s="43"/>
      <c r="P34" s="43"/>
      <c r="Q34" s="41">
        <f t="shared" si="1"/>
        <v>0</v>
      </c>
      <c r="R34" s="61">
        <v>0</v>
      </c>
      <c r="S34" s="39">
        <f>Q34/Summary!$Q$16</f>
        <v>0</v>
      </c>
      <c r="T34" s="61"/>
      <c r="U34" s="315"/>
      <c r="V34" s="360"/>
    </row>
    <row r="35" spans="1:22" s="3" customFormat="1" ht="24.95" hidden="1" customHeight="1">
      <c r="A35" s="3" t="s">
        <v>522</v>
      </c>
      <c r="B35" s="3" t="s">
        <v>56</v>
      </c>
      <c r="D35" s="26" t="s">
        <v>523</v>
      </c>
      <c r="E35" s="43"/>
      <c r="F35" s="43"/>
      <c r="G35" s="43"/>
      <c r="H35" s="43"/>
      <c r="I35" s="43"/>
      <c r="J35" s="43"/>
      <c r="K35" s="43"/>
      <c r="L35" s="43"/>
      <c r="M35" s="43"/>
      <c r="N35" s="43"/>
      <c r="O35" s="43"/>
      <c r="P35" s="43"/>
      <c r="Q35" s="41">
        <f t="shared" si="1"/>
        <v>0</v>
      </c>
      <c r="R35" s="61">
        <v>0</v>
      </c>
      <c r="S35" s="39">
        <f>Q35/Summary!$Q$16</f>
        <v>0</v>
      </c>
      <c r="T35" s="61"/>
      <c r="U35" s="315"/>
      <c r="V35" s="360"/>
    </row>
    <row r="36" spans="1:22" s="3" customFormat="1" ht="24.95" hidden="1" customHeight="1">
      <c r="A36" s="3" t="s">
        <v>524</v>
      </c>
      <c r="B36" s="3" t="s">
        <v>56</v>
      </c>
      <c r="D36" s="26" t="s">
        <v>525</v>
      </c>
      <c r="E36" s="43"/>
      <c r="F36" s="43"/>
      <c r="G36" s="43"/>
      <c r="H36" s="43"/>
      <c r="I36" s="43"/>
      <c r="J36" s="43"/>
      <c r="K36" s="43"/>
      <c r="L36" s="43"/>
      <c r="M36" s="43"/>
      <c r="N36" s="43"/>
      <c r="O36" s="43"/>
      <c r="P36" s="43"/>
      <c r="Q36" s="41">
        <f t="shared" si="1"/>
        <v>0</v>
      </c>
      <c r="R36" s="61">
        <v>0</v>
      </c>
      <c r="S36" s="39">
        <f>Q36/Summary!$Q$16</f>
        <v>0</v>
      </c>
      <c r="T36" s="61"/>
      <c r="U36" s="315"/>
      <c r="V36" s="360"/>
    </row>
    <row r="37" spans="1:22" s="3" customFormat="1" ht="24.95" hidden="1" customHeight="1">
      <c r="A37" s="3" t="s">
        <v>526</v>
      </c>
      <c r="B37" s="3" t="s">
        <v>56</v>
      </c>
      <c r="D37" s="26" t="s">
        <v>527</v>
      </c>
      <c r="E37" s="43"/>
      <c r="F37" s="43"/>
      <c r="G37" s="43"/>
      <c r="H37" s="43"/>
      <c r="I37" s="43"/>
      <c r="J37" s="43"/>
      <c r="K37" s="43"/>
      <c r="L37" s="43"/>
      <c r="M37" s="43"/>
      <c r="N37" s="43"/>
      <c r="O37" s="43"/>
      <c r="P37" s="43"/>
      <c r="Q37" s="41">
        <f t="shared" si="1"/>
        <v>0</v>
      </c>
      <c r="R37" s="61">
        <v>0</v>
      </c>
      <c r="S37" s="39">
        <f>Q37/Summary!$Q$16</f>
        <v>0</v>
      </c>
      <c r="T37" s="61"/>
      <c r="U37" s="315"/>
      <c r="V37" s="360"/>
    </row>
    <row r="38" spans="1:22" s="3" customFormat="1" ht="24.95" hidden="1" customHeight="1">
      <c r="A38" s="3" t="s">
        <v>528</v>
      </c>
      <c r="B38" s="3" t="s">
        <v>56</v>
      </c>
      <c r="D38" s="26" t="s">
        <v>529</v>
      </c>
      <c r="E38" s="43"/>
      <c r="F38" s="43"/>
      <c r="G38" s="43"/>
      <c r="H38" s="43"/>
      <c r="I38" s="43"/>
      <c r="J38" s="43"/>
      <c r="K38" s="43"/>
      <c r="L38" s="43"/>
      <c r="M38" s="43"/>
      <c r="N38" s="43"/>
      <c r="O38" s="43"/>
      <c r="P38" s="43"/>
      <c r="Q38" s="41">
        <f t="shared" si="1"/>
        <v>0</v>
      </c>
      <c r="R38" s="61">
        <v>0</v>
      </c>
      <c r="S38" s="39">
        <f>Q38/Summary!$Q$16</f>
        <v>0</v>
      </c>
      <c r="T38" s="61"/>
      <c r="U38" s="315"/>
      <c r="V38" s="360"/>
    </row>
    <row r="39" spans="1:22" s="3" customFormat="1" ht="24.95" hidden="1" customHeight="1">
      <c r="A39" s="3" t="s">
        <v>530</v>
      </c>
      <c r="B39" s="3" t="s">
        <v>56</v>
      </c>
      <c r="D39" s="26" t="s">
        <v>531</v>
      </c>
      <c r="E39" s="43"/>
      <c r="F39" s="43"/>
      <c r="G39" s="43"/>
      <c r="H39" s="43"/>
      <c r="I39" s="43"/>
      <c r="J39" s="43"/>
      <c r="K39" s="43"/>
      <c r="L39" s="43"/>
      <c r="M39" s="43"/>
      <c r="N39" s="43"/>
      <c r="O39" s="43"/>
      <c r="P39" s="43"/>
      <c r="Q39" s="41">
        <f t="shared" si="1"/>
        <v>0</v>
      </c>
      <c r="R39" s="61">
        <v>0</v>
      </c>
      <c r="S39" s="39">
        <f>Q39/Summary!$Q$16</f>
        <v>0</v>
      </c>
      <c r="T39" s="61"/>
      <c r="U39" s="315"/>
      <c r="V39" s="360"/>
    </row>
    <row r="40" spans="1:22" s="3" customFormat="1" ht="24.95" hidden="1" customHeight="1">
      <c r="A40" s="3" t="s">
        <v>532</v>
      </c>
      <c r="B40" s="3" t="s">
        <v>56</v>
      </c>
      <c r="D40" s="26" t="s">
        <v>1182</v>
      </c>
      <c r="E40" s="43"/>
      <c r="F40" s="43"/>
      <c r="G40" s="43"/>
      <c r="H40" s="43"/>
      <c r="I40" s="43"/>
      <c r="J40" s="43"/>
      <c r="K40" s="43"/>
      <c r="L40" s="43"/>
      <c r="M40" s="43"/>
      <c r="N40" s="43"/>
      <c r="O40" s="43"/>
      <c r="P40" s="43"/>
      <c r="Q40" s="41">
        <f t="shared" si="1"/>
        <v>0</v>
      </c>
      <c r="R40" s="61">
        <v>0</v>
      </c>
      <c r="S40" s="39">
        <f>Q40/Summary!$Q$16</f>
        <v>0</v>
      </c>
      <c r="T40" s="61"/>
      <c r="U40" s="315"/>
      <c r="V40" s="360"/>
    </row>
    <row r="41" spans="1:22" s="3" customFormat="1" ht="24.95" hidden="1" customHeight="1">
      <c r="A41" s="3" t="s">
        <v>534</v>
      </c>
      <c r="B41" s="3" t="s">
        <v>56</v>
      </c>
      <c r="D41" s="26" t="s">
        <v>535</v>
      </c>
      <c r="E41" s="43"/>
      <c r="F41" s="43"/>
      <c r="G41" s="43"/>
      <c r="H41" s="43"/>
      <c r="I41" s="43"/>
      <c r="J41" s="43"/>
      <c r="K41" s="43"/>
      <c r="L41" s="43"/>
      <c r="M41" s="43"/>
      <c r="N41" s="43"/>
      <c r="O41" s="43"/>
      <c r="P41" s="43"/>
      <c r="Q41" s="41">
        <f t="shared" si="1"/>
        <v>0</v>
      </c>
      <c r="R41" s="61">
        <v>0</v>
      </c>
      <c r="S41" s="39">
        <f>Q41/Summary!$Q$16</f>
        <v>0</v>
      </c>
      <c r="T41" s="61"/>
      <c r="U41" s="315"/>
      <c r="V41" s="360"/>
    </row>
    <row r="42" spans="1:22" s="3" customFormat="1" ht="24.95" hidden="1" customHeight="1">
      <c r="A42" s="3" t="s">
        <v>536</v>
      </c>
      <c r="B42" s="3" t="s">
        <v>56</v>
      </c>
      <c r="D42" s="26" t="s">
        <v>537</v>
      </c>
      <c r="E42" s="43"/>
      <c r="F42" s="43"/>
      <c r="G42" s="43"/>
      <c r="H42" s="43"/>
      <c r="I42" s="43"/>
      <c r="J42" s="43"/>
      <c r="K42" s="43"/>
      <c r="L42" s="43"/>
      <c r="M42" s="43"/>
      <c r="N42" s="43"/>
      <c r="O42" s="43"/>
      <c r="P42" s="43"/>
      <c r="Q42" s="41">
        <f t="shared" si="1"/>
        <v>0</v>
      </c>
      <c r="R42" s="61">
        <v>0</v>
      </c>
      <c r="S42" s="39">
        <f>Q42/Summary!$Q$16</f>
        <v>0</v>
      </c>
      <c r="T42" s="61"/>
      <c r="U42" s="315"/>
      <c r="V42" s="360"/>
    </row>
    <row r="43" spans="1:22" s="3" customFormat="1" ht="24.95" customHeight="1">
      <c r="A43" s="3" t="s">
        <v>538</v>
      </c>
      <c r="B43" s="3" t="s">
        <v>56</v>
      </c>
      <c r="D43" s="26" t="s">
        <v>539</v>
      </c>
      <c r="E43" s="63">
        <v>230</v>
      </c>
      <c r="F43" s="63">
        <v>230</v>
      </c>
      <c r="G43" s="63">
        <v>230</v>
      </c>
      <c r="H43" s="63">
        <v>230</v>
      </c>
      <c r="I43" s="63">
        <v>230</v>
      </c>
      <c r="J43" s="63">
        <v>230</v>
      </c>
      <c r="K43" s="63">
        <v>230</v>
      </c>
      <c r="L43" s="63">
        <v>230</v>
      </c>
      <c r="M43" s="63">
        <v>230</v>
      </c>
      <c r="N43" s="63">
        <v>230</v>
      </c>
      <c r="O43" s="63">
        <v>230</v>
      </c>
      <c r="P43" s="63">
        <v>230</v>
      </c>
      <c r="Q43" s="41">
        <f t="shared" si="1"/>
        <v>2760</v>
      </c>
      <c r="R43" s="61">
        <v>10226.85</v>
      </c>
      <c r="S43" s="39">
        <f>Q43/Summary!$Q$16</f>
        <v>8.2988073880120743E-5</v>
      </c>
      <c r="T43" s="61"/>
      <c r="U43" s="315"/>
      <c r="V43" s="360"/>
    </row>
    <row r="44" spans="1:22" s="3" customFormat="1" ht="24.95" hidden="1" customHeight="1">
      <c r="A44" s="3" t="s">
        <v>540</v>
      </c>
      <c r="B44" s="3" t="s">
        <v>56</v>
      </c>
      <c r="D44" s="26" t="s">
        <v>541</v>
      </c>
      <c r="E44" s="43"/>
      <c r="F44" s="43"/>
      <c r="G44" s="43"/>
      <c r="H44" s="43"/>
      <c r="I44" s="43"/>
      <c r="J44" s="43"/>
      <c r="K44" s="43"/>
      <c r="L44" s="43"/>
      <c r="M44" s="43"/>
      <c r="N44" s="43"/>
      <c r="O44" s="43"/>
      <c r="P44" s="43"/>
      <c r="Q44" s="41">
        <f t="shared" si="1"/>
        <v>0</v>
      </c>
      <c r="R44" s="61">
        <v>0</v>
      </c>
      <c r="S44" s="39">
        <f>Q44/Summary!$Q$16</f>
        <v>0</v>
      </c>
      <c r="T44" s="61"/>
      <c r="U44" s="315"/>
      <c r="V44" s="360"/>
    </row>
    <row r="45" spans="1:22" s="3" customFormat="1" ht="24.95" hidden="1" customHeight="1">
      <c r="A45" s="3" t="s">
        <v>542</v>
      </c>
      <c r="B45" s="3" t="s">
        <v>56</v>
      </c>
      <c r="D45" s="26" t="s">
        <v>543</v>
      </c>
      <c r="E45" s="43"/>
      <c r="F45" s="43"/>
      <c r="G45" s="43"/>
      <c r="H45" s="43"/>
      <c r="I45" s="43"/>
      <c r="J45" s="43"/>
      <c r="K45" s="43"/>
      <c r="L45" s="43"/>
      <c r="M45" s="43"/>
      <c r="N45" s="43"/>
      <c r="O45" s="43"/>
      <c r="P45" s="43"/>
      <c r="Q45" s="41">
        <f t="shared" si="1"/>
        <v>0</v>
      </c>
      <c r="R45" s="61">
        <v>0</v>
      </c>
      <c r="S45" s="39">
        <f>Q45/Summary!$Q$16</f>
        <v>0</v>
      </c>
      <c r="T45" s="61"/>
      <c r="U45" s="315"/>
      <c r="V45" s="360"/>
    </row>
    <row r="46" spans="1:22" s="3" customFormat="1" ht="24.95" hidden="1" customHeight="1">
      <c r="A46" s="3" t="s">
        <v>544</v>
      </c>
      <c r="B46" s="3" t="s">
        <v>56</v>
      </c>
      <c r="D46" s="29" t="s">
        <v>545</v>
      </c>
      <c r="E46" s="43"/>
      <c r="F46" s="43"/>
      <c r="G46" s="43"/>
      <c r="H46" s="43"/>
      <c r="I46" s="43"/>
      <c r="J46" s="43"/>
      <c r="K46" s="43"/>
      <c r="L46" s="43"/>
      <c r="M46" s="43"/>
      <c r="N46" s="43"/>
      <c r="O46" s="43"/>
      <c r="P46" s="43"/>
      <c r="Q46" s="41">
        <f t="shared" si="1"/>
        <v>0</v>
      </c>
      <c r="R46" s="61">
        <v>0</v>
      </c>
      <c r="S46" s="39">
        <f>Q46/Summary!$Q$16</f>
        <v>0</v>
      </c>
      <c r="T46" s="61"/>
      <c r="U46" s="315"/>
      <c r="V46" s="360"/>
    </row>
    <row r="47" spans="1:22" s="3" customFormat="1" ht="24.95" hidden="1" customHeight="1">
      <c r="A47" s="3" t="s">
        <v>546</v>
      </c>
      <c r="B47" s="3" t="s">
        <v>56</v>
      </c>
      <c r="D47" s="26" t="s">
        <v>547</v>
      </c>
      <c r="E47" s="43"/>
      <c r="F47" s="43"/>
      <c r="G47" s="43"/>
      <c r="H47" s="43"/>
      <c r="I47" s="43"/>
      <c r="J47" s="43"/>
      <c r="K47" s="43"/>
      <c r="L47" s="43"/>
      <c r="M47" s="43"/>
      <c r="N47" s="43"/>
      <c r="O47" s="43"/>
      <c r="P47" s="43"/>
      <c r="Q47" s="41">
        <f t="shared" si="1"/>
        <v>0</v>
      </c>
      <c r="R47" s="61">
        <v>0</v>
      </c>
      <c r="S47" s="39">
        <f>Q47/Summary!$Q$16</f>
        <v>0</v>
      </c>
      <c r="T47" s="61"/>
      <c r="U47" s="315"/>
      <c r="V47" s="360"/>
    </row>
    <row r="48" spans="1:22" s="3" customFormat="1" ht="24.95" hidden="1" customHeight="1">
      <c r="A48" s="3" t="s">
        <v>548</v>
      </c>
      <c r="B48" s="3" t="s">
        <v>56</v>
      </c>
      <c r="D48" s="26" t="s">
        <v>549</v>
      </c>
      <c r="E48" s="43"/>
      <c r="F48" s="43"/>
      <c r="G48" s="43"/>
      <c r="H48" s="43"/>
      <c r="I48" s="43"/>
      <c r="J48" s="43"/>
      <c r="K48" s="43"/>
      <c r="L48" s="43"/>
      <c r="M48" s="43"/>
      <c r="N48" s="43"/>
      <c r="O48" s="43"/>
      <c r="P48" s="43"/>
      <c r="Q48" s="41">
        <f t="shared" si="1"/>
        <v>0</v>
      </c>
      <c r="R48" s="61">
        <v>0</v>
      </c>
      <c r="S48" s="39">
        <f>Q48/Summary!$Q$16</f>
        <v>0</v>
      </c>
      <c r="T48" s="61"/>
      <c r="U48" s="315"/>
      <c r="V48" s="360"/>
    </row>
    <row r="49" spans="1:22" s="3" customFormat="1" ht="24.95" hidden="1" customHeight="1">
      <c r="A49" s="3" t="s">
        <v>550</v>
      </c>
      <c r="B49" s="3" t="s">
        <v>56</v>
      </c>
      <c r="D49" s="26" t="s">
        <v>551</v>
      </c>
      <c r="E49" s="43"/>
      <c r="F49" s="43"/>
      <c r="G49" s="43"/>
      <c r="H49" s="43"/>
      <c r="I49" s="43"/>
      <c r="J49" s="43"/>
      <c r="K49" s="43"/>
      <c r="L49" s="43"/>
      <c r="M49" s="43"/>
      <c r="N49" s="43"/>
      <c r="O49" s="43"/>
      <c r="P49" s="43"/>
      <c r="Q49" s="41">
        <f t="shared" si="1"/>
        <v>0</v>
      </c>
      <c r="R49" s="61">
        <v>0</v>
      </c>
      <c r="S49" s="39">
        <f>Q49/Summary!$Q$16</f>
        <v>0</v>
      </c>
      <c r="T49" s="61"/>
      <c r="U49" s="315"/>
      <c r="V49" s="360"/>
    </row>
    <row r="50" spans="1:22" s="3" customFormat="1" ht="24.95" hidden="1" customHeight="1">
      <c r="A50" s="3" t="s">
        <v>552</v>
      </c>
      <c r="B50" s="3" t="s">
        <v>56</v>
      </c>
      <c r="D50" s="26" t="s">
        <v>553</v>
      </c>
      <c r="E50" s="63"/>
      <c r="F50" s="63"/>
      <c r="G50" s="63"/>
      <c r="H50" s="63"/>
      <c r="I50" s="63"/>
      <c r="J50" s="63"/>
      <c r="K50" s="63"/>
      <c r="L50" s="63"/>
      <c r="M50" s="63"/>
      <c r="N50" s="63"/>
      <c r="O50" s="63"/>
      <c r="P50" s="63"/>
      <c r="Q50" s="41">
        <f t="shared" si="1"/>
        <v>0</v>
      </c>
      <c r="R50" s="61">
        <v>631.37</v>
      </c>
      <c r="S50" s="39">
        <f>Q50/Summary!$Q$16</f>
        <v>0</v>
      </c>
      <c r="T50" s="61"/>
      <c r="U50" s="315"/>
      <c r="V50" s="360"/>
    </row>
    <row r="51" spans="1:22" s="3" customFormat="1" ht="24.95" hidden="1" customHeight="1">
      <c r="A51" s="3" t="s">
        <v>554</v>
      </c>
      <c r="B51" s="3" t="s">
        <v>56</v>
      </c>
      <c r="D51" s="26" t="s">
        <v>555</v>
      </c>
      <c r="E51" s="43"/>
      <c r="F51" s="43"/>
      <c r="G51" s="43"/>
      <c r="H51" s="43"/>
      <c r="I51" s="43"/>
      <c r="J51" s="43"/>
      <c r="K51" s="43"/>
      <c r="L51" s="43"/>
      <c r="M51" s="43"/>
      <c r="N51" s="43"/>
      <c r="O51" s="43"/>
      <c r="P51" s="43"/>
      <c r="Q51" s="41">
        <f t="shared" si="1"/>
        <v>0</v>
      </c>
      <c r="R51" s="61">
        <v>0</v>
      </c>
      <c r="S51" s="39">
        <f>Q51/Summary!$Q$16</f>
        <v>0</v>
      </c>
      <c r="T51" s="61"/>
      <c r="U51" s="315"/>
      <c r="V51" s="360"/>
    </row>
    <row r="52" spans="1:22" s="3" customFormat="1" ht="24.95" hidden="1" customHeight="1">
      <c r="A52" s="3" t="s">
        <v>556</v>
      </c>
      <c r="B52" s="3" t="s">
        <v>56</v>
      </c>
      <c r="D52" s="26" t="s">
        <v>557</v>
      </c>
      <c r="E52" s="43"/>
      <c r="F52" s="43"/>
      <c r="G52" s="43"/>
      <c r="H52" s="43"/>
      <c r="I52" s="43"/>
      <c r="J52" s="43"/>
      <c r="K52" s="43"/>
      <c r="L52" s="43"/>
      <c r="M52" s="43"/>
      <c r="N52" s="43"/>
      <c r="O52" s="43"/>
      <c r="P52" s="43"/>
      <c r="Q52" s="41">
        <f t="shared" si="1"/>
        <v>0</v>
      </c>
      <c r="R52" s="61">
        <v>0</v>
      </c>
      <c r="S52" s="39">
        <f>Q52/Summary!$Q$16</f>
        <v>0</v>
      </c>
      <c r="T52" s="61"/>
      <c r="U52" s="315"/>
      <c r="V52" s="360"/>
    </row>
    <row r="53" spans="1:22" s="3" customFormat="1" ht="24.95" hidden="1" customHeight="1">
      <c r="A53" s="3" t="s">
        <v>558</v>
      </c>
      <c r="B53" s="3" t="s">
        <v>56</v>
      </c>
      <c r="D53" s="29" t="s">
        <v>559</v>
      </c>
      <c r="E53" s="43"/>
      <c r="F53" s="43"/>
      <c r="G53" s="43"/>
      <c r="H53" s="43"/>
      <c r="I53" s="43"/>
      <c r="J53" s="43"/>
      <c r="K53" s="43"/>
      <c r="L53" s="43"/>
      <c r="M53" s="43"/>
      <c r="N53" s="43"/>
      <c r="O53" s="43"/>
      <c r="P53" s="43"/>
      <c r="Q53" s="41">
        <f t="shared" si="1"/>
        <v>0</v>
      </c>
      <c r="R53" s="61">
        <v>0</v>
      </c>
      <c r="S53" s="39">
        <f>Q53/Summary!$Q$16</f>
        <v>0</v>
      </c>
      <c r="T53" s="61"/>
      <c r="U53" s="315"/>
      <c r="V53" s="360"/>
    </row>
    <row r="54" spans="1:22" s="3" customFormat="1" ht="24.95" hidden="1" customHeight="1">
      <c r="A54" s="3" t="s">
        <v>560</v>
      </c>
      <c r="B54" s="3" t="s">
        <v>56</v>
      </c>
      <c r="D54" s="26" t="s">
        <v>561</v>
      </c>
      <c r="E54" s="43"/>
      <c r="F54" s="43"/>
      <c r="G54" s="43"/>
      <c r="H54" s="43"/>
      <c r="I54" s="43"/>
      <c r="J54" s="43"/>
      <c r="K54" s="43"/>
      <c r="L54" s="43"/>
      <c r="M54" s="43"/>
      <c r="N54" s="43"/>
      <c r="O54" s="43"/>
      <c r="P54" s="43"/>
      <c r="Q54" s="41">
        <f t="shared" si="1"/>
        <v>0</v>
      </c>
      <c r="R54" s="61">
        <v>0</v>
      </c>
      <c r="S54" s="39">
        <f>Q54/Summary!$Q$16</f>
        <v>0</v>
      </c>
      <c r="T54" s="61"/>
      <c r="U54" s="315"/>
      <c r="V54" s="360"/>
    </row>
    <row r="55" spans="1:22" s="3" customFormat="1" ht="24.95" hidden="1" customHeight="1">
      <c r="A55" s="3" t="s">
        <v>562</v>
      </c>
      <c r="B55" s="3" t="s">
        <v>56</v>
      </c>
      <c r="D55" s="29" t="s">
        <v>563</v>
      </c>
      <c r="E55" s="43">
        <v>100</v>
      </c>
      <c r="F55" s="43">
        <v>100</v>
      </c>
      <c r="G55" s="43">
        <v>100</v>
      </c>
      <c r="H55" s="43">
        <v>100</v>
      </c>
      <c r="I55" s="43">
        <v>100</v>
      </c>
      <c r="J55" s="43">
        <v>100</v>
      </c>
      <c r="K55" s="43">
        <v>100</v>
      </c>
      <c r="L55" s="43">
        <v>100</v>
      </c>
      <c r="M55" s="43">
        <v>100</v>
      </c>
      <c r="N55" s="43">
        <v>100</v>
      </c>
      <c r="O55" s="43">
        <v>100</v>
      </c>
      <c r="P55" s="43">
        <v>100</v>
      </c>
      <c r="Q55" s="41">
        <f t="shared" si="1"/>
        <v>1200</v>
      </c>
      <c r="R55" s="61">
        <v>0</v>
      </c>
      <c r="S55" s="39">
        <f>Q55/Summary!$Q$16</f>
        <v>3.6081771252226413E-5</v>
      </c>
      <c r="T55" s="61"/>
      <c r="U55" s="315"/>
      <c r="V55" s="360"/>
    </row>
    <row r="56" spans="1:22" s="3" customFormat="1" ht="24.95" hidden="1" customHeight="1">
      <c r="A56" s="3" t="s">
        <v>564</v>
      </c>
      <c r="B56" s="3" t="s">
        <v>56</v>
      </c>
      <c r="D56" s="26" t="s">
        <v>565</v>
      </c>
      <c r="E56" s="43"/>
      <c r="F56" s="43"/>
      <c r="G56" s="43"/>
      <c r="H56" s="43"/>
      <c r="I56" s="43"/>
      <c r="J56" s="43"/>
      <c r="K56" s="43"/>
      <c r="L56" s="43"/>
      <c r="M56" s="43"/>
      <c r="N56" s="43"/>
      <c r="O56" s="43"/>
      <c r="P56" s="43"/>
      <c r="Q56" s="41">
        <f t="shared" si="1"/>
        <v>0</v>
      </c>
      <c r="R56" s="61">
        <v>0</v>
      </c>
      <c r="S56" s="39">
        <f>Q56/Summary!$Q$16</f>
        <v>0</v>
      </c>
      <c r="T56" s="61"/>
      <c r="U56" s="315"/>
      <c r="V56" s="360"/>
    </row>
    <row r="57" spans="1:22" s="3" customFormat="1" ht="24.95" hidden="1" customHeight="1">
      <c r="A57" s="3" t="s">
        <v>566</v>
      </c>
      <c r="B57" s="3" t="s">
        <v>56</v>
      </c>
      <c r="D57" s="26" t="s">
        <v>567</v>
      </c>
      <c r="E57" s="43"/>
      <c r="F57" s="43"/>
      <c r="G57" s="43"/>
      <c r="H57" s="43"/>
      <c r="I57" s="43"/>
      <c r="J57" s="43"/>
      <c r="K57" s="43"/>
      <c r="L57" s="43"/>
      <c r="M57" s="43"/>
      <c r="N57" s="43"/>
      <c r="O57" s="43"/>
      <c r="P57" s="43"/>
      <c r="Q57" s="41">
        <f t="shared" si="1"/>
        <v>0</v>
      </c>
      <c r="R57" s="61">
        <v>0</v>
      </c>
      <c r="S57" s="39">
        <f>Q57/Summary!$Q$16</f>
        <v>0</v>
      </c>
      <c r="T57" s="61"/>
      <c r="U57" s="315"/>
      <c r="V57" s="360"/>
    </row>
    <row r="58" spans="1:22" s="3" customFormat="1" ht="24.95" hidden="1" customHeight="1">
      <c r="A58" s="3" t="s">
        <v>568</v>
      </c>
      <c r="B58" s="3" t="s">
        <v>56</v>
      </c>
      <c r="D58" s="26" t="s">
        <v>569</v>
      </c>
      <c r="E58" s="43"/>
      <c r="F58" s="43"/>
      <c r="G58" s="43"/>
      <c r="H58" s="43"/>
      <c r="I58" s="43"/>
      <c r="J58" s="43"/>
      <c r="K58" s="43"/>
      <c r="L58" s="43"/>
      <c r="M58" s="43"/>
      <c r="N58" s="43"/>
      <c r="O58" s="43"/>
      <c r="P58" s="43"/>
      <c r="Q58" s="41">
        <f t="shared" si="1"/>
        <v>0</v>
      </c>
      <c r="R58" s="61">
        <v>0</v>
      </c>
      <c r="S58" s="39">
        <f>Q58/Summary!$Q$16</f>
        <v>0</v>
      </c>
      <c r="T58" s="61"/>
      <c r="U58" s="315"/>
      <c r="V58" s="360"/>
    </row>
    <row r="59" spans="1:22" s="3" customFormat="1" ht="24.95" hidden="1" customHeight="1">
      <c r="A59" s="3" t="s">
        <v>570</v>
      </c>
      <c r="B59" s="3" t="s">
        <v>56</v>
      </c>
      <c r="D59" s="26" t="s">
        <v>571</v>
      </c>
      <c r="E59" s="43"/>
      <c r="F59" s="43"/>
      <c r="G59" s="43"/>
      <c r="H59" s="43"/>
      <c r="I59" s="43"/>
      <c r="J59" s="43"/>
      <c r="K59" s="43"/>
      <c r="L59" s="43"/>
      <c r="M59" s="43"/>
      <c r="N59" s="43"/>
      <c r="O59" s="43"/>
      <c r="P59" s="43"/>
      <c r="Q59" s="41">
        <f t="shared" si="1"/>
        <v>0</v>
      </c>
      <c r="R59" s="61">
        <v>0</v>
      </c>
      <c r="S59" s="39">
        <f>Q59/Summary!$Q$16</f>
        <v>0</v>
      </c>
      <c r="T59" s="61"/>
      <c r="U59" s="315"/>
      <c r="V59" s="360"/>
    </row>
    <row r="60" spans="1:22" s="3" customFormat="1" ht="24.95" hidden="1" customHeight="1">
      <c r="A60" s="3" t="s">
        <v>572</v>
      </c>
      <c r="B60" s="3" t="s">
        <v>56</v>
      </c>
      <c r="D60" s="26" t="s">
        <v>573</v>
      </c>
      <c r="E60" s="43"/>
      <c r="F60" s="43"/>
      <c r="G60" s="43"/>
      <c r="H60" s="43"/>
      <c r="I60" s="43"/>
      <c r="J60" s="43"/>
      <c r="K60" s="43"/>
      <c r="L60" s="43"/>
      <c r="M60" s="43"/>
      <c r="N60" s="43"/>
      <c r="O60" s="43"/>
      <c r="P60" s="43"/>
      <c r="Q60" s="41">
        <f t="shared" si="1"/>
        <v>0</v>
      </c>
      <c r="R60" s="61">
        <v>0</v>
      </c>
      <c r="S60" s="39">
        <f>Q60/Summary!$Q$16</f>
        <v>0</v>
      </c>
      <c r="T60" s="61"/>
      <c r="U60" s="315"/>
      <c r="V60" s="360"/>
    </row>
    <row r="61" spans="1:22" s="3" customFormat="1" ht="24.95" hidden="1" customHeight="1">
      <c r="A61" s="3" t="s">
        <v>574</v>
      </c>
      <c r="B61" s="3" t="s">
        <v>56</v>
      </c>
      <c r="D61" s="26" t="s">
        <v>575</v>
      </c>
      <c r="E61" s="43"/>
      <c r="F61" s="43"/>
      <c r="G61" s="43"/>
      <c r="H61" s="43"/>
      <c r="I61" s="43"/>
      <c r="J61" s="43"/>
      <c r="K61" s="43"/>
      <c r="L61" s="43"/>
      <c r="M61" s="43"/>
      <c r="N61" s="43"/>
      <c r="O61" s="43"/>
      <c r="P61" s="43"/>
      <c r="Q61" s="41">
        <f t="shared" si="1"/>
        <v>0</v>
      </c>
      <c r="R61" s="61">
        <v>0</v>
      </c>
      <c r="S61" s="39">
        <f>Q61/Summary!$Q$16</f>
        <v>0</v>
      </c>
      <c r="T61" s="61"/>
      <c r="U61" s="315"/>
      <c r="V61" s="360"/>
    </row>
    <row r="62" spans="1:22" s="3" customFormat="1" ht="24.95" hidden="1" customHeight="1">
      <c r="A62" s="3" t="s">
        <v>576</v>
      </c>
      <c r="B62" s="3" t="s">
        <v>56</v>
      </c>
      <c r="D62" s="26" t="s">
        <v>577</v>
      </c>
      <c r="E62" s="43"/>
      <c r="F62" s="43"/>
      <c r="G62" s="43"/>
      <c r="H62" s="43"/>
      <c r="I62" s="43"/>
      <c r="J62" s="43"/>
      <c r="K62" s="43"/>
      <c r="L62" s="43"/>
      <c r="M62" s="43"/>
      <c r="N62" s="43"/>
      <c r="O62" s="43"/>
      <c r="P62" s="43"/>
      <c r="Q62" s="41">
        <f t="shared" si="1"/>
        <v>0</v>
      </c>
      <c r="R62" s="61">
        <v>0</v>
      </c>
      <c r="S62" s="39">
        <f>Q62/Summary!$Q$16</f>
        <v>0</v>
      </c>
      <c r="T62" s="61"/>
      <c r="U62" s="315"/>
      <c r="V62" s="360"/>
    </row>
    <row r="63" spans="1:22" s="3" customFormat="1" ht="24.95" hidden="1" customHeight="1">
      <c r="A63" s="3" t="s">
        <v>578</v>
      </c>
      <c r="B63" s="3" t="s">
        <v>56</v>
      </c>
      <c r="D63" s="26" t="s">
        <v>579</v>
      </c>
      <c r="E63" s="43"/>
      <c r="F63" s="43"/>
      <c r="G63" s="43"/>
      <c r="H63" s="43"/>
      <c r="I63" s="43"/>
      <c r="J63" s="43"/>
      <c r="K63" s="43"/>
      <c r="L63" s="43"/>
      <c r="M63" s="43"/>
      <c r="N63" s="43"/>
      <c r="O63" s="43"/>
      <c r="P63" s="43"/>
      <c r="Q63" s="41">
        <f t="shared" si="1"/>
        <v>0</v>
      </c>
      <c r="R63" s="61">
        <v>0</v>
      </c>
      <c r="S63" s="39">
        <f>Q63/Summary!$Q$16</f>
        <v>0</v>
      </c>
      <c r="T63" s="61"/>
      <c r="U63" s="315"/>
      <c r="V63" s="360"/>
    </row>
    <row r="64" spans="1:22" s="3" customFormat="1" ht="24.95" hidden="1" customHeight="1">
      <c r="A64" s="3" t="s">
        <v>580</v>
      </c>
      <c r="B64" s="3" t="s">
        <v>56</v>
      </c>
      <c r="D64" s="26" t="s">
        <v>581</v>
      </c>
      <c r="E64" s="43"/>
      <c r="F64" s="43"/>
      <c r="G64" s="43"/>
      <c r="H64" s="43"/>
      <c r="I64" s="43"/>
      <c r="J64" s="43"/>
      <c r="K64" s="43"/>
      <c r="L64" s="43"/>
      <c r="M64" s="43"/>
      <c r="N64" s="43"/>
      <c r="O64" s="43"/>
      <c r="P64" s="43"/>
      <c r="Q64" s="41">
        <f t="shared" si="1"/>
        <v>0</v>
      </c>
      <c r="R64" s="61">
        <v>0</v>
      </c>
      <c r="S64" s="39">
        <f>Q64/Summary!$Q$16</f>
        <v>0</v>
      </c>
      <c r="T64" s="61"/>
      <c r="U64" s="315"/>
      <c r="V64" s="360"/>
    </row>
    <row r="65" spans="1:22" s="3" customFormat="1" ht="24.95" hidden="1" customHeight="1">
      <c r="A65" s="3" t="s">
        <v>582</v>
      </c>
      <c r="B65" s="3" t="s">
        <v>56</v>
      </c>
      <c r="D65" s="26" t="s">
        <v>583</v>
      </c>
      <c r="E65" s="43"/>
      <c r="F65" s="43"/>
      <c r="G65" s="43"/>
      <c r="H65" s="43"/>
      <c r="I65" s="43"/>
      <c r="J65" s="43"/>
      <c r="K65" s="43"/>
      <c r="L65" s="43"/>
      <c r="M65" s="43"/>
      <c r="N65" s="43"/>
      <c r="O65" s="43"/>
      <c r="P65" s="43"/>
      <c r="Q65" s="41">
        <f t="shared" si="1"/>
        <v>0</v>
      </c>
      <c r="R65" s="61">
        <v>0</v>
      </c>
      <c r="S65" s="39">
        <f>Q65/Summary!$Q$16</f>
        <v>0</v>
      </c>
      <c r="T65" s="61"/>
      <c r="U65" s="315"/>
      <c r="V65" s="360"/>
    </row>
    <row r="66" spans="1:22" s="3" customFormat="1" ht="24.95" hidden="1" customHeight="1">
      <c r="A66" s="3" t="s">
        <v>584</v>
      </c>
      <c r="B66" s="3" t="s">
        <v>56</v>
      </c>
      <c r="D66" s="26" t="s">
        <v>585</v>
      </c>
      <c r="E66" s="43"/>
      <c r="F66" s="43"/>
      <c r="G66" s="43"/>
      <c r="H66" s="43"/>
      <c r="I66" s="43"/>
      <c r="J66" s="43"/>
      <c r="K66" s="43"/>
      <c r="L66" s="43"/>
      <c r="M66" s="43"/>
      <c r="N66" s="43"/>
      <c r="O66" s="43"/>
      <c r="P66" s="43"/>
      <c r="Q66" s="41">
        <f t="shared" si="1"/>
        <v>0</v>
      </c>
      <c r="R66" s="61">
        <v>0</v>
      </c>
      <c r="S66" s="39">
        <f>Q66/Summary!$Q$16</f>
        <v>0</v>
      </c>
      <c r="T66" s="61"/>
      <c r="U66" s="315"/>
      <c r="V66" s="360"/>
    </row>
    <row r="67" spans="1:22" s="3" customFormat="1" ht="24.95" hidden="1" customHeight="1">
      <c r="A67" s="3" t="s">
        <v>586</v>
      </c>
      <c r="B67" s="3" t="s">
        <v>56</v>
      </c>
      <c r="D67" s="26" t="s">
        <v>587</v>
      </c>
      <c r="E67" s="43"/>
      <c r="F67" s="43"/>
      <c r="G67" s="43"/>
      <c r="H67" s="43"/>
      <c r="I67" s="43"/>
      <c r="J67" s="43"/>
      <c r="K67" s="43"/>
      <c r="L67" s="43"/>
      <c r="M67" s="43"/>
      <c r="N67" s="43"/>
      <c r="O67" s="43"/>
      <c r="P67" s="43"/>
      <c r="Q67" s="41">
        <f t="shared" si="1"/>
        <v>0</v>
      </c>
      <c r="R67" s="61">
        <v>0</v>
      </c>
      <c r="S67" s="39">
        <f>Q67/Summary!$Q$16</f>
        <v>0</v>
      </c>
      <c r="T67" s="61"/>
      <c r="U67" s="315"/>
      <c r="V67" s="360"/>
    </row>
    <row r="68" spans="1:22" s="3" customFormat="1" ht="24.95" customHeight="1">
      <c r="A68" s="3" t="s">
        <v>588</v>
      </c>
      <c r="B68" s="3" t="s">
        <v>56</v>
      </c>
      <c r="D68" s="26" t="s">
        <v>589</v>
      </c>
      <c r="E68" s="43">
        <v>80</v>
      </c>
      <c r="F68" s="43">
        <v>80</v>
      </c>
      <c r="G68" s="43">
        <v>80</v>
      </c>
      <c r="H68" s="43">
        <v>80</v>
      </c>
      <c r="I68" s="43">
        <v>80</v>
      </c>
      <c r="J68" s="43">
        <v>80</v>
      </c>
      <c r="K68" s="43">
        <v>80</v>
      </c>
      <c r="L68" s="43">
        <v>80</v>
      </c>
      <c r="M68" s="43">
        <v>80</v>
      </c>
      <c r="N68" s="43">
        <v>80</v>
      </c>
      <c r="O68" s="43">
        <v>80</v>
      </c>
      <c r="P68" s="43">
        <v>80</v>
      </c>
      <c r="Q68" s="41">
        <f t="shared" si="1"/>
        <v>960</v>
      </c>
      <c r="R68" s="61">
        <v>44.3</v>
      </c>
      <c r="S68" s="39">
        <f>Q68/Summary!$Q$16</f>
        <v>2.8865417001781127E-5</v>
      </c>
      <c r="T68" s="61"/>
      <c r="U68" s="315"/>
      <c r="V68" s="360"/>
    </row>
    <row r="69" spans="1:22" s="3" customFormat="1" ht="24.95" customHeight="1">
      <c r="A69" s="3" t="s">
        <v>590</v>
      </c>
      <c r="B69" s="3" t="s">
        <v>56</v>
      </c>
      <c r="D69" s="26" t="s">
        <v>591</v>
      </c>
      <c r="E69" s="63">
        <v>500</v>
      </c>
      <c r="F69" s="63">
        <v>500</v>
      </c>
      <c r="G69" s="63">
        <v>500</v>
      </c>
      <c r="H69" s="63">
        <v>500</v>
      </c>
      <c r="I69" s="63">
        <v>500</v>
      </c>
      <c r="J69" s="63">
        <v>500</v>
      </c>
      <c r="K69" s="63">
        <v>500</v>
      </c>
      <c r="L69" s="63">
        <v>500</v>
      </c>
      <c r="M69" s="63">
        <v>500</v>
      </c>
      <c r="N69" s="63">
        <v>500</v>
      </c>
      <c r="O69" s="63">
        <v>500</v>
      </c>
      <c r="P69" s="63">
        <v>500</v>
      </c>
      <c r="Q69" s="41">
        <f t="shared" si="1"/>
        <v>6000</v>
      </c>
      <c r="R69" s="61">
        <v>2098.86</v>
      </c>
      <c r="S69" s="39">
        <f>Q69/Summary!$Q$16</f>
        <v>1.8040885626113205E-4</v>
      </c>
      <c r="T69" s="61"/>
      <c r="U69" s="315"/>
      <c r="V69" s="360"/>
    </row>
    <row r="70" spans="1:22" s="3" customFormat="1" ht="24.95" customHeight="1">
      <c r="A70" s="3" t="s">
        <v>592</v>
      </c>
      <c r="B70" s="3" t="s">
        <v>56</v>
      </c>
      <c r="D70" s="26" t="s">
        <v>593</v>
      </c>
      <c r="E70" s="27">
        <f>Laundry!E213</f>
        <v>2917.59</v>
      </c>
      <c r="F70" s="27">
        <f>Laundry!F213</f>
        <v>3129.3</v>
      </c>
      <c r="G70" s="27">
        <f>Laundry!G213</f>
        <v>2909.77</v>
      </c>
      <c r="H70" s="27">
        <f>Laundry!H213</f>
        <v>3147.45</v>
      </c>
      <c r="I70" s="27">
        <f>Laundry!I213</f>
        <v>3176.74</v>
      </c>
      <c r="J70" s="27">
        <f>Laundry!J213</f>
        <v>3198.15</v>
      </c>
      <c r="K70" s="27">
        <f>Laundry!K213</f>
        <v>3174.55</v>
      </c>
      <c r="L70" s="27">
        <f>Laundry!L213</f>
        <v>3185.82</v>
      </c>
      <c r="M70" s="27">
        <f>Laundry!M213</f>
        <v>3333.36</v>
      </c>
      <c r="N70" s="27">
        <f>Laundry!N213</f>
        <v>3545.07</v>
      </c>
      <c r="O70" s="27">
        <f>Laundry!O213</f>
        <v>3087.79</v>
      </c>
      <c r="P70" s="27">
        <f>Laundry!P213</f>
        <v>3044.98</v>
      </c>
      <c r="Q70" s="41">
        <f t="shared" si="1"/>
        <v>37850.57</v>
      </c>
      <c r="R70" s="61">
        <v>5272.55</v>
      </c>
      <c r="S70" s="39">
        <f>Q70/Summary!$Q$16</f>
        <v>1.1380963404219861E-3</v>
      </c>
      <c r="T70" s="61"/>
      <c r="U70" s="315"/>
      <c r="V70" s="360"/>
    </row>
    <row r="71" spans="1:22" s="3" customFormat="1" ht="24.95" customHeight="1">
      <c r="A71" s="3" t="s">
        <v>594</v>
      </c>
      <c r="B71" s="3" t="s">
        <v>56</v>
      </c>
      <c r="D71" s="26" t="s">
        <v>595</v>
      </c>
      <c r="E71" s="43"/>
      <c r="F71" s="43"/>
      <c r="G71" s="43"/>
      <c r="H71" s="43"/>
      <c r="I71" s="43"/>
      <c r="J71" s="43"/>
      <c r="K71" s="43"/>
      <c r="L71" s="43"/>
      <c r="M71" s="43"/>
      <c r="N71" s="43"/>
      <c r="O71" s="43"/>
      <c r="P71" s="43"/>
      <c r="Q71" s="41">
        <f t="shared" si="1"/>
        <v>0</v>
      </c>
      <c r="R71" s="61">
        <v>0</v>
      </c>
      <c r="S71" s="39">
        <f>Q71/Summary!$Q$16</f>
        <v>0</v>
      </c>
      <c r="T71" s="61"/>
      <c r="U71" s="315"/>
      <c r="V71" s="360"/>
    </row>
    <row r="72" spans="1:22" s="3" customFormat="1" ht="24.95" customHeight="1">
      <c r="A72" s="3" t="s">
        <v>596</v>
      </c>
      <c r="B72" s="3" t="s">
        <v>56</v>
      </c>
      <c r="D72" s="26" t="s">
        <v>597</v>
      </c>
      <c r="E72" s="63">
        <v>1200</v>
      </c>
      <c r="F72" s="63">
        <v>1200</v>
      </c>
      <c r="G72" s="63">
        <v>1200</v>
      </c>
      <c r="H72" s="63">
        <v>1200</v>
      </c>
      <c r="I72" s="63">
        <v>1200</v>
      </c>
      <c r="J72" s="63">
        <v>1200</v>
      </c>
      <c r="K72" s="63">
        <v>1200</v>
      </c>
      <c r="L72" s="63">
        <v>1200</v>
      </c>
      <c r="M72" s="63">
        <v>1200</v>
      </c>
      <c r="N72" s="63">
        <v>1200</v>
      </c>
      <c r="O72" s="63">
        <v>1200</v>
      </c>
      <c r="P72" s="63">
        <v>1200</v>
      </c>
      <c r="Q72" s="41">
        <f t="shared" si="1"/>
        <v>14400</v>
      </c>
      <c r="R72" s="61">
        <v>8035</v>
      </c>
      <c r="S72" s="39">
        <f>Q72/Summary!$Q$16</f>
        <v>4.329812550267169E-4</v>
      </c>
      <c r="T72" s="61"/>
      <c r="U72" s="315"/>
      <c r="V72" s="360"/>
    </row>
    <row r="73" spans="1:22" s="3" customFormat="1" ht="24.95" hidden="1" customHeight="1">
      <c r="A73" s="3" t="s">
        <v>598</v>
      </c>
      <c r="B73" s="3" t="s">
        <v>56</v>
      </c>
      <c r="D73" s="26" t="s">
        <v>599</v>
      </c>
      <c r="E73" s="43"/>
      <c r="F73" s="43"/>
      <c r="G73" s="43"/>
      <c r="H73" s="43"/>
      <c r="I73" s="43"/>
      <c r="J73" s="43"/>
      <c r="K73" s="43"/>
      <c r="L73" s="43"/>
      <c r="M73" s="43"/>
      <c r="N73" s="43"/>
      <c r="O73" s="43"/>
      <c r="P73" s="43"/>
      <c r="Q73" s="41">
        <f t="shared" si="1"/>
        <v>0</v>
      </c>
      <c r="R73" s="61">
        <v>0</v>
      </c>
      <c r="S73" s="39">
        <f>Q73/Summary!$Q$16</f>
        <v>0</v>
      </c>
      <c r="T73" s="61"/>
      <c r="U73" s="315"/>
      <c r="V73" s="360"/>
    </row>
    <row r="74" spans="1:22" s="3" customFormat="1" ht="24.95" customHeight="1">
      <c r="A74" s="3" t="s">
        <v>600</v>
      </c>
      <c r="B74" s="3" t="s">
        <v>56</v>
      </c>
      <c r="D74" s="26" t="s">
        <v>601</v>
      </c>
      <c r="E74" s="63">
        <v>50</v>
      </c>
      <c r="F74" s="63">
        <v>50</v>
      </c>
      <c r="G74" s="63">
        <v>50</v>
      </c>
      <c r="H74" s="63">
        <v>50</v>
      </c>
      <c r="I74" s="63">
        <v>50</v>
      </c>
      <c r="J74" s="63">
        <v>50</v>
      </c>
      <c r="K74" s="63">
        <v>50</v>
      </c>
      <c r="L74" s="63">
        <v>50</v>
      </c>
      <c r="M74" s="63">
        <v>50</v>
      </c>
      <c r="N74" s="63">
        <v>50</v>
      </c>
      <c r="O74" s="63">
        <v>50</v>
      </c>
      <c r="P74" s="63">
        <v>50</v>
      </c>
      <c r="Q74" s="293">
        <f t="shared" si="1"/>
        <v>600</v>
      </c>
      <c r="R74" s="61">
        <v>1157.96</v>
      </c>
      <c r="S74" s="39">
        <f>Q74/Summary!$Q$16</f>
        <v>1.8040885626113206E-5</v>
      </c>
      <c r="T74" s="61"/>
      <c r="U74" s="315"/>
      <c r="V74" s="360"/>
    </row>
    <row r="75" spans="1:22" s="3" customFormat="1" ht="24.75" customHeight="1">
      <c r="A75" s="3" t="s">
        <v>602</v>
      </c>
      <c r="B75" s="3" t="s">
        <v>56</v>
      </c>
      <c r="D75" s="26" t="s">
        <v>603</v>
      </c>
      <c r="E75" s="63"/>
      <c r="F75" s="63"/>
      <c r="G75" s="63"/>
      <c r="H75" s="63"/>
      <c r="I75" s="63">
        <v>6000</v>
      </c>
      <c r="J75" s="63"/>
      <c r="K75" s="63"/>
      <c r="L75" s="63">
        <v>5000</v>
      </c>
      <c r="M75" s="63"/>
      <c r="N75" s="63"/>
      <c r="O75" s="63"/>
      <c r="P75" s="63"/>
      <c r="Q75" s="293">
        <f t="shared" si="1"/>
        <v>11000</v>
      </c>
      <c r="R75" s="61">
        <v>5306.2</v>
      </c>
      <c r="S75" s="39">
        <f>Q75/Summary!$Q$16</f>
        <v>3.3074956981207543E-4</v>
      </c>
      <c r="T75" s="61"/>
      <c r="U75" s="315"/>
      <c r="V75" s="360"/>
    </row>
    <row r="76" spans="1:22" s="3" customFormat="1" ht="24.95" hidden="1" customHeight="1">
      <c r="A76" s="3" t="s">
        <v>604</v>
      </c>
      <c r="B76" s="3" t="s">
        <v>56</v>
      </c>
      <c r="D76" s="26" t="s">
        <v>605</v>
      </c>
      <c r="E76" s="26"/>
      <c r="F76" s="26"/>
      <c r="G76" s="26"/>
      <c r="H76" s="26"/>
      <c r="I76" s="26"/>
      <c r="J76" s="26"/>
      <c r="K76" s="26"/>
      <c r="L76" s="26"/>
      <c r="M76" s="26"/>
      <c r="N76" s="26"/>
      <c r="O76" s="26"/>
      <c r="P76" s="26"/>
      <c r="Q76" s="41">
        <f t="shared" si="1"/>
        <v>0</v>
      </c>
      <c r="R76" s="61">
        <v>0</v>
      </c>
      <c r="S76" s="39">
        <f>Q76/Summary!$Q$16</f>
        <v>0</v>
      </c>
      <c r="T76" s="61"/>
      <c r="U76" s="315"/>
      <c r="V76" s="360"/>
    </row>
    <row r="77" spans="1:22" s="3" customFormat="1" ht="24.95" hidden="1" customHeight="1">
      <c r="A77" s="3" t="s">
        <v>606</v>
      </c>
      <c r="B77" s="3" t="s">
        <v>56</v>
      </c>
      <c r="D77" s="26" t="s">
        <v>607</v>
      </c>
      <c r="E77" s="26"/>
      <c r="F77" s="26"/>
      <c r="G77" s="26"/>
      <c r="H77" s="26"/>
      <c r="I77" s="26"/>
      <c r="J77" s="26"/>
      <c r="K77" s="26"/>
      <c r="L77" s="26"/>
      <c r="M77" s="26"/>
      <c r="N77" s="26"/>
      <c r="O77" s="26"/>
      <c r="P77" s="26"/>
      <c r="Q77" s="41">
        <f t="shared" si="1"/>
        <v>0</v>
      </c>
      <c r="R77" s="61">
        <v>0</v>
      </c>
      <c r="S77" s="39">
        <f>Q77/Summary!$Q$16</f>
        <v>0</v>
      </c>
      <c r="T77" s="61"/>
      <c r="U77" s="315"/>
      <c r="V77" s="360"/>
    </row>
    <row r="78" spans="1:22" s="3" customFormat="1" ht="24.95" customHeight="1">
      <c r="A78" s="3" t="s">
        <v>608</v>
      </c>
      <c r="B78" s="3" t="s">
        <v>56</v>
      </c>
      <c r="D78" s="26" t="s">
        <v>609</v>
      </c>
      <c r="E78" s="26">
        <v>300</v>
      </c>
      <c r="F78" s="26">
        <v>300</v>
      </c>
      <c r="G78" s="26">
        <v>300</v>
      </c>
      <c r="H78" s="26">
        <v>300</v>
      </c>
      <c r="I78" s="26">
        <v>300</v>
      </c>
      <c r="J78" s="26">
        <v>300</v>
      </c>
      <c r="K78" s="26">
        <v>300</v>
      </c>
      <c r="L78" s="26">
        <v>300</v>
      </c>
      <c r="M78" s="26">
        <v>300</v>
      </c>
      <c r="N78" s="26">
        <v>300</v>
      </c>
      <c r="O78" s="26">
        <v>300</v>
      </c>
      <c r="P78" s="26">
        <v>300</v>
      </c>
      <c r="Q78" s="41">
        <f t="shared" si="1"/>
        <v>3600</v>
      </c>
      <c r="R78" s="61">
        <v>0</v>
      </c>
      <c r="S78" s="39">
        <f>Q78/Summary!$Q$16</f>
        <v>1.0824531375667923E-4</v>
      </c>
      <c r="T78" s="61"/>
      <c r="U78" s="315"/>
      <c r="V78" s="360"/>
    </row>
    <row r="79" spans="1:22" s="3" customFormat="1" ht="24.95" hidden="1" customHeight="1">
      <c r="A79" s="3" t="s">
        <v>865</v>
      </c>
      <c r="B79" s="3" t="s">
        <v>56</v>
      </c>
      <c r="D79" s="26" t="s">
        <v>866</v>
      </c>
      <c r="E79" s="26"/>
      <c r="F79" s="26"/>
      <c r="G79" s="26"/>
      <c r="H79" s="26"/>
      <c r="I79" s="26"/>
      <c r="J79" s="26"/>
      <c r="K79" s="26"/>
      <c r="L79" s="26"/>
      <c r="M79" s="26"/>
      <c r="N79" s="26"/>
      <c r="O79" s="26"/>
      <c r="P79" s="26"/>
      <c r="Q79" s="41">
        <f t="shared" si="1"/>
        <v>0</v>
      </c>
      <c r="R79" s="61">
        <v>0</v>
      </c>
      <c r="S79" s="39">
        <f>Q79/Summary!$Q$16</f>
        <v>0</v>
      </c>
      <c r="T79" s="61"/>
      <c r="U79" s="315"/>
      <c r="V79" s="360"/>
    </row>
    <row r="80" spans="1:22" s="3" customFormat="1" ht="24.95" hidden="1" customHeight="1">
      <c r="A80" s="3" t="s">
        <v>867</v>
      </c>
      <c r="B80" s="3" t="s">
        <v>56</v>
      </c>
      <c r="D80" s="26" t="s">
        <v>868</v>
      </c>
      <c r="E80" s="26"/>
      <c r="F80" s="26"/>
      <c r="G80" s="26"/>
      <c r="H80" s="26"/>
      <c r="I80" s="26"/>
      <c r="J80" s="26"/>
      <c r="K80" s="26"/>
      <c r="L80" s="26"/>
      <c r="M80" s="26"/>
      <c r="N80" s="26"/>
      <c r="O80" s="26"/>
      <c r="P80" s="26"/>
      <c r="Q80" s="41">
        <f t="shared" ref="Q80:Q143" si="2">SUM(E80:P80)</f>
        <v>0</v>
      </c>
      <c r="R80" s="61">
        <v>0</v>
      </c>
      <c r="S80" s="39">
        <f>Q80/Summary!$Q$16</f>
        <v>0</v>
      </c>
      <c r="T80" s="61"/>
      <c r="U80" s="315"/>
      <c r="V80" s="360"/>
    </row>
    <row r="81" spans="1:22" s="3" customFormat="1" ht="24.95" hidden="1" customHeight="1">
      <c r="A81" s="3" t="s">
        <v>869</v>
      </c>
      <c r="B81" s="3" t="s">
        <v>56</v>
      </c>
      <c r="D81" s="26" t="s">
        <v>870</v>
      </c>
      <c r="E81" s="26"/>
      <c r="F81" s="26"/>
      <c r="G81" s="26"/>
      <c r="H81" s="26"/>
      <c r="I81" s="26"/>
      <c r="J81" s="26"/>
      <c r="K81" s="26"/>
      <c r="L81" s="26"/>
      <c r="M81" s="26"/>
      <c r="N81" s="26"/>
      <c r="O81" s="26"/>
      <c r="P81" s="26"/>
      <c r="Q81" s="41">
        <f t="shared" si="2"/>
        <v>0</v>
      </c>
      <c r="R81" s="61">
        <v>0</v>
      </c>
      <c r="S81" s="39">
        <f>Q81/Summary!$Q$16</f>
        <v>0</v>
      </c>
      <c r="T81" s="61"/>
      <c r="U81" s="315"/>
      <c r="V81" s="360"/>
    </row>
    <row r="82" spans="1:22" s="3" customFormat="1" ht="24.95" hidden="1" customHeight="1">
      <c r="A82" s="3" t="s">
        <v>871</v>
      </c>
      <c r="B82" s="3" t="s">
        <v>56</v>
      </c>
      <c r="D82" s="26" t="s">
        <v>872</v>
      </c>
      <c r="E82" s="26"/>
      <c r="F82" s="26"/>
      <c r="G82" s="26"/>
      <c r="H82" s="26"/>
      <c r="I82" s="26"/>
      <c r="J82" s="26"/>
      <c r="K82" s="26"/>
      <c r="L82" s="26"/>
      <c r="M82" s="26"/>
      <c r="N82" s="26"/>
      <c r="O82" s="26"/>
      <c r="P82" s="26"/>
      <c r="Q82" s="41">
        <f t="shared" si="2"/>
        <v>0</v>
      </c>
      <c r="R82" s="61">
        <v>0</v>
      </c>
      <c r="S82" s="39">
        <f>Q82/Summary!$Q$16</f>
        <v>0</v>
      </c>
      <c r="T82" s="61"/>
      <c r="U82" s="315"/>
      <c r="V82" s="360"/>
    </row>
    <row r="83" spans="1:22" s="3" customFormat="1" ht="24.95" hidden="1" customHeight="1">
      <c r="A83" s="3" t="s">
        <v>873</v>
      </c>
      <c r="B83" s="3" t="s">
        <v>56</v>
      </c>
      <c r="D83" s="26" t="s">
        <v>874</v>
      </c>
      <c r="E83" s="26"/>
      <c r="F83" s="26"/>
      <c r="G83" s="26"/>
      <c r="H83" s="26"/>
      <c r="I83" s="26"/>
      <c r="J83" s="26"/>
      <c r="K83" s="26"/>
      <c r="L83" s="26"/>
      <c r="M83" s="26"/>
      <c r="N83" s="26"/>
      <c r="O83" s="26"/>
      <c r="P83" s="26"/>
      <c r="Q83" s="41">
        <f t="shared" si="2"/>
        <v>0</v>
      </c>
      <c r="R83" s="61">
        <v>0</v>
      </c>
      <c r="S83" s="39">
        <f>Q83/Summary!$Q$16</f>
        <v>0</v>
      </c>
      <c r="T83" s="61"/>
      <c r="U83" s="315"/>
      <c r="V83" s="360"/>
    </row>
    <row r="84" spans="1:22" s="3" customFormat="1" ht="24.95" hidden="1" customHeight="1">
      <c r="A84" s="3" t="s">
        <v>875</v>
      </c>
      <c r="B84" s="3" t="s">
        <v>56</v>
      </c>
      <c r="D84" s="26" t="s">
        <v>876</v>
      </c>
      <c r="E84" s="26"/>
      <c r="F84" s="26"/>
      <c r="G84" s="26"/>
      <c r="H84" s="26"/>
      <c r="I84" s="26"/>
      <c r="J84" s="26"/>
      <c r="K84" s="26"/>
      <c r="L84" s="26"/>
      <c r="M84" s="26"/>
      <c r="N84" s="26"/>
      <c r="O84" s="26"/>
      <c r="P84" s="26"/>
      <c r="Q84" s="41">
        <f t="shared" si="2"/>
        <v>0</v>
      </c>
      <c r="R84" s="61">
        <v>0</v>
      </c>
      <c r="S84" s="39">
        <f>Q84/Summary!$Q$16</f>
        <v>0</v>
      </c>
      <c r="T84" s="61"/>
      <c r="U84" s="315"/>
      <c r="V84" s="360"/>
    </row>
    <row r="85" spans="1:22" s="3" customFormat="1" ht="24.95" hidden="1" customHeight="1">
      <c r="A85" s="3" t="s">
        <v>877</v>
      </c>
      <c r="B85" s="3" t="s">
        <v>56</v>
      </c>
      <c r="D85" s="26" t="s">
        <v>878</v>
      </c>
      <c r="E85" s="26"/>
      <c r="F85" s="26"/>
      <c r="G85" s="26"/>
      <c r="H85" s="26"/>
      <c r="I85" s="26"/>
      <c r="J85" s="26"/>
      <c r="K85" s="26"/>
      <c r="L85" s="26"/>
      <c r="M85" s="26"/>
      <c r="N85" s="26"/>
      <c r="O85" s="26"/>
      <c r="P85" s="26"/>
      <c r="Q85" s="41">
        <f t="shared" si="2"/>
        <v>0</v>
      </c>
      <c r="R85" s="61">
        <v>0</v>
      </c>
      <c r="S85" s="39">
        <f>Q85/Summary!$Q$16</f>
        <v>0</v>
      </c>
      <c r="T85" s="61"/>
      <c r="U85" s="315"/>
      <c r="V85" s="360"/>
    </row>
    <row r="86" spans="1:22" s="3" customFormat="1" ht="24.95" hidden="1" customHeight="1">
      <c r="A86" s="3" t="s">
        <v>879</v>
      </c>
      <c r="B86" s="3" t="s">
        <v>56</v>
      </c>
      <c r="D86" s="26" t="s">
        <v>880</v>
      </c>
      <c r="E86" s="26"/>
      <c r="F86" s="26"/>
      <c r="G86" s="26"/>
      <c r="H86" s="26"/>
      <c r="I86" s="26"/>
      <c r="J86" s="26"/>
      <c r="K86" s="26"/>
      <c r="L86" s="26"/>
      <c r="M86" s="26"/>
      <c r="N86" s="26"/>
      <c r="O86" s="26"/>
      <c r="P86" s="26"/>
      <c r="Q86" s="41">
        <f t="shared" si="2"/>
        <v>0</v>
      </c>
      <c r="R86" s="61">
        <v>0</v>
      </c>
      <c r="S86" s="39">
        <f>Q86/Summary!$Q$16</f>
        <v>0</v>
      </c>
      <c r="T86" s="61"/>
      <c r="U86" s="315"/>
      <c r="V86" s="360"/>
    </row>
    <row r="87" spans="1:22" s="3" customFormat="1" ht="24.95" hidden="1" customHeight="1">
      <c r="A87" s="3" t="s">
        <v>881</v>
      </c>
      <c r="B87" s="3" t="s">
        <v>56</v>
      </c>
      <c r="D87" s="26" t="s">
        <v>882</v>
      </c>
      <c r="E87" s="26"/>
      <c r="F87" s="26"/>
      <c r="G87" s="26"/>
      <c r="H87" s="26"/>
      <c r="I87" s="26"/>
      <c r="J87" s="26"/>
      <c r="K87" s="26"/>
      <c r="L87" s="26"/>
      <c r="M87" s="26"/>
      <c r="N87" s="26"/>
      <c r="O87" s="26"/>
      <c r="P87" s="26"/>
      <c r="Q87" s="41">
        <f t="shared" si="2"/>
        <v>0</v>
      </c>
      <c r="R87" s="61">
        <v>0</v>
      </c>
      <c r="S87" s="39">
        <f>Q87/Summary!$Q$16</f>
        <v>0</v>
      </c>
      <c r="T87" s="61"/>
      <c r="U87" s="315"/>
      <c r="V87" s="360"/>
    </row>
    <row r="88" spans="1:22" s="3" customFormat="1" ht="24.95" hidden="1" customHeight="1">
      <c r="A88" s="3" t="s">
        <v>268</v>
      </c>
      <c r="B88" s="3" t="s">
        <v>56</v>
      </c>
      <c r="D88" s="26" t="s">
        <v>269</v>
      </c>
      <c r="E88" s="26"/>
      <c r="F88" s="26"/>
      <c r="G88" s="26"/>
      <c r="H88" s="26"/>
      <c r="I88" s="26"/>
      <c r="J88" s="26"/>
      <c r="K88" s="26"/>
      <c r="L88" s="26"/>
      <c r="M88" s="26"/>
      <c r="N88" s="26"/>
      <c r="O88" s="26"/>
      <c r="P88" s="26"/>
      <c r="Q88" s="41">
        <f t="shared" si="2"/>
        <v>0</v>
      </c>
      <c r="R88" s="61">
        <v>0</v>
      </c>
      <c r="S88" s="39">
        <f>Q88/Summary!$Q$16</f>
        <v>0</v>
      </c>
      <c r="T88" s="61"/>
      <c r="U88" s="315"/>
      <c r="V88" s="360"/>
    </row>
    <row r="89" spans="1:22" s="3" customFormat="1" ht="24.95" hidden="1" customHeight="1">
      <c r="A89" s="3" t="s">
        <v>883</v>
      </c>
      <c r="B89" s="3" t="s">
        <v>56</v>
      </c>
      <c r="D89" s="26" t="s">
        <v>884</v>
      </c>
      <c r="E89" s="26"/>
      <c r="F89" s="26"/>
      <c r="G89" s="26"/>
      <c r="H89" s="26"/>
      <c r="I89" s="26"/>
      <c r="J89" s="26"/>
      <c r="K89" s="26"/>
      <c r="L89" s="26"/>
      <c r="M89" s="26"/>
      <c r="N89" s="26"/>
      <c r="O89" s="26"/>
      <c r="P89" s="26"/>
      <c r="Q89" s="41">
        <f t="shared" si="2"/>
        <v>0</v>
      </c>
      <c r="R89" s="61">
        <v>0</v>
      </c>
      <c r="S89" s="39">
        <f>Q89/Summary!$Q$16</f>
        <v>0</v>
      </c>
      <c r="T89" s="61"/>
      <c r="U89" s="315"/>
      <c r="V89" s="360"/>
    </row>
    <row r="90" spans="1:22" s="3" customFormat="1" ht="24.95" hidden="1" customHeight="1">
      <c r="A90" s="3" t="s">
        <v>270</v>
      </c>
      <c r="B90" s="3" t="s">
        <v>56</v>
      </c>
      <c r="D90" s="26" t="s">
        <v>271</v>
      </c>
      <c r="E90" s="26"/>
      <c r="F90" s="26"/>
      <c r="G90" s="26"/>
      <c r="H90" s="26"/>
      <c r="I90" s="26"/>
      <c r="J90" s="26"/>
      <c r="K90" s="26"/>
      <c r="L90" s="26"/>
      <c r="M90" s="26"/>
      <c r="N90" s="26"/>
      <c r="O90" s="26"/>
      <c r="P90" s="26"/>
      <c r="Q90" s="41">
        <f t="shared" si="2"/>
        <v>0</v>
      </c>
      <c r="R90" s="61">
        <v>0</v>
      </c>
      <c r="S90" s="39">
        <f>Q90/Summary!$Q$16</f>
        <v>0</v>
      </c>
      <c r="T90" s="61"/>
      <c r="U90" s="315"/>
      <c r="V90" s="360"/>
    </row>
    <row r="91" spans="1:22" s="3" customFormat="1" ht="24.95" hidden="1" customHeight="1">
      <c r="A91" s="3" t="s">
        <v>885</v>
      </c>
      <c r="B91" s="3" t="s">
        <v>56</v>
      </c>
      <c r="D91" s="26" t="s">
        <v>886</v>
      </c>
      <c r="E91" s="26"/>
      <c r="F91" s="26"/>
      <c r="G91" s="26"/>
      <c r="H91" s="26"/>
      <c r="I91" s="26"/>
      <c r="J91" s="26"/>
      <c r="K91" s="26"/>
      <c r="L91" s="26"/>
      <c r="M91" s="26"/>
      <c r="N91" s="26"/>
      <c r="O91" s="26"/>
      <c r="P91" s="26"/>
      <c r="Q91" s="41">
        <f t="shared" si="2"/>
        <v>0</v>
      </c>
      <c r="R91" s="61">
        <v>0</v>
      </c>
      <c r="S91" s="39">
        <f>Q91/Summary!$Q$16</f>
        <v>0</v>
      </c>
      <c r="T91" s="61"/>
      <c r="U91" s="315"/>
      <c r="V91" s="360"/>
    </row>
    <row r="92" spans="1:22" s="3" customFormat="1" ht="24.95" hidden="1" customHeight="1">
      <c r="A92" s="3" t="s">
        <v>887</v>
      </c>
      <c r="B92" s="3" t="s">
        <v>56</v>
      </c>
      <c r="D92" s="26" t="s">
        <v>888</v>
      </c>
      <c r="E92" s="26"/>
      <c r="F92" s="26"/>
      <c r="G92" s="26"/>
      <c r="H92" s="26"/>
      <c r="I92" s="26"/>
      <c r="J92" s="26"/>
      <c r="K92" s="26"/>
      <c r="L92" s="26"/>
      <c r="M92" s="26"/>
      <c r="N92" s="26"/>
      <c r="O92" s="26"/>
      <c r="P92" s="26"/>
      <c r="Q92" s="41">
        <f t="shared" si="2"/>
        <v>0</v>
      </c>
      <c r="R92" s="61">
        <v>0</v>
      </c>
      <c r="S92" s="39">
        <f>Q92/Summary!$Q$16</f>
        <v>0</v>
      </c>
      <c r="T92" s="61"/>
      <c r="U92" s="315"/>
      <c r="V92" s="360"/>
    </row>
    <row r="93" spans="1:22" s="3" customFormat="1" ht="24.95" hidden="1" customHeight="1">
      <c r="A93" s="3" t="s">
        <v>889</v>
      </c>
      <c r="B93" s="3" t="s">
        <v>56</v>
      </c>
      <c r="D93" s="26" t="s">
        <v>890</v>
      </c>
      <c r="E93" s="26">
        <v>300</v>
      </c>
      <c r="F93" s="26">
        <v>300</v>
      </c>
      <c r="G93" s="26">
        <v>300</v>
      </c>
      <c r="H93" s="26">
        <v>300</v>
      </c>
      <c r="I93" s="26">
        <v>300</v>
      </c>
      <c r="J93" s="26">
        <v>300</v>
      </c>
      <c r="K93" s="26">
        <v>300</v>
      </c>
      <c r="L93" s="26">
        <v>300</v>
      </c>
      <c r="M93" s="26">
        <v>300</v>
      </c>
      <c r="N93" s="26">
        <v>300</v>
      </c>
      <c r="O93" s="26">
        <v>300</v>
      </c>
      <c r="P93" s="26">
        <v>300</v>
      </c>
      <c r="Q93" s="41">
        <f t="shared" si="2"/>
        <v>3600</v>
      </c>
      <c r="R93" s="61">
        <v>0</v>
      </c>
      <c r="S93" s="39">
        <f>Q93/Summary!$Q$16</f>
        <v>1.0824531375667923E-4</v>
      </c>
      <c r="T93" s="61"/>
      <c r="U93" s="315"/>
      <c r="V93" s="360"/>
    </row>
    <row r="94" spans="1:22" s="3" customFormat="1" ht="24.95" hidden="1" customHeight="1">
      <c r="A94" s="3" t="s">
        <v>891</v>
      </c>
      <c r="B94" s="3" t="s">
        <v>56</v>
      </c>
      <c r="D94" s="26" t="s">
        <v>892</v>
      </c>
      <c r="E94" s="26"/>
      <c r="F94" s="26"/>
      <c r="G94" s="26"/>
      <c r="H94" s="26"/>
      <c r="I94" s="26"/>
      <c r="J94" s="26"/>
      <c r="K94" s="26"/>
      <c r="L94" s="26"/>
      <c r="M94" s="26"/>
      <c r="N94" s="26"/>
      <c r="O94" s="26"/>
      <c r="P94" s="26"/>
      <c r="Q94" s="41">
        <f t="shared" si="2"/>
        <v>0</v>
      </c>
      <c r="R94" s="61">
        <v>0</v>
      </c>
      <c r="S94" s="39">
        <f>Q94/Summary!$Q$16</f>
        <v>0</v>
      </c>
      <c r="T94" s="61"/>
      <c r="U94" s="315"/>
      <c r="V94" s="360"/>
    </row>
    <row r="95" spans="1:22" s="3" customFormat="1" ht="24.95" hidden="1" customHeight="1">
      <c r="A95" s="3" t="s">
        <v>893</v>
      </c>
      <c r="B95" s="3" t="s">
        <v>56</v>
      </c>
      <c r="D95" s="26" t="s">
        <v>894</v>
      </c>
      <c r="E95" s="26"/>
      <c r="F95" s="26"/>
      <c r="G95" s="26"/>
      <c r="H95" s="26"/>
      <c r="I95" s="26"/>
      <c r="J95" s="26"/>
      <c r="K95" s="26"/>
      <c r="L95" s="26"/>
      <c r="M95" s="26"/>
      <c r="N95" s="26"/>
      <c r="O95" s="26"/>
      <c r="P95" s="26"/>
      <c r="Q95" s="41">
        <f t="shared" si="2"/>
        <v>0</v>
      </c>
      <c r="R95" s="61">
        <v>0</v>
      </c>
      <c r="S95" s="39">
        <f>Q95/Summary!$Q$16</f>
        <v>0</v>
      </c>
      <c r="T95" s="61"/>
      <c r="U95" s="315"/>
      <c r="V95" s="360"/>
    </row>
    <row r="96" spans="1:22" s="3" customFormat="1" ht="24.95" hidden="1" customHeight="1">
      <c r="A96" s="3" t="s">
        <v>895</v>
      </c>
      <c r="B96" s="3" t="s">
        <v>56</v>
      </c>
      <c r="D96" s="26" t="s">
        <v>896</v>
      </c>
      <c r="E96" s="26"/>
      <c r="F96" s="26"/>
      <c r="G96" s="26"/>
      <c r="H96" s="26"/>
      <c r="I96" s="26"/>
      <c r="J96" s="26"/>
      <c r="K96" s="26"/>
      <c r="L96" s="26"/>
      <c r="M96" s="26"/>
      <c r="N96" s="26"/>
      <c r="O96" s="26"/>
      <c r="P96" s="26"/>
      <c r="Q96" s="41">
        <f t="shared" si="2"/>
        <v>0</v>
      </c>
      <c r="R96" s="61">
        <v>0</v>
      </c>
      <c r="S96" s="39">
        <f>Q96/Summary!$Q$16</f>
        <v>0</v>
      </c>
      <c r="T96" s="61"/>
      <c r="U96" s="315"/>
      <c r="V96" s="360"/>
    </row>
    <row r="97" spans="1:22" s="3" customFormat="1" ht="24.95" hidden="1" customHeight="1">
      <c r="A97" s="3" t="s">
        <v>897</v>
      </c>
      <c r="B97" s="3" t="s">
        <v>56</v>
      </c>
      <c r="D97" s="26" t="s">
        <v>898</v>
      </c>
      <c r="E97" s="26"/>
      <c r="F97" s="26"/>
      <c r="G97" s="26"/>
      <c r="H97" s="26"/>
      <c r="I97" s="26"/>
      <c r="J97" s="26"/>
      <c r="K97" s="26"/>
      <c r="L97" s="26"/>
      <c r="M97" s="26"/>
      <c r="N97" s="26"/>
      <c r="O97" s="26"/>
      <c r="P97" s="26"/>
      <c r="Q97" s="41">
        <f t="shared" si="2"/>
        <v>0</v>
      </c>
      <c r="R97" s="61">
        <v>0</v>
      </c>
      <c r="S97" s="39">
        <f>Q97/Summary!$Q$16</f>
        <v>0</v>
      </c>
      <c r="T97" s="61"/>
      <c r="U97" s="315"/>
      <c r="V97" s="360"/>
    </row>
    <row r="98" spans="1:22" s="3" customFormat="1" ht="24.95" hidden="1" customHeight="1">
      <c r="A98" s="3" t="s">
        <v>899</v>
      </c>
      <c r="B98" s="3" t="s">
        <v>56</v>
      </c>
      <c r="D98" s="26" t="s">
        <v>900</v>
      </c>
      <c r="E98" s="26"/>
      <c r="F98" s="26"/>
      <c r="G98" s="26"/>
      <c r="H98" s="26"/>
      <c r="I98" s="26"/>
      <c r="J98" s="26"/>
      <c r="K98" s="26"/>
      <c r="L98" s="26"/>
      <c r="M98" s="26"/>
      <c r="N98" s="26"/>
      <c r="O98" s="26"/>
      <c r="P98" s="26"/>
      <c r="Q98" s="41">
        <f t="shared" si="2"/>
        <v>0</v>
      </c>
      <c r="R98" s="61">
        <v>0</v>
      </c>
      <c r="S98" s="39">
        <f>Q98/Summary!$Q$16</f>
        <v>0</v>
      </c>
      <c r="T98" s="61"/>
      <c r="U98" s="315"/>
      <c r="V98" s="360"/>
    </row>
    <row r="99" spans="1:22" s="3" customFormat="1" ht="24.95" hidden="1" customHeight="1">
      <c r="A99" s="3" t="s">
        <v>901</v>
      </c>
      <c r="B99" s="3" t="s">
        <v>56</v>
      </c>
      <c r="D99" s="26" t="s">
        <v>902</v>
      </c>
      <c r="E99" s="26"/>
      <c r="F99" s="26"/>
      <c r="G99" s="26"/>
      <c r="H99" s="26"/>
      <c r="I99" s="26"/>
      <c r="J99" s="26"/>
      <c r="K99" s="26"/>
      <c r="L99" s="26"/>
      <c r="M99" s="26"/>
      <c r="N99" s="26"/>
      <c r="O99" s="26"/>
      <c r="P99" s="26"/>
      <c r="Q99" s="41">
        <f t="shared" si="2"/>
        <v>0</v>
      </c>
      <c r="R99" s="61">
        <v>0</v>
      </c>
      <c r="S99" s="39">
        <f>Q99/Summary!$Q$16</f>
        <v>0</v>
      </c>
      <c r="T99" s="61"/>
      <c r="U99" s="315"/>
      <c r="V99" s="360"/>
    </row>
    <row r="100" spans="1:22" s="3" customFormat="1" ht="24.95" hidden="1" customHeight="1">
      <c r="A100" s="3" t="s">
        <v>903</v>
      </c>
      <c r="B100" s="3" t="s">
        <v>56</v>
      </c>
      <c r="D100" s="26" t="s">
        <v>904</v>
      </c>
      <c r="E100" s="26"/>
      <c r="F100" s="26"/>
      <c r="G100" s="26"/>
      <c r="H100" s="26"/>
      <c r="I100" s="26"/>
      <c r="J100" s="26"/>
      <c r="K100" s="26"/>
      <c r="L100" s="26"/>
      <c r="M100" s="26"/>
      <c r="N100" s="26"/>
      <c r="O100" s="26"/>
      <c r="P100" s="26"/>
      <c r="Q100" s="41">
        <f t="shared" si="2"/>
        <v>0</v>
      </c>
      <c r="R100" s="61">
        <v>0</v>
      </c>
      <c r="S100" s="39">
        <f>Q100/Summary!$Q$16</f>
        <v>0</v>
      </c>
      <c r="T100" s="61"/>
      <c r="U100" s="315"/>
      <c r="V100" s="360"/>
    </row>
    <row r="101" spans="1:22" s="3" customFormat="1" ht="24.95" hidden="1" customHeight="1">
      <c r="A101" s="3" t="s">
        <v>905</v>
      </c>
      <c r="B101" s="3" t="s">
        <v>56</v>
      </c>
      <c r="D101" s="26" t="s">
        <v>906</v>
      </c>
      <c r="E101" s="26"/>
      <c r="F101" s="26"/>
      <c r="G101" s="26"/>
      <c r="H101" s="26"/>
      <c r="I101" s="26"/>
      <c r="J101" s="26"/>
      <c r="K101" s="26"/>
      <c r="L101" s="26"/>
      <c r="M101" s="26"/>
      <c r="N101" s="26"/>
      <c r="O101" s="26"/>
      <c r="P101" s="26"/>
      <c r="Q101" s="41">
        <f t="shared" si="2"/>
        <v>0</v>
      </c>
      <c r="R101" s="61">
        <v>0</v>
      </c>
      <c r="S101" s="39">
        <f>Q101/Summary!$Q$16</f>
        <v>0</v>
      </c>
      <c r="T101" s="61"/>
      <c r="U101" s="315"/>
      <c r="V101" s="360"/>
    </row>
    <row r="102" spans="1:22" s="3" customFormat="1" ht="24.95" customHeight="1">
      <c r="A102" s="3" t="s">
        <v>907</v>
      </c>
      <c r="B102" s="3" t="s">
        <v>56</v>
      </c>
      <c r="D102" s="26" t="s">
        <v>908</v>
      </c>
      <c r="E102" s="26">
        <v>15000</v>
      </c>
      <c r="F102" s="26">
        <v>8000</v>
      </c>
      <c r="G102" s="26">
        <v>15000</v>
      </c>
      <c r="H102" s="26">
        <v>22000</v>
      </c>
      <c r="I102" s="26">
        <v>15000</v>
      </c>
      <c r="J102" s="26">
        <v>15000</v>
      </c>
      <c r="K102" s="26">
        <v>15000</v>
      </c>
      <c r="L102" s="26">
        <v>15000</v>
      </c>
      <c r="M102" s="26">
        <v>15000</v>
      </c>
      <c r="N102" s="26">
        <v>15000</v>
      </c>
      <c r="O102" s="26">
        <v>15000</v>
      </c>
      <c r="P102" s="26">
        <v>15000</v>
      </c>
      <c r="Q102" s="293">
        <f t="shared" si="2"/>
        <v>180000</v>
      </c>
      <c r="R102" s="61">
        <v>114064.83</v>
      </c>
      <c r="S102" s="39">
        <f>Q102/Summary!$Q$16</f>
        <v>5.4122656878339611E-3</v>
      </c>
      <c r="T102" s="61"/>
      <c r="U102" s="315"/>
      <c r="V102" s="360"/>
    </row>
    <row r="103" spans="1:22" s="3" customFormat="1" ht="24.95" hidden="1" customHeight="1">
      <c r="A103" s="3" t="s">
        <v>909</v>
      </c>
      <c r="B103" s="3" t="s">
        <v>56</v>
      </c>
      <c r="D103" s="26" t="s">
        <v>910</v>
      </c>
      <c r="E103" s="26"/>
      <c r="F103" s="26"/>
      <c r="G103" s="26"/>
      <c r="H103" s="26"/>
      <c r="I103" s="26"/>
      <c r="J103" s="26"/>
      <c r="K103" s="26"/>
      <c r="L103" s="26"/>
      <c r="M103" s="26"/>
      <c r="N103" s="26"/>
      <c r="O103" s="26"/>
      <c r="P103" s="26"/>
      <c r="Q103" s="41">
        <f t="shared" si="2"/>
        <v>0</v>
      </c>
      <c r="R103" s="61">
        <v>0</v>
      </c>
      <c r="S103" s="39">
        <f>Q103/Summary!$Q$16</f>
        <v>0</v>
      </c>
      <c r="T103" s="61"/>
      <c r="U103" s="315"/>
      <c r="V103" s="360"/>
    </row>
    <row r="104" spans="1:22" s="3" customFormat="1" ht="24.95" customHeight="1">
      <c r="A104" s="3" t="s">
        <v>911</v>
      </c>
      <c r="B104" s="3" t="s">
        <v>56</v>
      </c>
      <c r="D104" s="26" t="s">
        <v>912</v>
      </c>
      <c r="E104" s="26"/>
      <c r="F104" s="26"/>
      <c r="G104" s="26"/>
      <c r="H104" s="26"/>
      <c r="I104" s="26"/>
      <c r="J104" s="26"/>
      <c r="K104" s="26"/>
      <c r="L104" s="26"/>
      <c r="M104" s="26"/>
      <c r="N104" s="26"/>
      <c r="O104" s="26"/>
      <c r="P104" s="26"/>
      <c r="Q104" s="293">
        <f t="shared" si="2"/>
        <v>0</v>
      </c>
      <c r="R104" s="61">
        <v>10755.83</v>
      </c>
      <c r="S104" s="39">
        <f>Q104/Summary!$Q$16</f>
        <v>0</v>
      </c>
      <c r="T104" s="61"/>
      <c r="U104" s="315"/>
      <c r="V104" s="360"/>
    </row>
    <row r="105" spans="1:22" s="3" customFormat="1" ht="24.95" customHeight="1">
      <c r="A105" s="3" t="s">
        <v>913</v>
      </c>
      <c r="B105" s="3" t="s">
        <v>56</v>
      </c>
      <c r="D105" s="26" t="s">
        <v>914</v>
      </c>
      <c r="E105" s="26"/>
      <c r="F105" s="26"/>
      <c r="G105" s="26"/>
      <c r="H105" s="26"/>
      <c r="I105" s="26"/>
      <c r="J105" s="26"/>
      <c r="K105" s="26"/>
      <c r="L105" s="26"/>
      <c r="M105" s="26"/>
      <c r="N105" s="26"/>
      <c r="O105" s="26"/>
      <c r="P105" s="26"/>
      <c r="Q105" s="293">
        <f t="shared" si="2"/>
        <v>0</v>
      </c>
      <c r="R105" s="61">
        <v>44237.15</v>
      </c>
      <c r="S105" s="39">
        <f>Q105/Summary!$Q$16</f>
        <v>0</v>
      </c>
      <c r="T105" s="61"/>
      <c r="U105" s="315"/>
      <c r="V105" s="360"/>
    </row>
    <row r="106" spans="1:22" s="3" customFormat="1" ht="24.95" customHeight="1">
      <c r="A106" s="3" t="s">
        <v>915</v>
      </c>
      <c r="B106" s="3" t="s">
        <v>56</v>
      </c>
      <c r="D106" s="26" t="s">
        <v>916</v>
      </c>
      <c r="E106" s="26"/>
      <c r="F106" s="26"/>
      <c r="G106" s="26"/>
      <c r="H106" s="26"/>
      <c r="I106" s="26"/>
      <c r="J106" s="26"/>
      <c r="K106" s="26"/>
      <c r="L106" s="26"/>
      <c r="M106" s="26"/>
      <c r="N106" s="26"/>
      <c r="O106" s="26"/>
      <c r="P106" s="26"/>
      <c r="Q106" s="41">
        <f t="shared" si="2"/>
        <v>0</v>
      </c>
      <c r="R106" s="61">
        <v>0</v>
      </c>
      <c r="S106" s="39">
        <f>Q106/Summary!$Q$16</f>
        <v>0</v>
      </c>
      <c r="T106" s="61"/>
      <c r="U106" s="315"/>
      <c r="V106" s="360"/>
    </row>
    <row r="107" spans="1:22" s="3" customFormat="1" ht="24.95" customHeight="1">
      <c r="A107" s="3" t="s">
        <v>917</v>
      </c>
      <c r="B107" s="3" t="s">
        <v>56</v>
      </c>
      <c r="D107" s="26" t="s">
        <v>918</v>
      </c>
      <c r="E107" s="26"/>
      <c r="F107" s="26"/>
      <c r="G107" s="26"/>
      <c r="H107" s="26"/>
      <c r="I107" s="26"/>
      <c r="J107" s="26"/>
      <c r="K107" s="26"/>
      <c r="L107" s="26"/>
      <c r="M107" s="26"/>
      <c r="N107" s="26"/>
      <c r="O107" s="26"/>
      <c r="P107" s="26"/>
      <c r="Q107" s="41">
        <f t="shared" si="2"/>
        <v>0</v>
      </c>
      <c r="R107" s="61">
        <v>0</v>
      </c>
      <c r="S107" s="39">
        <f>Q107/Summary!$Q$16</f>
        <v>0</v>
      </c>
      <c r="T107" s="61"/>
      <c r="U107" s="315"/>
      <c r="V107" s="360"/>
    </row>
    <row r="108" spans="1:22" s="3" customFormat="1" ht="24.95" customHeight="1">
      <c r="A108" s="3" t="s">
        <v>919</v>
      </c>
      <c r="B108" s="3" t="s">
        <v>56</v>
      </c>
      <c r="D108" s="26" t="s">
        <v>920</v>
      </c>
      <c r="E108" s="26"/>
      <c r="F108" s="26"/>
      <c r="G108" s="26"/>
      <c r="H108" s="26"/>
      <c r="I108" s="26"/>
      <c r="J108" s="26"/>
      <c r="K108" s="26"/>
      <c r="L108" s="26"/>
      <c r="M108" s="26"/>
      <c r="N108" s="26"/>
      <c r="O108" s="26"/>
      <c r="P108" s="26"/>
      <c r="Q108" s="293">
        <f t="shared" si="2"/>
        <v>0</v>
      </c>
      <c r="R108" s="61">
        <v>0</v>
      </c>
      <c r="S108" s="39">
        <f>Q108/Summary!$Q$16</f>
        <v>0</v>
      </c>
      <c r="T108" s="61"/>
      <c r="U108" s="315"/>
      <c r="V108" s="360"/>
    </row>
    <row r="109" spans="1:22" s="3" customFormat="1" ht="24.95" customHeight="1">
      <c r="A109" s="3" t="s">
        <v>921</v>
      </c>
      <c r="B109" s="3" t="s">
        <v>56</v>
      </c>
      <c r="D109" s="26" t="s">
        <v>922</v>
      </c>
      <c r="E109" s="26"/>
      <c r="F109" s="26"/>
      <c r="G109" s="26"/>
      <c r="H109" s="26"/>
      <c r="I109" s="26"/>
      <c r="J109" s="26"/>
      <c r="K109" s="26"/>
      <c r="L109" s="26"/>
      <c r="M109" s="26"/>
      <c r="N109" s="26"/>
      <c r="O109" s="26"/>
      <c r="P109" s="26"/>
      <c r="Q109" s="41">
        <f t="shared" si="2"/>
        <v>0</v>
      </c>
      <c r="R109" s="61">
        <v>0</v>
      </c>
      <c r="S109" s="39">
        <f>Q109/Summary!$Q$16</f>
        <v>0</v>
      </c>
      <c r="T109" s="61"/>
      <c r="U109" s="315"/>
      <c r="V109" s="360"/>
    </row>
    <row r="110" spans="1:22" s="3" customFormat="1" ht="24.95" customHeight="1">
      <c r="A110" s="3" t="s">
        <v>923</v>
      </c>
      <c r="B110" s="3" t="s">
        <v>56</v>
      </c>
      <c r="D110" s="26" t="s">
        <v>924</v>
      </c>
      <c r="E110" s="26"/>
      <c r="F110" s="26"/>
      <c r="G110" s="26"/>
      <c r="H110" s="26">
        <v>1600</v>
      </c>
      <c r="I110" s="26">
        <v>1600</v>
      </c>
      <c r="J110" s="26">
        <v>1600</v>
      </c>
      <c r="K110" s="26">
        <v>800</v>
      </c>
      <c r="L110" s="26">
        <v>800</v>
      </c>
      <c r="M110" s="26">
        <v>800</v>
      </c>
      <c r="N110" s="26">
        <v>800</v>
      </c>
      <c r="O110" s="26">
        <v>800</v>
      </c>
      <c r="P110" s="26">
        <v>800</v>
      </c>
      <c r="Q110" s="293">
        <f t="shared" si="2"/>
        <v>9600</v>
      </c>
      <c r="R110" s="61">
        <v>56356.68</v>
      </c>
      <c r="S110" s="39">
        <f>Q110/Summary!$Q$16</f>
        <v>2.886541700178113E-4</v>
      </c>
      <c r="T110" s="61"/>
      <c r="U110" s="315"/>
      <c r="V110" s="360"/>
    </row>
    <row r="111" spans="1:22" s="3" customFormat="1" ht="24.95" customHeight="1">
      <c r="A111" s="3" t="s">
        <v>925</v>
      </c>
      <c r="B111" s="3" t="s">
        <v>56</v>
      </c>
      <c r="D111" s="26" t="s">
        <v>926</v>
      </c>
      <c r="E111" s="26"/>
      <c r="F111" s="26"/>
      <c r="G111" s="26"/>
      <c r="H111" s="26">
        <v>1600</v>
      </c>
      <c r="I111" s="26">
        <v>1600</v>
      </c>
      <c r="J111" s="26">
        <v>1600</v>
      </c>
      <c r="K111" s="26">
        <v>800</v>
      </c>
      <c r="L111" s="26">
        <v>800</v>
      </c>
      <c r="M111" s="26">
        <v>800</v>
      </c>
      <c r="N111" s="26">
        <v>800</v>
      </c>
      <c r="O111" s="26">
        <v>800</v>
      </c>
      <c r="P111" s="26">
        <v>800</v>
      </c>
      <c r="Q111" s="293">
        <f t="shared" si="2"/>
        <v>9600</v>
      </c>
      <c r="R111" s="61">
        <v>369.23</v>
      </c>
      <c r="S111" s="39">
        <f>Q111/Summary!$Q$16</f>
        <v>2.886541700178113E-4</v>
      </c>
      <c r="T111" s="61"/>
      <c r="U111" s="315"/>
      <c r="V111" s="360"/>
    </row>
    <row r="112" spans="1:22" s="3" customFormat="1" ht="24.95" customHeight="1">
      <c r="A112" s="3" t="s">
        <v>927</v>
      </c>
      <c r="B112" s="3" t="s">
        <v>56</v>
      </c>
      <c r="D112" s="26" t="s">
        <v>928</v>
      </c>
      <c r="E112" s="26"/>
      <c r="F112" s="26"/>
      <c r="G112" s="26"/>
      <c r="H112" s="26"/>
      <c r="I112" s="26"/>
      <c r="J112" s="26"/>
      <c r="K112" s="26"/>
      <c r="L112" s="26"/>
      <c r="M112" s="26"/>
      <c r="N112" s="26"/>
      <c r="O112" s="26"/>
      <c r="P112" s="26"/>
      <c r="Q112" s="293">
        <f t="shared" si="2"/>
        <v>0</v>
      </c>
      <c r="R112" s="61">
        <v>0</v>
      </c>
      <c r="S112" s="39">
        <f>Q112/Summary!$Q$16</f>
        <v>0</v>
      </c>
      <c r="T112" s="61"/>
      <c r="U112" s="315"/>
      <c r="V112" s="360"/>
    </row>
    <row r="113" spans="1:22" s="3" customFormat="1" ht="24.95" customHeight="1">
      <c r="A113" s="3" t="s">
        <v>929</v>
      </c>
      <c r="B113" s="3" t="s">
        <v>56</v>
      </c>
      <c r="D113" s="26" t="s">
        <v>930</v>
      </c>
      <c r="E113" s="26"/>
      <c r="F113" s="26"/>
      <c r="G113" s="26"/>
      <c r="H113" s="26"/>
      <c r="I113" s="26"/>
      <c r="J113" s="26"/>
      <c r="K113" s="26"/>
      <c r="L113" s="26"/>
      <c r="M113" s="26"/>
      <c r="N113" s="26"/>
      <c r="O113" s="26"/>
      <c r="P113" s="26"/>
      <c r="Q113" s="293">
        <f t="shared" si="2"/>
        <v>0</v>
      </c>
      <c r="R113" s="61">
        <v>0</v>
      </c>
      <c r="S113" s="39">
        <f>Q113/Summary!$Q$16</f>
        <v>0</v>
      </c>
      <c r="T113" s="61"/>
      <c r="U113" s="315"/>
      <c r="V113" s="360"/>
    </row>
    <row r="114" spans="1:22" s="3" customFormat="1" ht="24.95" customHeight="1">
      <c r="A114" s="3" t="s">
        <v>931</v>
      </c>
      <c r="B114" s="3" t="s">
        <v>56</v>
      </c>
      <c r="D114" s="26" t="s">
        <v>932</v>
      </c>
      <c r="E114" s="26"/>
      <c r="F114" s="26"/>
      <c r="G114" s="26"/>
      <c r="H114" s="26"/>
      <c r="I114" s="26"/>
      <c r="J114" s="26"/>
      <c r="K114" s="26"/>
      <c r="L114" s="26"/>
      <c r="M114" s="26"/>
      <c r="N114" s="26"/>
      <c r="O114" s="26"/>
      <c r="P114" s="26"/>
      <c r="Q114" s="41">
        <f t="shared" si="2"/>
        <v>0</v>
      </c>
      <c r="R114" s="61">
        <v>0</v>
      </c>
      <c r="S114" s="39">
        <f>Q114/Summary!$Q$16</f>
        <v>0</v>
      </c>
      <c r="T114" s="61"/>
      <c r="U114" s="315"/>
      <c r="V114" s="360"/>
    </row>
    <row r="115" spans="1:22" s="3" customFormat="1" ht="24.95" customHeight="1">
      <c r="A115" s="3" t="s">
        <v>933</v>
      </c>
      <c r="B115" s="3" t="s">
        <v>56</v>
      </c>
      <c r="D115" s="26" t="s">
        <v>934</v>
      </c>
      <c r="E115" s="26"/>
      <c r="F115" s="26"/>
      <c r="G115" s="26"/>
      <c r="H115" s="26"/>
      <c r="I115" s="26"/>
      <c r="J115" s="26"/>
      <c r="K115" s="26"/>
      <c r="L115" s="26"/>
      <c r="M115" s="26"/>
      <c r="N115" s="26"/>
      <c r="O115" s="26"/>
      <c r="P115" s="26"/>
      <c r="Q115" s="41">
        <f t="shared" si="2"/>
        <v>0</v>
      </c>
      <c r="R115" s="61">
        <v>0</v>
      </c>
      <c r="S115" s="39">
        <f>Q115/Summary!$Q$16</f>
        <v>0</v>
      </c>
      <c r="T115" s="61"/>
      <c r="U115" s="315"/>
      <c r="V115" s="360"/>
    </row>
    <row r="116" spans="1:22" s="3" customFormat="1" ht="24.95" customHeight="1">
      <c r="A116" s="3" t="s">
        <v>935</v>
      </c>
      <c r="B116" s="3" t="s">
        <v>56</v>
      </c>
      <c r="D116" s="26" t="s">
        <v>936</v>
      </c>
      <c r="E116" s="26"/>
      <c r="F116" s="26"/>
      <c r="G116" s="26"/>
      <c r="H116" s="26"/>
      <c r="I116" s="26"/>
      <c r="J116" s="26"/>
      <c r="K116" s="26"/>
      <c r="L116" s="26"/>
      <c r="M116" s="26"/>
      <c r="N116" s="26"/>
      <c r="O116" s="26"/>
      <c r="P116" s="26"/>
      <c r="Q116" s="41">
        <f t="shared" si="2"/>
        <v>0</v>
      </c>
      <c r="R116" s="61">
        <v>0</v>
      </c>
      <c r="S116" s="39">
        <f>Q116/Summary!$Q$16</f>
        <v>0</v>
      </c>
      <c r="T116" s="61"/>
      <c r="U116" s="315"/>
      <c r="V116" s="360"/>
    </row>
    <row r="117" spans="1:22" s="3" customFormat="1" ht="24.95" customHeight="1">
      <c r="A117" s="3" t="s">
        <v>937</v>
      </c>
      <c r="B117" s="3" t="s">
        <v>56</v>
      </c>
      <c r="D117" s="26" t="s">
        <v>938</v>
      </c>
      <c r="E117" s="26"/>
      <c r="F117" s="26"/>
      <c r="G117" s="26"/>
      <c r="H117" s="26"/>
      <c r="I117" s="26"/>
      <c r="J117" s="26"/>
      <c r="K117" s="26"/>
      <c r="L117" s="26"/>
      <c r="M117" s="26"/>
      <c r="N117" s="26"/>
      <c r="O117" s="26"/>
      <c r="P117" s="26"/>
      <c r="Q117" s="293">
        <f t="shared" si="2"/>
        <v>0</v>
      </c>
      <c r="R117" s="61">
        <v>0</v>
      </c>
      <c r="S117" s="39">
        <f>Q117/Summary!$Q$16</f>
        <v>0</v>
      </c>
      <c r="T117" s="61"/>
      <c r="U117" s="315"/>
      <c r="V117" s="360"/>
    </row>
    <row r="118" spans="1:22" s="3" customFormat="1" ht="24.95" customHeight="1">
      <c r="A118" s="3" t="s">
        <v>939</v>
      </c>
      <c r="B118" s="3" t="s">
        <v>56</v>
      </c>
      <c r="D118" s="26" t="s">
        <v>940</v>
      </c>
      <c r="E118" s="26">
        <v>2000</v>
      </c>
      <c r="F118" s="26">
        <v>2000</v>
      </c>
      <c r="G118" s="26">
        <v>2000</v>
      </c>
      <c r="H118" s="26">
        <v>2000</v>
      </c>
      <c r="I118" s="26">
        <v>2000</v>
      </c>
      <c r="J118" s="26">
        <v>2000</v>
      </c>
      <c r="K118" s="26">
        <v>2000</v>
      </c>
      <c r="L118" s="26">
        <v>2000</v>
      </c>
      <c r="M118" s="26">
        <v>2000</v>
      </c>
      <c r="N118" s="26">
        <v>2000</v>
      </c>
      <c r="O118" s="26">
        <v>2000</v>
      </c>
      <c r="P118" s="26">
        <v>2000</v>
      </c>
      <c r="Q118" s="293">
        <f t="shared" si="2"/>
        <v>24000</v>
      </c>
      <c r="R118" s="61">
        <v>0</v>
      </c>
      <c r="S118" s="39">
        <f>Q118/Summary!$Q$16</f>
        <v>7.216354250445282E-4</v>
      </c>
      <c r="T118" s="61"/>
      <c r="U118" s="315"/>
      <c r="V118" s="360"/>
    </row>
    <row r="119" spans="1:22" s="3" customFormat="1" ht="24.95" hidden="1" customHeight="1">
      <c r="A119" s="3" t="s">
        <v>941</v>
      </c>
      <c r="B119" s="3" t="s">
        <v>56</v>
      </c>
      <c r="D119" s="26" t="s">
        <v>942</v>
      </c>
      <c r="E119" s="26"/>
      <c r="F119" s="26"/>
      <c r="G119" s="26"/>
      <c r="H119" s="26"/>
      <c r="I119" s="26"/>
      <c r="J119" s="26"/>
      <c r="K119" s="26"/>
      <c r="L119" s="26"/>
      <c r="M119" s="26"/>
      <c r="N119" s="26"/>
      <c r="O119" s="26"/>
      <c r="P119" s="26"/>
      <c r="Q119" s="41">
        <f t="shared" si="2"/>
        <v>0</v>
      </c>
      <c r="R119" s="61">
        <v>0</v>
      </c>
      <c r="S119" s="39">
        <f>Q119/Summary!$Q$16</f>
        <v>0</v>
      </c>
      <c r="T119" s="61"/>
      <c r="U119" s="315"/>
      <c r="V119" s="360"/>
    </row>
    <row r="120" spans="1:22" s="3" customFormat="1" ht="24.95" customHeight="1">
      <c r="A120" s="3" t="s">
        <v>943</v>
      </c>
      <c r="B120" s="3" t="s">
        <v>56</v>
      </c>
      <c r="D120" s="26" t="s">
        <v>944</v>
      </c>
      <c r="E120" s="26"/>
      <c r="F120" s="26"/>
      <c r="G120" s="26"/>
      <c r="H120" s="26"/>
      <c r="I120" s="26"/>
      <c r="J120" s="26"/>
      <c r="K120" s="26"/>
      <c r="L120" s="26"/>
      <c r="M120" s="26"/>
      <c r="N120" s="26"/>
      <c r="O120" s="26"/>
      <c r="P120" s="26"/>
      <c r="Q120" s="293">
        <f t="shared" si="2"/>
        <v>0</v>
      </c>
      <c r="R120" s="61">
        <v>14794.64</v>
      </c>
      <c r="S120" s="39">
        <f>Q120/Summary!$Q$16</f>
        <v>0</v>
      </c>
      <c r="T120" s="61"/>
      <c r="U120" s="315"/>
      <c r="V120" s="360"/>
    </row>
    <row r="121" spans="1:22" s="3" customFormat="1" ht="24.95" customHeight="1">
      <c r="A121" s="3" t="s">
        <v>945</v>
      </c>
      <c r="B121" s="3" t="s">
        <v>56</v>
      </c>
      <c r="D121" s="26" t="s">
        <v>946</v>
      </c>
      <c r="E121" s="26"/>
      <c r="F121" s="26"/>
      <c r="G121" s="26"/>
      <c r="H121" s="26">
        <v>2000</v>
      </c>
      <c r="I121" s="26">
        <v>2000</v>
      </c>
      <c r="J121" s="26">
        <v>4000</v>
      </c>
      <c r="K121" s="26">
        <v>4000</v>
      </c>
      <c r="L121" s="26">
        <v>4000</v>
      </c>
      <c r="M121" s="26">
        <v>2000</v>
      </c>
      <c r="N121" s="26">
        <v>2000</v>
      </c>
      <c r="O121" s="26">
        <v>2000</v>
      </c>
      <c r="P121" s="26">
        <v>2000</v>
      </c>
      <c r="Q121" s="293">
        <f t="shared" si="2"/>
        <v>24000</v>
      </c>
      <c r="R121" s="61">
        <v>36973.879999999997</v>
      </c>
      <c r="S121" s="39">
        <f>Q121/Summary!$Q$16</f>
        <v>7.216354250445282E-4</v>
      </c>
      <c r="T121" s="61"/>
      <c r="U121" s="315"/>
      <c r="V121" s="360"/>
    </row>
    <row r="122" spans="1:22" s="3" customFormat="1" ht="24.95" hidden="1" customHeight="1">
      <c r="A122" s="3" t="s">
        <v>947</v>
      </c>
      <c r="B122" s="3" t="s">
        <v>56</v>
      </c>
      <c r="D122" s="26" t="s">
        <v>948</v>
      </c>
      <c r="E122" s="26"/>
      <c r="F122" s="26"/>
      <c r="G122" s="26"/>
      <c r="H122" s="26"/>
      <c r="I122" s="26"/>
      <c r="J122" s="26"/>
      <c r="K122" s="26"/>
      <c r="L122" s="26"/>
      <c r="M122" s="26"/>
      <c r="N122" s="26"/>
      <c r="O122" s="26"/>
      <c r="P122" s="26"/>
      <c r="Q122" s="41">
        <f t="shared" si="2"/>
        <v>0</v>
      </c>
      <c r="R122" s="61">
        <v>0</v>
      </c>
      <c r="S122" s="39">
        <f>Q122/Summary!$Q$16</f>
        <v>0</v>
      </c>
      <c r="T122" s="61"/>
      <c r="U122" s="315"/>
      <c r="V122" s="360"/>
    </row>
    <row r="123" spans="1:22" s="3" customFormat="1" ht="24.75" customHeight="1">
      <c r="A123" s="3" t="s">
        <v>949</v>
      </c>
      <c r="B123" s="3" t="s">
        <v>56</v>
      </c>
      <c r="D123" s="26" t="s">
        <v>950</v>
      </c>
      <c r="E123" s="26"/>
      <c r="F123" s="26"/>
      <c r="G123" s="26"/>
      <c r="H123" s="26"/>
      <c r="I123" s="26"/>
      <c r="J123" s="26"/>
      <c r="K123" s="26"/>
      <c r="L123" s="26"/>
      <c r="M123" s="26"/>
      <c r="N123" s="26"/>
      <c r="O123" s="26"/>
      <c r="P123" s="26"/>
      <c r="Q123" s="293">
        <f t="shared" si="2"/>
        <v>0</v>
      </c>
      <c r="R123" s="61">
        <v>0</v>
      </c>
      <c r="S123" s="39">
        <f>Q123/Summary!$Q$16</f>
        <v>0</v>
      </c>
      <c r="T123" s="61"/>
      <c r="U123" s="315"/>
      <c r="V123" s="360"/>
    </row>
    <row r="124" spans="1:22" s="3" customFormat="1" ht="24.95" customHeight="1">
      <c r="A124" s="3" t="s">
        <v>951</v>
      </c>
      <c r="B124" s="3" t="s">
        <v>56</v>
      </c>
      <c r="D124" s="26" t="s">
        <v>952</v>
      </c>
      <c r="E124" s="26"/>
      <c r="F124" s="26"/>
      <c r="G124" s="26"/>
      <c r="H124" s="26"/>
      <c r="I124" s="26"/>
      <c r="J124" s="26"/>
      <c r="K124" s="26"/>
      <c r="L124" s="26"/>
      <c r="M124" s="26"/>
      <c r="N124" s="26"/>
      <c r="O124" s="26"/>
      <c r="P124" s="26"/>
      <c r="Q124" s="41">
        <f t="shared" si="2"/>
        <v>0</v>
      </c>
      <c r="R124" s="61">
        <v>0</v>
      </c>
      <c r="S124" s="39">
        <f>Q124/Summary!$Q$16</f>
        <v>0</v>
      </c>
      <c r="T124" s="61"/>
      <c r="U124" s="315"/>
      <c r="V124" s="360"/>
    </row>
    <row r="125" spans="1:22" s="3" customFormat="1" ht="24.95" customHeight="1">
      <c r="A125" s="3" t="s">
        <v>953</v>
      </c>
      <c r="B125" s="3" t="s">
        <v>56</v>
      </c>
      <c r="D125" s="26" t="s">
        <v>954</v>
      </c>
      <c r="E125" s="26"/>
      <c r="F125" s="26"/>
      <c r="G125" s="26"/>
      <c r="H125" s="26"/>
      <c r="I125" s="26"/>
      <c r="J125" s="26"/>
      <c r="K125" s="26"/>
      <c r="L125" s="26"/>
      <c r="M125" s="26"/>
      <c r="N125" s="26"/>
      <c r="O125" s="26"/>
      <c r="P125" s="26"/>
      <c r="Q125" s="41">
        <f t="shared" si="2"/>
        <v>0</v>
      </c>
      <c r="R125" s="61">
        <v>0</v>
      </c>
      <c r="S125" s="39">
        <f>Q125/Summary!$Q$16</f>
        <v>0</v>
      </c>
      <c r="T125" s="61"/>
      <c r="U125" s="315"/>
      <c r="V125" s="360"/>
    </row>
    <row r="126" spans="1:22" s="3" customFormat="1" ht="24.95" customHeight="1">
      <c r="A126" s="3" t="s">
        <v>955</v>
      </c>
      <c r="B126" s="3" t="s">
        <v>56</v>
      </c>
      <c r="D126" s="26" t="s">
        <v>956</v>
      </c>
      <c r="E126" s="26"/>
      <c r="F126" s="26"/>
      <c r="G126" s="26"/>
      <c r="H126" s="26"/>
      <c r="I126" s="26"/>
      <c r="J126" s="26"/>
      <c r="K126" s="26"/>
      <c r="L126" s="26"/>
      <c r="M126" s="26"/>
      <c r="N126" s="26"/>
      <c r="O126" s="26"/>
      <c r="P126" s="26"/>
      <c r="Q126" s="41">
        <f t="shared" si="2"/>
        <v>0</v>
      </c>
      <c r="R126" s="61">
        <v>0</v>
      </c>
      <c r="S126" s="39">
        <f>Q126/Summary!$Q$16</f>
        <v>0</v>
      </c>
      <c r="T126" s="61"/>
      <c r="U126" s="315"/>
      <c r="V126" s="360"/>
    </row>
    <row r="127" spans="1:22" s="3" customFormat="1" ht="24.95" customHeight="1">
      <c r="A127" s="3" t="s">
        <v>957</v>
      </c>
      <c r="B127" s="3" t="s">
        <v>56</v>
      </c>
      <c r="D127" s="26" t="s">
        <v>958</v>
      </c>
      <c r="E127" s="26"/>
      <c r="F127" s="26"/>
      <c r="G127" s="26"/>
      <c r="H127" s="26"/>
      <c r="I127" s="26"/>
      <c r="J127" s="26"/>
      <c r="K127" s="26"/>
      <c r="L127" s="26"/>
      <c r="M127" s="26"/>
      <c r="N127" s="26"/>
      <c r="O127" s="26"/>
      <c r="P127" s="26"/>
      <c r="Q127" s="41">
        <f t="shared" si="2"/>
        <v>0</v>
      </c>
      <c r="R127" s="61">
        <v>0</v>
      </c>
      <c r="S127" s="39">
        <f>Q127/Summary!$Q$16</f>
        <v>0</v>
      </c>
      <c r="T127" s="61"/>
      <c r="U127" s="315"/>
      <c r="V127" s="360"/>
    </row>
    <row r="128" spans="1:22" s="3" customFormat="1" ht="24.95" customHeight="1">
      <c r="A128" s="3" t="s">
        <v>959</v>
      </c>
      <c r="B128" s="3" t="s">
        <v>56</v>
      </c>
      <c r="D128" s="26" t="s">
        <v>960</v>
      </c>
      <c r="E128" s="26"/>
      <c r="F128" s="26"/>
      <c r="G128" s="26"/>
      <c r="H128" s="26"/>
      <c r="I128" s="26"/>
      <c r="J128" s="26"/>
      <c r="K128" s="26"/>
      <c r="L128" s="26"/>
      <c r="M128" s="26"/>
      <c r="N128" s="26"/>
      <c r="O128" s="26"/>
      <c r="P128" s="26"/>
      <c r="Q128" s="41">
        <f t="shared" si="2"/>
        <v>0</v>
      </c>
      <c r="R128" s="61">
        <v>0</v>
      </c>
      <c r="S128" s="39">
        <f>Q128/Summary!$Q$16</f>
        <v>0</v>
      </c>
      <c r="T128" s="61"/>
      <c r="U128" s="315"/>
      <c r="V128" s="360"/>
    </row>
    <row r="129" spans="1:22" s="3" customFormat="1" ht="24.95" customHeight="1">
      <c r="A129" s="3" t="s">
        <v>961</v>
      </c>
      <c r="B129" s="3" t="s">
        <v>56</v>
      </c>
      <c r="D129" s="26" t="s">
        <v>962</v>
      </c>
      <c r="E129" s="26">
        <v>10000</v>
      </c>
      <c r="F129" s="26">
        <v>10000</v>
      </c>
      <c r="G129" s="26">
        <v>10000</v>
      </c>
      <c r="H129" s="26">
        <v>18000</v>
      </c>
      <c r="I129" s="26">
        <v>18000</v>
      </c>
      <c r="J129" s="26">
        <v>18000</v>
      </c>
      <c r="K129" s="26">
        <v>18000</v>
      </c>
      <c r="L129" s="26">
        <v>18000</v>
      </c>
      <c r="M129" s="26">
        <v>18000</v>
      </c>
      <c r="N129" s="26">
        <v>18000</v>
      </c>
      <c r="O129" s="26">
        <v>18000</v>
      </c>
      <c r="P129" s="26">
        <v>18000</v>
      </c>
      <c r="Q129" s="41">
        <f t="shared" si="2"/>
        <v>192000</v>
      </c>
      <c r="R129" s="61">
        <v>100618.18</v>
      </c>
      <c r="S129" s="39">
        <f>Q129/Summary!$Q$16</f>
        <v>5.7730834003562256E-3</v>
      </c>
      <c r="T129" s="61"/>
      <c r="U129" s="315"/>
      <c r="V129" s="360"/>
    </row>
    <row r="130" spans="1:22" s="3" customFormat="1" ht="24.95" customHeight="1">
      <c r="A130" s="3" t="s">
        <v>963</v>
      </c>
      <c r="B130" s="3" t="s">
        <v>56</v>
      </c>
      <c r="D130" s="26" t="s">
        <v>964</v>
      </c>
      <c r="E130" s="26"/>
      <c r="F130" s="26"/>
      <c r="G130" s="26"/>
      <c r="H130" s="26"/>
      <c r="I130" s="26"/>
      <c r="J130" s="26"/>
      <c r="K130" s="26"/>
      <c r="L130" s="26"/>
      <c r="M130" s="26"/>
      <c r="N130" s="26"/>
      <c r="O130" s="26"/>
      <c r="P130" s="26"/>
      <c r="Q130" s="293">
        <f t="shared" si="2"/>
        <v>0</v>
      </c>
      <c r="R130" s="61">
        <v>113561.34</v>
      </c>
      <c r="S130" s="39">
        <f>Q130/Summary!$Q$16</f>
        <v>0</v>
      </c>
      <c r="T130" s="61"/>
      <c r="U130" s="315"/>
      <c r="V130" s="360"/>
    </row>
    <row r="131" spans="1:22" s="3" customFormat="1" ht="24.95" customHeight="1">
      <c r="A131" s="3" t="s">
        <v>965</v>
      </c>
      <c r="B131" s="3" t="s">
        <v>56</v>
      </c>
      <c r="D131" s="26" t="s">
        <v>966</v>
      </c>
      <c r="E131" s="26"/>
      <c r="F131" s="26"/>
      <c r="G131" s="26"/>
      <c r="H131" s="26"/>
      <c r="I131" s="26"/>
      <c r="J131" s="26"/>
      <c r="K131" s="26"/>
      <c r="L131" s="26"/>
      <c r="M131" s="26"/>
      <c r="N131" s="26"/>
      <c r="O131" s="26"/>
      <c r="P131" s="26"/>
      <c r="Q131" s="293">
        <f t="shared" si="2"/>
        <v>0</v>
      </c>
      <c r="R131" s="61">
        <v>38722.21</v>
      </c>
      <c r="S131" s="39">
        <f>Q131/Summary!$Q$16</f>
        <v>0</v>
      </c>
      <c r="T131" s="61"/>
      <c r="U131" s="315"/>
      <c r="V131" s="360"/>
    </row>
    <row r="132" spans="1:22" s="3" customFormat="1" ht="24.95" customHeight="1">
      <c r="A132" s="3" t="s">
        <v>1028</v>
      </c>
      <c r="B132" s="3" t="s">
        <v>56</v>
      </c>
      <c r="D132" s="26" t="s">
        <v>1029</v>
      </c>
      <c r="E132" s="26"/>
      <c r="F132" s="26"/>
      <c r="G132" s="26"/>
      <c r="H132" s="26"/>
      <c r="I132" s="26"/>
      <c r="J132" s="26"/>
      <c r="K132" s="26"/>
      <c r="L132" s="26"/>
      <c r="M132" s="26"/>
      <c r="N132" s="26"/>
      <c r="O132" s="26"/>
      <c r="P132" s="26"/>
      <c r="Q132" s="41">
        <f t="shared" si="2"/>
        <v>0</v>
      </c>
      <c r="R132" s="61">
        <v>240000</v>
      </c>
      <c r="S132" s="39">
        <f>Q132/Summary!$Q$16</f>
        <v>0</v>
      </c>
      <c r="T132" s="61"/>
      <c r="U132" s="315"/>
      <c r="V132" s="360"/>
    </row>
    <row r="133" spans="1:22" s="3" customFormat="1" ht="24.95" hidden="1" customHeight="1">
      <c r="A133" s="3" t="s">
        <v>967</v>
      </c>
      <c r="B133" s="3" t="s">
        <v>56</v>
      </c>
      <c r="D133" s="26" t="s">
        <v>968</v>
      </c>
      <c r="E133" s="26"/>
      <c r="F133" s="26"/>
      <c r="G133" s="26"/>
      <c r="H133" s="26"/>
      <c r="I133" s="26"/>
      <c r="J133" s="26"/>
      <c r="K133" s="26"/>
      <c r="L133" s="26"/>
      <c r="M133" s="26"/>
      <c r="N133" s="26"/>
      <c r="O133" s="26"/>
      <c r="P133" s="26"/>
      <c r="Q133" s="41">
        <f t="shared" si="2"/>
        <v>0</v>
      </c>
      <c r="R133" s="61">
        <v>0</v>
      </c>
      <c r="S133" s="39">
        <f>Q133/Summary!$Q$16</f>
        <v>0</v>
      </c>
      <c r="T133" s="61"/>
      <c r="U133" s="315"/>
      <c r="V133" s="360"/>
    </row>
    <row r="134" spans="1:22" s="3" customFormat="1" ht="24.95" customHeight="1">
      <c r="A134" s="3" t="s">
        <v>969</v>
      </c>
      <c r="B134" s="3" t="s">
        <v>56</v>
      </c>
      <c r="D134" s="26" t="s">
        <v>970</v>
      </c>
      <c r="E134" s="26"/>
      <c r="F134" s="26"/>
      <c r="G134" s="26"/>
      <c r="H134" s="26"/>
      <c r="I134" s="26"/>
      <c r="J134" s="26"/>
      <c r="K134" s="26"/>
      <c r="L134" s="26"/>
      <c r="M134" s="26"/>
      <c r="N134" s="26"/>
      <c r="O134" s="26"/>
      <c r="P134" s="26"/>
      <c r="Q134" s="41">
        <f t="shared" si="2"/>
        <v>0</v>
      </c>
      <c r="R134" s="61">
        <v>0</v>
      </c>
      <c r="S134" s="39">
        <f>Q134/Summary!$Q$16</f>
        <v>0</v>
      </c>
      <c r="T134" s="61"/>
      <c r="U134" s="315"/>
      <c r="V134" s="360"/>
    </row>
    <row r="135" spans="1:22" s="3" customFormat="1" ht="24.95" customHeight="1">
      <c r="A135" s="3" t="s">
        <v>971</v>
      </c>
      <c r="B135" s="3" t="s">
        <v>56</v>
      </c>
      <c r="D135" s="26" t="s">
        <v>972</v>
      </c>
      <c r="E135" s="26"/>
      <c r="F135" s="26"/>
      <c r="G135" s="26"/>
      <c r="H135" s="26"/>
      <c r="I135" s="26"/>
      <c r="J135" s="26"/>
      <c r="K135" s="26"/>
      <c r="L135" s="26"/>
      <c r="M135" s="26"/>
      <c r="N135" s="26"/>
      <c r="O135" s="26"/>
      <c r="P135" s="26"/>
      <c r="Q135" s="293">
        <f t="shared" si="2"/>
        <v>0</v>
      </c>
      <c r="R135" s="61">
        <v>0</v>
      </c>
      <c r="S135" s="39">
        <f>Q135/Summary!$Q$16</f>
        <v>0</v>
      </c>
      <c r="T135" s="61"/>
      <c r="U135" s="315"/>
      <c r="V135" s="360"/>
    </row>
    <row r="136" spans="1:22" s="3" customFormat="1" ht="24.95" hidden="1" customHeight="1">
      <c r="A136" s="3" t="s">
        <v>973</v>
      </c>
      <c r="B136" s="3" t="s">
        <v>56</v>
      </c>
      <c r="D136" s="26" t="s">
        <v>974</v>
      </c>
      <c r="E136" s="26"/>
      <c r="F136" s="26"/>
      <c r="G136" s="26"/>
      <c r="H136" s="26"/>
      <c r="I136" s="26"/>
      <c r="J136" s="26"/>
      <c r="K136" s="26"/>
      <c r="L136" s="26"/>
      <c r="M136" s="26"/>
      <c r="N136" s="26"/>
      <c r="O136" s="26"/>
      <c r="P136" s="26"/>
      <c r="Q136" s="41">
        <f t="shared" si="2"/>
        <v>0</v>
      </c>
      <c r="R136" s="61">
        <v>0</v>
      </c>
      <c r="S136" s="39">
        <f>Q136/Summary!$Q$16</f>
        <v>0</v>
      </c>
      <c r="T136" s="61"/>
      <c r="U136" s="315"/>
      <c r="V136" s="360"/>
    </row>
    <row r="137" spans="1:22" s="3" customFormat="1" ht="24.95" hidden="1" customHeight="1">
      <c r="A137" s="3" t="s">
        <v>975</v>
      </c>
      <c r="B137" s="3" t="s">
        <v>56</v>
      </c>
      <c r="D137" s="26" t="s">
        <v>976</v>
      </c>
      <c r="E137" s="26"/>
      <c r="F137" s="26"/>
      <c r="G137" s="26"/>
      <c r="H137" s="26"/>
      <c r="I137" s="26"/>
      <c r="J137" s="26"/>
      <c r="K137" s="26"/>
      <c r="L137" s="26"/>
      <c r="M137" s="26"/>
      <c r="N137" s="26"/>
      <c r="O137" s="26"/>
      <c r="P137" s="26"/>
      <c r="Q137" s="41">
        <f t="shared" si="2"/>
        <v>0</v>
      </c>
      <c r="R137" s="61">
        <v>0</v>
      </c>
      <c r="S137" s="39">
        <f>Q137/Summary!$Q$16</f>
        <v>0</v>
      </c>
      <c r="T137" s="61"/>
      <c r="U137" s="315"/>
      <c r="V137" s="360"/>
    </row>
    <row r="138" spans="1:22" s="3" customFormat="1" ht="24.95" hidden="1" customHeight="1">
      <c r="A138" s="3" t="s">
        <v>977</v>
      </c>
      <c r="B138" s="3" t="s">
        <v>56</v>
      </c>
      <c r="D138" s="26" t="s">
        <v>978</v>
      </c>
      <c r="E138" s="26"/>
      <c r="F138" s="26"/>
      <c r="G138" s="26"/>
      <c r="H138" s="26"/>
      <c r="I138" s="26"/>
      <c r="J138" s="26"/>
      <c r="K138" s="26"/>
      <c r="L138" s="26"/>
      <c r="M138" s="26"/>
      <c r="N138" s="26"/>
      <c r="O138" s="26"/>
      <c r="P138" s="26"/>
      <c r="Q138" s="41">
        <f t="shared" si="2"/>
        <v>0</v>
      </c>
      <c r="R138" s="61">
        <v>0</v>
      </c>
      <c r="S138" s="39">
        <f>Q138/Summary!$Q$16</f>
        <v>0</v>
      </c>
      <c r="T138" s="61"/>
      <c r="U138" s="315"/>
      <c r="V138" s="360"/>
    </row>
    <row r="139" spans="1:22" s="3" customFormat="1" ht="24.95" hidden="1" customHeight="1">
      <c r="A139" s="3" t="s">
        <v>979</v>
      </c>
      <c r="B139" s="3" t="s">
        <v>56</v>
      </c>
      <c r="D139" s="26" t="s">
        <v>980</v>
      </c>
      <c r="E139" s="26"/>
      <c r="F139" s="26"/>
      <c r="G139" s="26"/>
      <c r="H139" s="26"/>
      <c r="I139" s="26"/>
      <c r="J139" s="26"/>
      <c r="K139" s="26"/>
      <c r="L139" s="26"/>
      <c r="M139" s="26"/>
      <c r="N139" s="26"/>
      <c r="O139" s="26"/>
      <c r="P139" s="26"/>
      <c r="Q139" s="41">
        <f t="shared" si="2"/>
        <v>0</v>
      </c>
      <c r="R139" s="61">
        <v>0</v>
      </c>
      <c r="S139" s="39">
        <f>Q139/Summary!$Q$16</f>
        <v>0</v>
      </c>
      <c r="T139" s="61"/>
      <c r="U139" s="315"/>
      <c r="V139" s="360"/>
    </row>
    <row r="140" spans="1:22" s="3" customFormat="1" ht="24.95" hidden="1" customHeight="1">
      <c r="A140" s="3" t="s">
        <v>981</v>
      </c>
      <c r="B140" s="3" t="s">
        <v>56</v>
      </c>
      <c r="D140" s="26" t="s">
        <v>982</v>
      </c>
      <c r="E140" s="26"/>
      <c r="F140" s="26"/>
      <c r="G140" s="26"/>
      <c r="H140" s="26"/>
      <c r="I140" s="26"/>
      <c r="J140" s="26"/>
      <c r="K140" s="26"/>
      <c r="L140" s="26"/>
      <c r="M140" s="26"/>
      <c r="N140" s="26"/>
      <c r="O140" s="26"/>
      <c r="P140" s="26"/>
      <c r="Q140" s="41">
        <f t="shared" si="2"/>
        <v>0</v>
      </c>
      <c r="R140" s="61">
        <v>0</v>
      </c>
      <c r="S140" s="39">
        <f>Q140/Summary!$Q$16</f>
        <v>0</v>
      </c>
      <c r="T140" s="61"/>
      <c r="U140" s="315"/>
      <c r="V140" s="360"/>
    </row>
    <row r="141" spans="1:22" s="3" customFormat="1" ht="24.95" hidden="1" customHeight="1">
      <c r="A141" s="3" t="s">
        <v>983</v>
      </c>
      <c r="B141" s="3" t="s">
        <v>56</v>
      </c>
      <c r="D141" s="26" t="s">
        <v>984</v>
      </c>
      <c r="E141" s="26"/>
      <c r="F141" s="26"/>
      <c r="G141" s="26"/>
      <c r="H141" s="26"/>
      <c r="I141" s="26"/>
      <c r="J141" s="26"/>
      <c r="K141" s="26"/>
      <c r="L141" s="26"/>
      <c r="M141" s="26"/>
      <c r="N141" s="26"/>
      <c r="O141" s="26"/>
      <c r="P141" s="26"/>
      <c r="Q141" s="41">
        <f t="shared" si="2"/>
        <v>0</v>
      </c>
      <c r="R141" s="61">
        <v>0</v>
      </c>
      <c r="S141" s="39">
        <f>Q141/Summary!$Q$16</f>
        <v>0</v>
      </c>
      <c r="T141" s="61"/>
      <c r="U141" s="315"/>
      <c r="V141" s="360"/>
    </row>
    <row r="142" spans="1:22" s="3" customFormat="1" ht="24.95" hidden="1" customHeight="1">
      <c r="A142" s="3" t="s">
        <v>985</v>
      </c>
      <c r="B142" s="3" t="s">
        <v>56</v>
      </c>
      <c r="D142" s="26" t="s">
        <v>986</v>
      </c>
      <c r="E142" s="26"/>
      <c r="F142" s="26"/>
      <c r="G142" s="26"/>
      <c r="H142" s="26"/>
      <c r="I142" s="26"/>
      <c r="J142" s="26"/>
      <c r="K142" s="26"/>
      <c r="L142" s="26"/>
      <c r="M142" s="26"/>
      <c r="N142" s="26"/>
      <c r="O142" s="26"/>
      <c r="P142" s="26"/>
      <c r="Q142" s="41">
        <f t="shared" si="2"/>
        <v>0</v>
      </c>
      <c r="R142" s="61">
        <v>0</v>
      </c>
      <c r="S142" s="39">
        <f>Q142/Summary!$Q$16</f>
        <v>0</v>
      </c>
      <c r="T142" s="61"/>
      <c r="U142" s="315"/>
      <c r="V142" s="360"/>
    </row>
    <row r="143" spans="1:22" s="3" customFormat="1" ht="24.95" hidden="1" customHeight="1">
      <c r="A143" s="3" t="s">
        <v>987</v>
      </c>
      <c r="B143" s="3" t="s">
        <v>56</v>
      </c>
      <c r="D143" s="26" t="s">
        <v>988</v>
      </c>
      <c r="E143" s="26"/>
      <c r="F143" s="26"/>
      <c r="G143" s="26"/>
      <c r="H143" s="26"/>
      <c r="I143" s="26"/>
      <c r="J143" s="26"/>
      <c r="K143" s="26"/>
      <c r="L143" s="26"/>
      <c r="M143" s="26"/>
      <c r="N143" s="26"/>
      <c r="O143" s="26"/>
      <c r="P143" s="26"/>
      <c r="Q143" s="41">
        <f t="shared" si="2"/>
        <v>0</v>
      </c>
      <c r="R143" s="61">
        <v>0</v>
      </c>
      <c r="S143" s="39">
        <f>Q143/Summary!$Q$16</f>
        <v>0</v>
      </c>
      <c r="T143" s="61"/>
      <c r="U143" s="315"/>
      <c r="V143" s="360"/>
    </row>
    <row r="144" spans="1:22" s="3" customFormat="1" ht="24.95" hidden="1" customHeight="1">
      <c r="A144" s="3" t="s">
        <v>989</v>
      </c>
      <c r="B144" s="3" t="s">
        <v>56</v>
      </c>
      <c r="D144" s="26" t="s">
        <v>990</v>
      </c>
      <c r="E144" s="26"/>
      <c r="F144" s="26"/>
      <c r="G144" s="26"/>
      <c r="H144" s="26"/>
      <c r="I144" s="26"/>
      <c r="J144" s="26"/>
      <c r="K144" s="26"/>
      <c r="L144" s="26"/>
      <c r="M144" s="26"/>
      <c r="N144" s="26"/>
      <c r="O144" s="26"/>
      <c r="P144" s="26"/>
      <c r="Q144" s="41">
        <f t="shared" ref="Q144:Q157" si="3">SUM(E144:P144)</f>
        <v>0</v>
      </c>
      <c r="R144" s="61">
        <v>0</v>
      </c>
      <c r="S144" s="39">
        <f>Q144/Summary!$Q$16</f>
        <v>0</v>
      </c>
      <c r="T144" s="61"/>
      <c r="U144" s="315"/>
      <c r="V144" s="360"/>
    </row>
    <row r="145" spans="1:22" s="3" customFormat="1" ht="24.95" hidden="1" customHeight="1">
      <c r="A145" s="3" t="s">
        <v>991</v>
      </c>
      <c r="B145" s="3" t="s">
        <v>56</v>
      </c>
      <c r="D145" s="26" t="s">
        <v>992</v>
      </c>
      <c r="E145" s="26"/>
      <c r="F145" s="26"/>
      <c r="G145" s="26"/>
      <c r="H145" s="26"/>
      <c r="I145" s="26"/>
      <c r="J145" s="26"/>
      <c r="K145" s="26"/>
      <c r="L145" s="26"/>
      <c r="M145" s="26"/>
      <c r="N145" s="26"/>
      <c r="O145" s="26"/>
      <c r="P145" s="26"/>
      <c r="Q145" s="41">
        <f t="shared" si="3"/>
        <v>0</v>
      </c>
      <c r="R145" s="61">
        <v>0</v>
      </c>
      <c r="S145" s="39">
        <f>Q145/Summary!$Q$16</f>
        <v>0</v>
      </c>
      <c r="T145" s="61"/>
      <c r="U145" s="315"/>
      <c r="V145" s="360"/>
    </row>
    <row r="146" spans="1:22" s="3" customFormat="1" ht="24.95" hidden="1" customHeight="1">
      <c r="A146" s="3" t="s">
        <v>993</v>
      </c>
      <c r="B146" s="3" t="s">
        <v>56</v>
      </c>
      <c r="D146" s="26" t="s">
        <v>994</v>
      </c>
      <c r="E146" s="26"/>
      <c r="F146" s="26"/>
      <c r="G146" s="26"/>
      <c r="H146" s="26"/>
      <c r="I146" s="26"/>
      <c r="J146" s="26"/>
      <c r="K146" s="26"/>
      <c r="L146" s="26"/>
      <c r="M146" s="26"/>
      <c r="N146" s="26"/>
      <c r="O146" s="26"/>
      <c r="P146" s="26"/>
      <c r="Q146" s="41">
        <f t="shared" si="3"/>
        <v>0</v>
      </c>
      <c r="R146" s="61">
        <v>0</v>
      </c>
      <c r="S146" s="39">
        <f>Q146/Summary!$Q$16</f>
        <v>0</v>
      </c>
      <c r="T146" s="61"/>
      <c r="U146" s="315"/>
      <c r="V146" s="360"/>
    </row>
    <row r="147" spans="1:22" s="3" customFormat="1" ht="24.95" hidden="1" customHeight="1">
      <c r="A147" s="3" t="s">
        <v>995</v>
      </c>
      <c r="B147" s="3" t="s">
        <v>56</v>
      </c>
      <c r="D147" s="26" t="s">
        <v>996</v>
      </c>
      <c r="E147" s="26"/>
      <c r="F147" s="26"/>
      <c r="G147" s="26"/>
      <c r="H147" s="26"/>
      <c r="I147" s="26"/>
      <c r="J147" s="26"/>
      <c r="K147" s="26"/>
      <c r="L147" s="26"/>
      <c r="M147" s="26"/>
      <c r="N147" s="26"/>
      <c r="O147" s="26"/>
      <c r="P147" s="26"/>
      <c r="Q147" s="41">
        <f t="shared" si="3"/>
        <v>0</v>
      </c>
      <c r="R147" s="61">
        <v>0</v>
      </c>
      <c r="S147" s="39">
        <f>Q147/Summary!$Q$16</f>
        <v>0</v>
      </c>
      <c r="T147" s="61"/>
      <c r="U147" s="315"/>
      <c r="V147" s="360"/>
    </row>
    <row r="148" spans="1:22" s="3" customFormat="1" ht="24.95" hidden="1" customHeight="1">
      <c r="A148" s="3" t="s">
        <v>997</v>
      </c>
      <c r="B148" s="3" t="s">
        <v>56</v>
      </c>
      <c r="D148" s="26" t="s">
        <v>998</v>
      </c>
      <c r="E148" s="26"/>
      <c r="F148" s="26"/>
      <c r="G148" s="26"/>
      <c r="H148" s="26"/>
      <c r="I148" s="26"/>
      <c r="J148" s="26"/>
      <c r="K148" s="26"/>
      <c r="L148" s="26"/>
      <c r="M148" s="26"/>
      <c r="N148" s="26"/>
      <c r="O148" s="26"/>
      <c r="P148" s="26"/>
      <c r="Q148" s="41">
        <f t="shared" si="3"/>
        <v>0</v>
      </c>
      <c r="R148" s="61">
        <v>0</v>
      </c>
      <c r="S148" s="39">
        <f>Q148/Summary!$Q$16</f>
        <v>0</v>
      </c>
      <c r="T148" s="61"/>
      <c r="U148" s="315"/>
      <c r="V148" s="360"/>
    </row>
    <row r="149" spans="1:22" s="3" customFormat="1" ht="24.95" hidden="1" customHeight="1">
      <c r="A149" s="3" t="s">
        <v>999</v>
      </c>
      <c r="B149" s="3" t="s">
        <v>56</v>
      </c>
      <c r="D149" s="26" t="s">
        <v>1000</v>
      </c>
      <c r="E149" s="26"/>
      <c r="F149" s="26"/>
      <c r="G149" s="26"/>
      <c r="H149" s="26"/>
      <c r="I149" s="26"/>
      <c r="J149" s="26"/>
      <c r="K149" s="26"/>
      <c r="L149" s="26"/>
      <c r="M149" s="26"/>
      <c r="N149" s="26"/>
      <c r="O149" s="26"/>
      <c r="P149" s="26"/>
      <c r="Q149" s="41">
        <f t="shared" si="3"/>
        <v>0</v>
      </c>
      <c r="R149" s="61">
        <v>0</v>
      </c>
      <c r="S149" s="39">
        <f>Q149/Summary!$Q$16</f>
        <v>0</v>
      </c>
      <c r="T149" s="61"/>
      <c r="U149" s="315"/>
      <c r="V149" s="360"/>
    </row>
    <row r="150" spans="1:22" s="3" customFormat="1" ht="24.95" hidden="1" customHeight="1">
      <c r="A150" s="3" t="s">
        <v>1001</v>
      </c>
      <c r="B150" s="3" t="s">
        <v>56</v>
      </c>
      <c r="D150" s="26" t="s">
        <v>1002</v>
      </c>
      <c r="E150" s="26"/>
      <c r="F150" s="26"/>
      <c r="G150" s="26"/>
      <c r="H150" s="26"/>
      <c r="I150" s="26"/>
      <c r="J150" s="26"/>
      <c r="K150" s="26"/>
      <c r="L150" s="26"/>
      <c r="M150" s="26"/>
      <c r="N150" s="26"/>
      <c r="O150" s="26"/>
      <c r="P150" s="26"/>
      <c r="Q150" s="41">
        <f t="shared" si="3"/>
        <v>0</v>
      </c>
      <c r="R150" s="61">
        <v>0</v>
      </c>
      <c r="S150" s="39">
        <f>Q150/Summary!$Q$16</f>
        <v>0</v>
      </c>
      <c r="T150" s="61"/>
      <c r="U150" s="315"/>
      <c r="V150" s="360"/>
    </row>
    <row r="151" spans="1:22" s="3" customFormat="1" ht="24.95" hidden="1" customHeight="1">
      <c r="A151" s="3" t="s">
        <v>1003</v>
      </c>
      <c r="B151" s="3" t="s">
        <v>56</v>
      </c>
      <c r="D151" s="26" t="s">
        <v>1004</v>
      </c>
      <c r="E151" s="26"/>
      <c r="F151" s="26"/>
      <c r="G151" s="26"/>
      <c r="H151" s="26"/>
      <c r="I151" s="26"/>
      <c r="J151" s="26"/>
      <c r="K151" s="26"/>
      <c r="L151" s="26"/>
      <c r="M151" s="26"/>
      <c r="N151" s="26"/>
      <c r="O151" s="26"/>
      <c r="P151" s="26"/>
      <c r="Q151" s="41">
        <f t="shared" si="3"/>
        <v>0</v>
      </c>
      <c r="R151" s="61">
        <v>0</v>
      </c>
      <c r="S151" s="39">
        <f>Q151/Summary!$Q$16</f>
        <v>0</v>
      </c>
      <c r="T151" s="61"/>
      <c r="U151" s="315"/>
      <c r="V151" s="360"/>
    </row>
    <row r="152" spans="1:22" s="3" customFormat="1" ht="24.95" hidden="1" customHeight="1">
      <c r="A152" s="3" t="s">
        <v>1005</v>
      </c>
      <c r="B152" s="3" t="s">
        <v>56</v>
      </c>
      <c r="D152" s="26" t="s">
        <v>1006</v>
      </c>
      <c r="E152" s="26"/>
      <c r="F152" s="26"/>
      <c r="G152" s="26"/>
      <c r="H152" s="26"/>
      <c r="I152" s="26"/>
      <c r="J152" s="26"/>
      <c r="K152" s="26"/>
      <c r="L152" s="26"/>
      <c r="M152" s="26"/>
      <c r="N152" s="26"/>
      <c r="O152" s="26"/>
      <c r="P152" s="26"/>
      <c r="Q152" s="41">
        <f t="shared" si="3"/>
        <v>0</v>
      </c>
      <c r="R152" s="61">
        <v>0</v>
      </c>
      <c r="S152" s="39">
        <f>Q152/Summary!$Q$16</f>
        <v>0</v>
      </c>
      <c r="T152" s="61"/>
      <c r="U152" s="315"/>
      <c r="V152" s="360"/>
    </row>
    <row r="153" spans="1:22" s="3" customFormat="1" ht="24.95" hidden="1" customHeight="1">
      <c r="A153" s="3" t="s">
        <v>1007</v>
      </c>
      <c r="B153" s="3" t="s">
        <v>56</v>
      </c>
      <c r="D153" s="26" t="s">
        <v>1008</v>
      </c>
      <c r="E153" s="26"/>
      <c r="F153" s="26"/>
      <c r="G153" s="26"/>
      <c r="H153" s="26"/>
      <c r="I153" s="26"/>
      <c r="J153" s="26"/>
      <c r="K153" s="26"/>
      <c r="L153" s="26"/>
      <c r="M153" s="26"/>
      <c r="N153" s="26"/>
      <c r="O153" s="26"/>
      <c r="P153" s="26"/>
      <c r="Q153" s="41">
        <f t="shared" si="3"/>
        <v>0</v>
      </c>
      <c r="R153" s="61">
        <v>0</v>
      </c>
      <c r="S153" s="39">
        <f>Q153/Summary!$Q$16</f>
        <v>0</v>
      </c>
      <c r="T153" s="61"/>
      <c r="U153" s="315"/>
      <c r="V153" s="360"/>
    </row>
    <row r="154" spans="1:22" s="3" customFormat="1" ht="24.95" hidden="1" customHeight="1">
      <c r="A154" s="3" t="s">
        <v>1009</v>
      </c>
      <c r="B154" s="3" t="s">
        <v>56</v>
      </c>
      <c r="D154" s="26" t="s">
        <v>1010</v>
      </c>
      <c r="E154" s="26"/>
      <c r="F154" s="26"/>
      <c r="G154" s="26"/>
      <c r="H154" s="26"/>
      <c r="I154" s="26"/>
      <c r="J154" s="26"/>
      <c r="K154" s="26"/>
      <c r="L154" s="26"/>
      <c r="M154" s="26"/>
      <c r="N154" s="26"/>
      <c r="O154" s="26"/>
      <c r="P154" s="26"/>
      <c r="Q154" s="41">
        <f t="shared" si="3"/>
        <v>0</v>
      </c>
      <c r="R154" s="61">
        <v>0</v>
      </c>
      <c r="S154" s="39">
        <f>Q154/Summary!$Q$16</f>
        <v>0</v>
      </c>
      <c r="T154" s="61"/>
      <c r="U154" s="315"/>
      <c r="V154" s="360"/>
    </row>
    <row r="155" spans="1:22" s="3" customFormat="1" ht="24.95" hidden="1" customHeight="1">
      <c r="A155" s="3" t="s">
        <v>1011</v>
      </c>
      <c r="B155" s="3" t="s">
        <v>56</v>
      </c>
      <c r="D155" s="26" t="s">
        <v>1012</v>
      </c>
      <c r="E155" s="26"/>
      <c r="F155" s="26"/>
      <c r="G155" s="26"/>
      <c r="H155" s="26"/>
      <c r="I155" s="26"/>
      <c r="J155" s="26"/>
      <c r="K155" s="26"/>
      <c r="L155" s="26"/>
      <c r="M155" s="26"/>
      <c r="N155" s="26"/>
      <c r="O155" s="26"/>
      <c r="P155" s="26"/>
      <c r="Q155" s="41">
        <f t="shared" si="3"/>
        <v>0</v>
      </c>
      <c r="R155" s="61">
        <v>0</v>
      </c>
      <c r="S155" s="39">
        <f>Q155/Summary!$Q$16</f>
        <v>0</v>
      </c>
      <c r="T155" s="61"/>
      <c r="U155" s="315"/>
      <c r="V155" s="360"/>
    </row>
    <row r="156" spans="1:22" s="3" customFormat="1" ht="24.95" hidden="1" customHeight="1">
      <c r="A156" s="3" t="s">
        <v>1013</v>
      </c>
      <c r="B156" s="3" t="s">
        <v>56</v>
      </c>
      <c r="D156" s="26" t="s">
        <v>1014</v>
      </c>
      <c r="E156" s="26"/>
      <c r="F156" s="26"/>
      <c r="G156" s="26"/>
      <c r="H156" s="26"/>
      <c r="I156" s="26"/>
      <c r="J156" s="26"/>
      <c r="K156" s="26"/>
      <c r="L156" s="26"/>
      <c r="M156" s="26"/>
      <c r="N156" s="26"/>
      <c r="O156" s="26"/>
      <c r="P156" s="26"/>
      <c r="Q156" s="41">
        <f t="shared" si="3"/>
        <v>0</v>
      </c>
      <c r="R156" s="61">
        <v>0</v>
      </c>
      <c r="S156" s="39">
        <f>Q156/Summary!$Q$16</f>
        <v>0</v>
      </c>
      <c r="T156" s="61"/>
      <c r="U156" s="315"/>
      <c r="V156" s="360"/>
    </row>
    <row r="157" spans="1:22" s="3" customFormat="1" ht="24.95" customHeight="1">
      <c r="A157" s="3" t="s">
        <v>611</v>
      </c>
      <c r="B157" s="3" t="s">
        <v>56</v>
      </c>
      <c r="D157" s="26" t="s">
        <v>612</v>
      </c>
      <c r="E157" s="26">
        <v>1300</v>
      </c>
      <c r="F157" s="26">
        <v>1300</v>
      </c>
      <c r="G157" s="26">
        <v>1300</v>
      </c>
      <c r="H157" s="26">
        <v>1300</v>
      </c>
      <c r="I157" s="26">
        <v>1300</v>
      </c>
      <c r="J157" s="26">
        <v>1300</v>
      </c>
      <c r="K157" s="26">
        <v>1300</v>
      </c>
      <c r="L157" s="26">
        <v>1300</v>
      </c>
      <c r="M157" s="26">
        <v>1300</v>
      </c>
      <c r="N157" s="26">
        <v>1300</v>
      </c>
      <c r="O157" s="26">
        <v>1300</v>
      </c>
      <c r="P157" s="26">
        <v>1300</v>
      </c>
      <c r="Q157" s="41">
        <f t="shared" si="3"/>
        <v>15600</v>
      </c>
      <c r="R157" s="61">
        <v>32435.11</v>
      </c>
      <c r="S157" s="39">
        <f>Q157/Summary!$Q$16</f>
        <v>4.6906302627894335E-4</v>
      </c>
      <c r="T157" s="61"/>
      <c r="U157" s="315"/>
      <c r="V157" s="360"/>
    </row>
    <row r="158" spans="1:22" s="19" customFormat="1" ht="24.95" customHeight="1">
      <c r="D158" s="21" t="s">
        <v>613</v>
      </c>
      <c r="E158" s="45">
        <f>SUM(E15:E157)</f>
        <v>113330.65</v>
      </c>
      <c r="F158" s="45">
        <f t="shared" ref="F158:Q158" si="4">SUM(F15:F157)</f>
        <v>106542.36</v>
      </c>
      <c r="G158" s="45">
        <f t="shared" si="4"/>
        <v>113322.83</v>
      </c>
      <c r="H158" s="45">
        <f t="shared" si="4"/>
        <v>133760.51</v>
      </c>
      <c r="I158" s="45">
        <f t="shared" si="4"/>
        <v>132789.79999999999</v>
      </c>
      <c r="J158" s="45">
        <f t="shared" si="4"/>
        <v>128811.20999999999</v>
      </c>
      <c r="K158" s="45">
        <f t="shared" si="4"/>
        <v>167187.60999999999</v>
      </c>
      <c r="L158" s="45">
        <f t="shared" si="4"/>
        <v>132198.88</v>
      </c>
      <c r="M158" s="45">
        <f t="shared" si="4"/>
        <v>125346.42</v>
      </c>
      <c r="N158" s="45">
        <f t="shared" si="4"/>
        <v>125558.13</v>
      </c>
      <c r="O158" s="45">
        <f t="shared" si="4"/>
        <v>125100.84999999999</v>
      </c>
      <c r="P158" s="45">
        <f t="shared" si="4"/>
        <v>125058.04</v>
      </c>
      <c r="Q158" s="310">
        <f t="shared" si="4"/>
        <v>1529007.29</v>
      </c>
      <c r="R158" s="45">
        <v>863980.97</v>
      </c>
      <c r="S158" s="39">
        <f>Q158/Summary!$Q$16</f>
        <v>4.5974409400638842E-2</v>
      </c>
      <c r="T158" s="61"/>
      <c r="U158" s="61"/>
      <c r="V158" s="360"/>
    </row>
    <row r="159" spans="1:22" s="19" customFormat="1" ht="24.75" customHeight="1">
      <c r="D159" s="21" t="s">
        <v>614</v>
      </c>
      <c r="E159" s="45">
        <f>+E12+E158</f>
        <v>202071.78999999998</v>
      </c>
      <c r="F159" s="45">
        <f t="shared" ref="F159:Q159" si="5">+F12+F158</f>
        <v>205822.81</v>
      </c>
      <c r="G159" s="45">
        <f t="shared" si="5"/>
        <v>200794.3</v>
      </c>
      <c r="H159" s="45">
        <f t="shared" si="5"/>
        <v>222627.25</v>
      </c>
      <c r="I159" s="45">
        <f t="shared" si="5"/>
        <v>221656.53999999998</v>
      </c>
      <c r="J159" s="45">
        <f t="shared" si="5"/>
        <v>217677.95</v>
      </c>
      <c r="K159" s="45">
        <f t="shared" si="5"/>
        <v>254659.08</v>
      </c>
      <c r="L159" s="45">
        <f t="shared" si="5"/>
        <v>219670.35</v>
      </c>
      <c r="M159" s="45">
        <f t="shared" si="5"/>
        <v>214213.16</v>
      </c>
      <c r="N159" s="45">
        <f t="shared" si="5"/>
        <v>225215.38</v>
      </c>
      <c r="O159" s="45">
        <f t="shared" si="5"/>
        <v>212572.32</v>
      </c>
      <c r="P159" s="45">
        <f t="shared" si="5"/>
        <v>212529.51</v>
      </c>
      <c r="Q159" s="45">
        <f t="shared" si="5"/>
        <v>2609510.44</v>
      </c>
      <c r="R159" s="45">
        <v>3141774.97</v>
      </c>
      <c r="S159" s="39">
        <f>Q159/Summary!$Q$16</f>
        <v>7.8463132313647238E-2</v>
      </c>
      <c r="T159" s="39"/>
      <c r="U159" s="315"/>
      <c r="V159" s="360"/>
    </row>
    <row r="160" spans="1:22" s="3" customFormat="1" ht="24.95" customHeight="1">
      <c r="A160" s="3" t="s">
        <v>615</v>
      </c>
      <c r="B160" s="3" t="s">
        <v>56</v>
      </c>
      <c r="D160" s="42" t="s">
        <v>351</v>
      </c>
      <c r="E160" s="82"/>
      <c r="F160" s="82"/>
      <c r="G160" s="74"/>
      <c r="H160" s="74"/>
      <c r="I160" s="74"/>
      <c r="J160" s="61"/>
      <c r="K160" s="61"/>
      <c r="L160" s="61"/>
      <c r="M160" s="61"/>
      <c r="N160" s="61"/>
      <c r="O160" s="61"/>
      <c r="P160" s="61"/>
      <c r="Q160" s="61"/>
      <c r="R160" s="61">
        <v>3483281.81</v>
      </c>
      <c r="U160" s="315"/>
      <c r="V160" s="360"/>
    </row>
    <row r="161" spans="1:22" s="3" customFormat="1" ht="24.95" customHeight="1">
      <c r="D161" s="42"/>
      <c r="E161" s="74"/>
      <c r="F161" s="74"/>
      <c r="G161" s="74"/>
      <c r="H161" s="74"/>
      <c r="I161" s="74"/>
      <c r="U161" s="315"/>
      <c r="V161" s="360"/>
    </row>
    <row r="162" spans="1:22" s="3" customFormat="1" ht="24.95" customHeight="1">
      <c r="D162" s="19" t="s">
        <v>618</v>
      </c>
      <c r="E162" s="48"/>
      <c r="F162" s="48"/>
      <c r="G162" s="48"/>
      <c r="H162" s="48"/>
      <c r="I162" s="48"/>
      <c r="U162" s="315"/>
      <c r="V162" s="360"/>
    </row>
    <row r="163" spans="1:22" s="3" customFormat="1" ht="24.95" customHeight="1">
      <c r="D163" s="19" t="s">
        <v>444</v>
      </c>
      <c r="E163" s="48"/>
      <c r="F163" s="48"/>
      <c r="G163" s="48"/>
      <c r="H163" s="48"/>
      <c r="I163" s="48"/>
      <c r="U163" s="315"/>
      <c r="V163" s="360"/>
    </row>
    <row r="164" spans="1:22" s="3" customFormat="1" ht="24.95" customHeight="1">
      <c r="A164" s="50" t="s">
        <v>295</v>
      </c>
      <c r="B164" s="51" t="s">
        <v>56</v>
      </c>
      <c r="D164" s="26" t="s">
        <v>297</v>
      </c>
      <c r="E164" s="63">
        <v>17540</v>
      </c>
      <c r="F164" s="61">
        <v>17540</v>
      </c>
      <c r="G164" s="61">
        <v>17540</v>
      </c>
      <c r="H164" s="61">
        <v>17540</v>
      </c>
      <c r="I164" s="61">
        <v>17540</v>
      </c>
      <c r="J164" s="61">
        <v>17540</v>
      </c>
      <c r="K164" s="61">
        <v>17540</v>
      </c>
      <c r="L164" s="61">
        <v>17540</v>
      </c>
      <c r="M164" s="61">
        <v>17540</v>
      </c>
      <c r="N164" s="61">
        <v>17540</v>
      </c>
      <c r="O164" s="61">
        <v>17540</v>
      </c>
      <c r="P164" s="61">
        <v>17540</v>
      </c>
      <c r="Q164" s="41">
        <f>SUM(E164:P164)</f>
        <v>210480</v>
      </c>
      <c r="R164" s="61">
        <v>507400.35</v>
      </c>
      <c r="S164" s="39">
        <f>Q164/Summary!$Q$16</f>
        <v>6.3287426776405123E-3</v>
      </c>
      <c r="T164" s="61"/>
      <c r="U164" s="315"/>
      <c r="V164" s="142"/>
    </row>
    <row r="165" spans="1:22" s="3" customFormat="1" ht="24.95" customHeight="1">
      <c r="A165" s="50" t="s">
        <v>298</v>
      </c>
      <c r="B165" s="51" t="s">
        <v>56</v>
      </c>
      <c r="D165" s="26" t="s">
        <v>447</v>
      </c>
      <c r="E165" s="63">
        <v>30000</v>
      </c>
      <c r="F165" s="61">
        <v>30000</v>
      </c>
      <c r="G165" s="61">
        <v>30000</v>
      </c>
      <c r="H165" s="61">
        <v>30000</v>
      </c>
      <c r="I165" s="61">
        <v>30000</v>
      </c>
      <c r="J165" s="61">
        <v>30000</v>
      </c>
      <c r="K165" s="61">
        <v>30000</v>
      </c>
      <c r="L165" s="61">
        <v>30000</v>
      </c>
      <c r="M165" s="61">
        <v>30000</v>
      </c>
      <c r="N165" s="61">
        <v>30000</v>
      </c>
      <c r="O165" s="61">
        <v>30000</v>
      </c>
      <c r="P165" s="61">
        <v>30000</v>
      </c>
      <c r="Q165" s="41">
        <f>SUM(E165:P165)</f>
        <v>360000</v>
      </c>
      <c r="R165" s="61">
        <v>763164.12</v>
      </c>
      <c r="S165" s="39">
        <f>Q165/Summary!$Q$16</f>
        <v>1.0824531375667922E-2</v>
      </c>
      <c r="T165" s="61"/>
      <c r="U165" s="315"/>
      <c r="V165" s="142"/>
    </row>
    <row r="166" spans="1:22" s="3" customFormat="1" ht="24.95" customHeight="1">
      <c r="B166" s="51"/>
      <c r="D166" s="21" t="s">
        <v>450</v>
      </c>
      <c r="E166" s="52">
        <f>SUM(E164:E165)</f>
        <v>47540</v>
      </c>
      <c r="F166" s="52">
        <f t="shared" ref="F166:P166" si="6">SUM(F164:F165)</f>
        <v>47540</v>
      </c>
      <c r="G166" s="52">
        <f t="shared" si="6"/>
        <v>47540</v>
      </c>
      <c r="H166" s="52">
        <f t="shared" si="6"/>
        <v>47540</v>
      </c>
      <c r="I166" s="52">
        <f t="shared" si="6"/>
        <v>47540</v>
      </c>
      <c r="J166" s="52">
        <f t="shared" si="6"/>
        <v>47540</v>
      </c>
      <c r="K166" s="52">
        <f t="shared" si="6"/>
        <v>47540</v>
      </c>
      <c r="L166" s="52">
        <f t="shared" si="6"/>
        <v>47540</v>
      </c>
      <c r="M166" s="52">
        <f t="shared" si="6"/>
        <v>47540</v>
      </c>
      <c r="N166" s="52">
        <f t="shared" si="6"/>
        <v>47540</v>
      </c>
      <c r="O166" s="52">
        <f t="shared" si="6"/>
        <v>47540</v>
      </c>
      <c r="P166" s="52">
        <f t="shared" si="6"/>
        <v>47540</v>
      </c>
      <c r="Q166" s="52">
        <f t="shared" ref="Q166" si="7">SUM(Q164:Q165)</f>
        <v>570480</v>
      </c>
      <c r="R166" s="52">
        <v>1270564.47</v>
      </c>
      <c r="S166" s="39">
        <f>Q166/Summary!$Q$16</f>
        <v>1.7153274053308434E-2</v>
      </c>
      <c r="T166" s="61"/>
      <c r="U166" s="315"/>
      <c r="V166" s="142"/>
    </row>
    <row r="167" spans="1:22" s="3" customFormat="1" ht="24.95" customHeight="1">
      <c r="B167" s="51"/>
      <c r="E167" s="53"/>
      <c r="F167" s="53"/>
      <c r="G167" s="53"/>
      <c r="H167" s="53"/>
      <c r="I167" s="53"/>
      <c r="J167" s="53"/>
      <c r="K167" s="53"/>
      <c r="L167" s="53"/>
      <c r="M167" s="53"/>
      <c r="N167" s="53"/>
      <c r="O167" s="53"/>
      <c r="P167" s="53"/>
      <c r="T167" s="315"/>
      <c r="U167" s="315"/>
      <c r="V167" s="142"/>
    </row>
    <row r="168" spans="1:22" s="3" customFormat="1" ht="24.95" customHeight="1">
      <c r="A168" s="271" t="s">
        <v>619</v>
      </c>
      <c r="B168" s="51" t="s">
        <v>56</v>
      </c>
      <c r="D168" s="26" t="s">
        <v>307</v>
      </c>
      <c r="E168" s="63">
        <v>5024</v>
      </c>
      <c r="F168" s="61">
        <v>15071.999999999996</v>
      </c>
      <c r="G168" s="61">
        <v>4000</v>
      </c>
      <c r="H168" s="61">
        <v>5149.5999999999995</v>
      </c>
      <c r="I168" s="61">
        <v>5149.5999999999995</v>
      </c>
      <c r="J168" s="61">
        <v>5149.5999999999995</v>
      </c>
      <c r="K168" s="61">
        <v>4000</v>
      </c>
      <c r="L168" s="61">
        <v>4000</v>
      </c>
      <c r="M168" s="61">
        <v>5149.5999999999995</v>
      </c>
      <c r="N168" s="61">
        <v>15448.799999999997</v>
      </c>
      <c r="O168" s="61">
        <v>4000</v>
      </c>
      <c r="P168" s="61">
        <v>4000</v>
      </c>
      <c r="Q168" s="41">
        <f>SUM(E168:P168)</f>
        <v>76143.199999999997</v>
      </c>
      <c r="R168" s="61">
        <v>41327.96</v>
      </c>
      <c r="S168" s="39">
        <f>Q168/Summary!$Q$16</f>
        <v>2.2894846040104381E-3</v>
      </c>
      <c r="T168" s="61"/>
      <c r="U168" s="315"/>
      <c r="V168" s="142"/>
    </row>
    <row r="169" spans="1:22" s="3" customFormat="1" ht="24.95" customHeight="1">
      <c r="A169" s="54" t="s">
        <v>308</v>
      </c>
      <c r="B169" s="51" t="s">
        <v>56</v>
      </c>
      <c r="D169" s="26" t="s">
        <v>309</v>
      </c>
      <c r="E169" s="63">
        <f>ROUND(E166/12*1.5,2)</f>
        <v>5942.5</v>
      </c>
      <c r="F169" s="63">
        <f t="shared" ref="F169:P169" si="8">ROUND(F166/12*1.5,2)</f>
        <v>5942.5</v>
      </c>
      <c r="G169" s="63">
        <f t="shared" si="8"/>
        <v>5942.5</v>
      </c>
      <c r="H169" s="63">
        <f t="shared" si="8"/>
        <v>5942.5</v>
      </c>
      <c r="I169" s="63">
        <f t="shared" si="8"/>
        <v>5942.5</v>
      </c>
      <c r="J169" s="63">
        <f t="shared" si="8"/>
        <v>5942.5</v>
      </c>
      <c r="K169" s="63">
        <f t="shared" si="8"/>
        <v>5942.5</v>
      </c>
      <c r="L169" s="63">
        <f t="shared" si="8"/>
        <v>5942.5</v>
      </c>
      <c r="M169" s="63">
        <f t="shared" si="8"/>
        <v>5942.5</v>
      </c>
      <c r="N169" s="63">
        <f t="shared" si="8"/>
        <v>5942.5</v>
      </c>
      <c r="O169" s="63">
        <f t="shared" si="8"/>
        <v>5942.5</v>
      </c>
      <c r="P169" s="63">
        <f t="shared" si="8"/>
        <v>5942.5</v>
      </c>
      <c r="Q169" s="41">
        <f t="shared" ref="Q169:Q174" si="9">SUM(E169:P169)</f>
        <v>71310</v>
      </c>
      <c r="R169" s="61">
        <v>180141.06</v>
      </c>
      <c r="S169" s="39">
        <f>Q169/Summary!$Q$16</f>
        <v>2.1441592566635542E-3</v>
      </c>
      <c r="T169" s="61"/>
      <c r="U169" s="315"/>
      <c r="V169" s="142"/>
    </row>
    <row r="170" spans="1:22" s="3" customFormat="1" ht="24.95" customHeight="1">
      <c r="A170" s="271" t="s">
        <v>620</v>
      </c>
      <c r="B170" s="51" t="s">
        <v>56</v>
      </c>
      <c r="D170" s="26" t="s">
        <v>311</v>
      </c>
      <c r="E170" s="63">
        <v>1700</v>
      </c>
      <c r="F170" s="61">
        <v>1700</v>
      </c>
      <c r="G170" s="61">
        <v>1700</v>
      </c>
      <c r="H170" s="61">
        <v>1700</v>
      </c>
      <c r="I170" s="61">
        <v>1700</v>
      </c>
      <c r="J170" s="61">
        <v>1700</v>
      </c>
      <c r="K170" s="61">
        <v>1700</v>
      </c>
      <c r="L170" s="61">
        <v>1700</v>
      </c>
      <c r="M170" s="61">
        <v>1700</v>
      </c>
      <c r="N170" s="61">
        <v>1700</v>
      </c>
      <c r="O170" s="61">
        <v>1700</v>
      </c>
      <c r="P170" s="61">
        <v>1700</v>
      </c>
      <c r="Q170" s="41">
        <f t="shared" si="9"/>
        <v>20400</v>
      </c>
      <c r="R170" s="61">
        <v>12560</v>
      </c>
      <c r="S170" s="39">
        <f>Q170/Summary!$Q$16</f>
        <v>6.1339011128784895E-4</v>
      </c>
      <c r="T170" s="61"/>
      <c r="U170" s="315"/>
      <c r="V170" s="142"/>
    </row>
    <row r="171" spans="1:22" s="3" customFormat="1" ht="24.95" customHeight="1">
      <c r="A171" s="271" t="s">
        <v>621</v>
      </c>
      <c r="B171" s="51" t="s">
        <v>56</v>
      </c>
      <c r="D171" s="26" t="s">
        <v>313</v>
      </c>
      <c r="E171" s="63"/>
      <c r="F171" s="61"/>
      <c r="G171" s="61"/>
      <c r="H171" s="61"/>
      <c r="I171" s="61"/>
      <c r="J171" s="61"/>
      <c r="K171" s="61"/>
      <c r="L171" s="61"/>
      <c r="M171" s="61"/>
      <c r="N171" s="61"/>
      <c r="O171" s="61"/>
      <c r="P171" s="61"/>
      <c r="Q171" s="41">
        <f t="shared" ref="Q171:Q172" si="10">SUM(E171:P171)</f>
        <v>0</v>
      </c>
      <c r="R171" s="61">
        <v>14000</v>
      </c>
      <c r="S171" s="39">
        <f>Q171/Summary!$Q$16</f>
        <v>0</v>
      </c>
      <c r="T171" s="61"/>
      <c r="U171" s="315"/>
      <c r="V171" s="142"/>
    </row>
    <row r="172" spans="1:22" s="3" customFormat="1" ht="24.95" customHeight="1">
      <c r="A172" s="271" t="s">
        <v>622</v>
      </c>
      <c r="B172" s="51" t="s">
        <v>56</v>
      </c>
      <c r="D172" s="26" t="s">
        <v>315</v>
      </c>
      <c r="E172" s="63"/>
      <c r="F172" s="61"/>
      <c r="G172" s="61"/>
      <c r="H172" s="61"/>
      <c r="I172" s="61"/>
      <c r="J172" s="61"/>
      <c r="K172" s="61"/>
      <c r="L172" s="61"/>
      <c r="M172" s="61"/>
      <c r="N172" s="61"/>
      <c r="O172" s="61"/>
      <c r="P172" s="61"/>
      <c r="Q172" s="41">
        <f t="shared" si="10"/>
        <v>0</v>
      </c>
      <c r="R172" s="61">
        <v>0</v>
      </c>
      <c r="S172" s="39">
        <f>Q172/Summary!$Q$16</f>
        <v>0</v>
      </c>
      <c r="T172" s="61"/>
      <c r="U172" s="315"/>
      <c r="V172" s="142"/>
    </row>
    <row r="173" spans="1:22" s="3" customFormat="1" ht="24.95" customHeight="1">
      <c r="A173" s="271" t="s">
        <v>1109</v>
      </c>
      <c r="B173" s="51" t="s">
        <v>56</v>
      </c>
      <c r="D173" s="26" t="s">
        <v>1113</v>
      </c>
      <c r="E173" s="63"/>
      <c r="F173" s="61"/>
      <c r="G173" s="61"/>
      <c r="H173" s="61"/>
      <c r="I173" s="61"/>
      <c r="J173" s="61"/>
      <c r="K173" s="61"/>
      <c r="L173" s="61"/>
      <c r="M173" s="61"/>
      <c r="N173" s="61"/>
      <c r="O173" s="61"/>
      <c r="P173" s="61"/>
      <c r="Q173" s="41">
        <f t="shared" si="9"/>
        <v>0</v>
      </c>
      <c r="R173" s="61">
        <v>14000</v>
      </c>
      <c r="S173" s="39">
        <f>Q173/Summary!$Q$16</f>
        <v>0</v>
      </c>
      <c r="T173" s="61"/>
      <c r="U173" s="315"/>
      <c r="V173" s="142"/>
    </row>
    <row r="174" spans="1:22" s="3" customFormat="1" ht="24.95" customHeight="1">
      <c r="A174" s="271" t="s">
        <v>1109</v>
      </c>
      <c r="B174" s="51" t="s">
        <v>56</v>
      </c>
      <c r="D174" s="26" t="s">
        <v>1114</v>
      </c>
      <c r="E174" s="63"/>
      <c r="F174" s="61"/>
      <c r="G174" s="61"/>
      <c r="H174" s="61"/>
      <c r="I174" s="61"/>
      <c r="J174" s="61"/>
      <c r="K174" s="61"/>
      <c r="L174" s="61"/>
      <c r="M174" s="61"/>
      <c r="N174" s="61"/>
      <c r="O174" s="61"/>
      <c r="P174" s="61"/>
      <c r="Q174" s="41">
        <f t="shared" si="9"/>
        <v>0</v>
      </c>
      <c r="R174" s="61">
        <v>0</v>
      </c>
      <c r="S174" s="39">
        <f>Q174/Summary!$Q$16</f>
        <v>0</v>
      </c>
      <c r="T174" s="61"/>
      <c r="U174" s="315"/>
      <c r="V174" s="142"/>
    </row>
    <row r="175" spans="1:22" s="19" customFormat="1" ht="24.95" customHeight="1">
      <c r="A175" s="54"/>
      <c r="B175" s="51"/>
      <c r="D175" s="19" t="s">
        <v>316</v>
      </c>
      <c r="E175" s="52">
        <f>SUM(E168:E174)</f>
        <v>12666.5</v>
      </c>
      <c r="F175" s="52">
        <f t="shared" ref="F175:P175" si="11">SUM(F168:F174)</f>
        <v>22714.499999999996</v>
      </c>
      <c r="G175" s="52">
        <f t="shared" si="11"/>
        <v>11642.5</v>
      </c>
      <c r="H175" s="52">
        <f t="shared" si="11"/>
        <v>12792.099999999999</v>
      </c>
      <c r="I175" s="52">
        <f t="shared" si="11"/>
        <v>12792.099999999999</v>
      </c>
      <c r="J175" s="52">
        <f t="shared" si="11"/>
        <v>12792.099999999999</v>
      </c>
      <c r="K175" s="52">
        <f t="shared" si="11"/>
        <v>11642.5</v>
      </c>
      <c r="L175" s="52">
        <f t="shared" si="11"/>
        <v>11642.5</v>
      </c>
      <c r="M175" s="52">
        <f t="shared" si="11"/>
        <v>12792.099999999999</v>
      </c>
      <c r="N175" s="52">
        <f t="shared" si="11"/>
        <v>23091.299999999996</v>
      </c>
      <c r="O175" s="52">
        <f t="shared" si="11"/>
        <v>11642.5</v>
      </c>
      <c r="P175" s="52">
        <f t="shared" si="11"/>
        <v>11642.5</v>
      </c>
      <c r="Q175" s="52">
        <f t="shared" ref="Q175" si="12">SUM(Q168:Q174)</f>
        <v>167853.2</v>
      </c>
      <c r="R175" s="52">
        <v>248029.02</v>
      </c>
      <c r="S175" s="39">
        <f>Q175/Summary!$Q$16</f>
        <v>5.047033971961842E-3</v>
      </c>
      <c r="T175" s="61"/>
      <c r="U175" s="315"/>
      <c r="V175" s="142"/>
    </row>
    <row r="176" spans="1:22" s="3" customFormat="1" ht="24.95" customHeight="1">
      <c r="A176" s="50"/>
      <c r="D176" s="19"/>
      <c r="E176" s="53"/>
      <c r="F176" s="53"/>
      <c r="G176" s="53"/>
      <c r="H176" s="25"/>
      <c r="I176" s="25"/>
      <c r="T176" s="315"/>
      <c r="U176" s="315"/>
      <c r="V176" s="142"/>
    </row>
    <row r="177" spans="1:22" s="3" customFormat="1" ht="24.95" customHeight="1">
      <c r="A177" s="271" t="s">
        <v>625</v>
      </c>
      <c r="B177" s="51" t="s">
        <v>56</v>
      </c>
      <c r="D177" s="26" t="s">
        <v>318</v>
      </c>
      <c r="E177" s="63">
        <v>7786.24</v>
      </c>
      <c r="F177" s="63">
        <v>7786.24</v>
      </c>
      <c r="G177" s="63">
        <v>7786.24</v>
      </c>
      <c r="H177" s="63">
        <v>7786.24</v>
      </c>
      <c r="I177" s="63">
        <v>7786.24</v>
      </c>
      <c r="J177" s="63">
        <v>7786.24</v>
      </c>
      <c r="K177" s="63">
        <v>7786.24</v>
      </c>
      <c r="L177" s="63">
        <v>7786.24</v>
      </c>
      <c r="M177" s="63">
        <v>7786.24</v>
      </c>
      <c r="N177" s="63">
        <v>7786.24</v>
      </c>
      <c r="O177" s="63">
        <v>7786.24</v>
      </c>
      <c r="P177" s="63">
        <v>7786.24</v>
      </c>
      <c r="Q177" s="41">
        <f>SUM(E177:P177)</f>
        <v>93434.880000000005</v>
      </c>
      <c r="R177" s="61">
        <v>157306.07</v>
      </c>
      <c r="S177" s="39">
        <f>Q177/Summary!$Q$16</f>
        <v>2.8094133059493537E-3</v>
      </c>
      <c r="T177" s="61"/>
      <c r="U177" s="315"/>
      <c r="V177" s="142"/>
    </row>
    <row r="178" spans="1:22" s="3" customFormat="1" ht="24.95" customHeight="1">
      <c r="A178" s="271" t="s">
        <v>626</v>
      </c>
      <c r="B178" s="51" t="s">
        <v>56</v>
      </c>
      <c r="D178" s="26" t="s">
        <v>320</v>
      </c>
      <c r="E178" s="63">
        <v>3406.48</v>
      </c>
      <c r="F178" s="63">
        <v>3406.48</v>
      </c>
      <c r="G178" s="63">
        <v>3406.48</v>
      </c>
      <c r="H178" s="63">
        <v>3406.48</v>
      </c>
      <c r="I178" s="63">
        <v>3406.48</v>
      </c>
      <c r="J178" s="63">
        <v>3406.48</v>
      </c>
      <c r="K178" s="63">
        <v>3406.48</v>
      </c>
      <c r="L178" s="63">
        <v>3406.48</v>
      </c>
      <c r="M178" s="63">
        <v>3406.48</v>
      </c>
      <c r="N178" s="63">
        <v>3406.48</v>
      </c>
      <c r="O178" s="63">
        <v>3406.48</v>
      </c>
      <c r="P178" s="63">
        <v>3406.48</v>
      </c>
      <c r="Q178" s="41">
        <f t="shared" ref="Q178:Q184" si="13">SUM(E178:P178)</f>
        <v>40877.760000000009</v>
      </c>
      <c r="R178" s="61">
        <v>118934.63</v>
      </c>
      <c r="S178" s="39">
        <f>Q178/Summary!$Q$16</f>
        <v>1.2291183213528425E-3</v>
      </c>
      <c r="T178" s="61"/>
      <c r="U178" s="315"/>
      <c r="V178" s="142"/>
    </row>
    <row r="179" spans="1:22" s="3" customFormat="1" ht="24.95" customHeight="1">
      <c r="A179" s="271" t="s">
        <v>627</v>
      </c>
      <c r="B179" s="51" t="s">
        <v>56</v>
      </c>
      <c r="D179" s="26" t="s">
        <v>322</v>
      </c>
      <c r="E179" s="63">
        <v>243.32</v>
      </c>
      <c r="F179" s="63">
        <v>243.32</v>
      </c>
      <c r="G179" s="63">
        <v>243.32</v>
      </c>
      <c r="H179" s="63">
        <v>243.32</v>
      </c>
      <c r="I179" s="63">
        <v>243.32</v>
      </c>
      <c r="J179" s="63">
        <v>243.32</v>
      </c>
      <c r="K179" s="63">
        <v>243.32</v>
      </c>
      <c r="L179" s="63">
        <v>243.32</v>
      </c>
      <c r="M179" s="63">
        <v>243.32</v>
      </c>
      <c r="N179" s="63">
        <v>243.32</v>
      </c>
      <c r="O179" s="63">
        <v>243.32</v>
      </c>
      <c r="P179" s="63">
        <v>243.32</v>
      </c>
      <c r="Q179" s="41">
        <f t="shared" si="13"/>
        <v>2919.84</v>
      </c>
      <c r="R179" s="61">
        <v>6483.62</v>
      </c>
      <c r="S179" s="39">
        <f>Q179/Summary!$Q$16</f>
        <v>8.7794165810917304E-5</v>
      </c>
      <c r="T179" s="61"/>
      <c r="U179" s="315"/>
      <c r="V179" s="142"/>
    </row>
    <row r="180" spans="1:22" s="3" customFormat="1" ht="24.95" customHeight="1">
      <c r="A180" s="271" t="s">
        <v>628</v>
      </c>
      <c r="B180" s="51" t="s">
        <v>56</v>
      </c>
      <c r="D180" s="26" t="s">
        <v>324</v>
      </c>
      <c r="E180" s="63">
        <v>194.65999999999997</v>
      </c>
      <c r="F180" s="63">
        <v>194.65999999999997</v>
      </c>
      <c r="G180" s="63">
        <v>194.65999999999997</v>
      </c>
      <c r="H180" s="63">
        <v>194.65999999999997</v>
      </c>
      <c r="I180" s="63">
        <v>194.65999999999997</v>
      </c>
      <c r="J180" s="63">
        <v>194.65999999999997</v>
      </c>
      <c r="K180" s="63">
        <v>194.65999999999997</v>
      </c>
      <c r="L180" s="63">
        <v>194.65999999999997</v>
      </c>
      <c r="M180" s="63">
        <v>194.65999999999997</v>
      </c>
      <c r="N180" s="63">
        <v>194.65999999999997</v>
      </c>
      <c r="O180" s="63">
        <v>194.65999999999997</v>
      </c>
      <c r="P180" s="63">
        <v>194.65999999999997</v>
      </c>
      <c r="Q180" s="41">
        <f t="shared" si="13"/>
        <v>2335.9199999999992</v>
      </c>
      <c r="R180" s="61">
        <v>3256.16</v>
      </c>
      <c r="S180" s="39">
        <f>Q180/Summary!$Q$16</f>
        <v>7.0236775919583911E-5</v>
      </c>
      <c r="T180" s="61"/>
      <c r="U180" s="315"/>
      <c r="V180" s="142"/>
    </row>
    <row r="181" spans="1:22" s="3" customFormat="1" ht="24.95" customHeight="1">
      <c r="A181" s="271" t="s">
        <v>629</v>
      </c>
      <c r="B181" s="51" t="s">
        <v>56</v>
      </c>
      <c r="D181" s="26" t="s">
        <v>326</v>
      </c>
      <c r="E181" s="63">
        <v>389.30999999999995</v>
      </c>
      <c r="F181" s="63">
        <v>389.30999999999995</v>
      </c>
      <c r="G181" s="63">
        <v>389.30999999999995</v>
      </c>
      <c r="H181" s="63">
        <v>389.30999999999995</v>
      </c>
      <c r="I181" s="63">
        <v>389.30999999999995</v>
      </c>
      <c r="J181" s="63">
        <v>389.30999999999995</v>
      </c>
      <c r="K181" s="63">
        <v>389.30999999999995</v>
      </c>
      <c r="L181" s="63">
        <v>389.30999999999995</v>
      </c>
      <c r="M181" s="63">
        <v>389.30999999999995</v>
      </c>
      <c r="N181" s="63">
        <v>389.30999999999995</v>
      </c>
      <c r="O181" s="63">
        <v>389.30999999999995</v>
      </c>
      <c r="P181" s="63">
        <v>389.30999999999995</v>
      </c>
      <c r="Q181" s="41">
        <f t="shared" si="13"/>
        <v>4671.7199999999993</v>
      </c>
      <c r="R181" s="61">
        <v>12101.47</v>
      </c>
      <c r="S181" s="39">
        <f>Q181/Summary!$Q$16</f>
        <v>1.404699436620426E-4</v>
      </c>
      <c r="T181" s="61"/>
      <c r="U181" s="315"/>
      <c r="V181" s="142"/>
    </row>
    <row r="182" spans="1:22" s="3" customFormat="1" ht="24.95" customHeight="1">
      <c r="A182" s="271" t="s">
        <v>630</v>
      </c>
      <c r="B182" s="51" t="s">
        <v>56</v>
      </c>
      <c r="D182" s="26" t="s">
        <v>328</v>
      </c>
      <c r="E182" s="63">
        <v>4706</v>
      </c>
      <c r="F182" s="63">
        <v>4706</v>
      </c>
      <c r="G182" s="63">
        <v>4706</v>
      </c>
      <c r="H182" s="63">
        <v>4706</v>
      </c>
      <c r="I182" s="63">
        <v>4706</v>
      </c>
      <c r="J182" s="63">
        <v>4706</v>
      </c>
      <c r="K182" s="63">
        <v>4706</v>
      </c>
      <c r="L182" s="63">
        <v>4706</v>
      </c>
      <c r="M182" s="63">
        <v>4706</v>
      </c>
      <c r="N182" s="63">
        <v>4706</v>
      </c>
      <c r="O182" s="63">
        <v>4706</v>
      </c>
      <c r="P182" s="63">
        <v>4706</v>
      </c>
      <c r="Q182" s="41">
        <f t="shared" si="13"/>
        <v>56472</v>
      </c>
      <c r="R182" s="61">
        <v>146035.75</v>
      </c>
      <c r="S182" s="39">
        <f>Q182/Summary!$Q$16</f>
        <v>1.6980081551297749E-3</v>
      </c>
      <c r="T182" s="61"/>
      <c r="U182" s="315"/>
      <c r="V182" s="142"/>
    </row>
    <row r="183" spans="1:22" s="3" customFormat="1" ht="24.95" customHeight="1">
      <c r="A183" s="271" t="s">
        <v>631</v>
      </c>
      <c r="B183" s="51" t="s">
        <v>56</v>
      </c>
      <c r="D183" s="26" t="s">
        <v>330</v>
      </c>
      <c r="E183" s="63">
        <f>ROUND(E166*0.02,2)</f>
        <v>950.8</v>
      </c>
      <c r="F183" s="63">
        <f t="shared" ref="F183:P183" si="14">ROUND(F166*0.02,2)</f>
        <v>950.8</v>
      </c>
      <c r="G183" s="63">
        <f t="shared" si="14"/>
        <v>950.8</v>
      </c>
      <c r="H183" s="63">
        <f t="shared" si="14"/>
        <v>950.8</v>
      </c>
      <c r="I183" s="63">
        <f t="shared" si="14"/>
        <v>950.8</v>
      </c>
      <c r="J183" s="63">
        <f t="shared" si="14"/>
        <v>950.8</v>
      </c>
      <c r="K183" s="63">
        <f t="shared" si="14"/>
        <v>950.8</v>
      </c>
      <c r="L183" s="63">
        <f t="shared" si="14"/>
        <v>950.8</v>
      </c>
      <c r="M183" s="63">
        <f t="shared" si="14"/>
        <v>950.8</v>
      </c>
      <c r="N183" s="63">
        <f t="shared" si="14"/>
        <v>950.8</v>
      </c>
      <c r="O183" s="63">
        <f t="shared" si="14"/>
        <v>950.8</v>
      </c>
      <c r="P183" s="63">
        <f t="shared" si="14"/>
        <v>950.8</v>
      </c>
      <c r="Q183" s="41">
        <f t="shared" si="13"/>
        <v>11409.599999999999</v>
      </c>
      <c r="R183" s="61">
        <v>0</v>
      </c>
      <c r="S183" s="39">
        <f>Q183/Summary!$Q$16</f>
        <v>3.4306548106616865E-4</v>
      </c>
      <c r="T183" s="61"/>
      <c r="U183" s="315"/>
      <c r="V183" s="142"/>
    </row>
    <row r="184" spans="1:22" s="3" customFormat="1" ht="24.95" customHeight="1">
      <c r="A184" s="271" t="s">
        <v>632</v>
      </c>
      <c r="B184" s="51" t="s">
        <v>56</v>
      </c>
      <c r="D184" s="26" t="s">
        <v>332</v>
      </c>
      <c r="E184" s="63">
        <v>0</v>
      </c>
      <c r="F184" s="63"/>
      <c r="G184" s="63"/>
      <c r="H184" s="63"/>
      <c r="I184" s="63"/>
      <c r="J184" s="63"/>
      <c r="K184" s="63"/>
      <c r="L184" s="63"/>
      <c r="M184" s="63"/>
      <c r="N184" s="63"/>
      <c r="O184" s="63"/>
      <c r="P184" s="63"/>
      <c r="Q184" s="41">
        <f t="shared" si="13"/>
        <v>0</v>
      </c>
      <c r="R184" s="61">
        <v>0</v>
      </c>
      <c r="S184" s="39">
        <f>Q184/Summary!$Q$16</f>
        <v>0</v>
      </c>
      <c r="T184" s="61"/>
      <c r="U184" s="315"/>
      <c r="V184" s="142"/>
    </row>
    <row r="185" spans="1:22" s="19" customFormat="1" ht="24.95" customHeight="1">
      <c r="A185" s="54"/>
      <c r="B185" s="51"/>
      <c r="D185" s="19" t="s">
        <v>333</v>
      </c>
      <c r="E185" s="45">
        <f>SUM(E177:E184)</f>
        <v>17676.809999999998</v>
      </c>
      <c r="F185" s="45">
        <f t="shared" ref="F185:P185" si="15">SUM(F177:F184)</f>
        <v>17676.809999999998</v>
      </c>
      <c r="G185" s="45">
        <f t="shared" si="15"/>
        <v>17676.809999999998</v>
      </c>
      <c r="H185" s="45">
        <f t="shared" si="15"/>
        <v>17676.809999999998</v>
      </c>
      <c r="I185" s="45">
        <f t="shared" si="15"/>
        <v>17676.809999999998</v>
      </c>
      <c r="J185" s="45">
        <f t="shared" si="15"/>
        <v>17676.809999999998</v>
      </c>
      <c r="K185" s="45">
        <f t="shared" si="15"/>
        <v>17676.809999999998</v>
      </c>
      <c r="L185" s="45">
        <f t="shared" si="15"/>
        <v>17676.809999999998</v>
      </c>
      <c r="M185" s="45">
        <f t="shared" si="15"/>
        <v>17676.809999999998</v>
      </c>
      <c r="N185" s="45">
        <f t="shared" si="15"/>
        <v>17676.809999999998</v>
      </c>
      <c r="O185" s="45">
        <f t="shared" si="15"/>
        <v>17676.809999999998</v>
      </c>
      <c r="P185" s="45">
        <f t="shared" si="15"/>
        <v>17676.809999999998</v>
      </c>
      <c r="Q185" s="45">
        <f t="shared" ref="Q185" si="16">SUM(Q177:Q184)</f>
        <v>212121.72000000003</v>
      </c>
      <c r="R185" s="45">
        <v>444117.7</v>
      </c>
      <c r="S185" s="39">
        <f>Q185/Summary!$Q$16</f>
        <v>6.3781061488906842E-3</v>
      </c>
      <c r="T185" s="61"/>
      <c r="U185" s="315"/>
      <c r="V185" s="142"/>
    </row>
    <row r="186" spans="1:22" s="19" customFormat="1" ht="24.75" customHeight="1">
      <c r="A186" s="54"/>
      <c r="B186" s="51"/>
      <c r="D186" s="21"/>
      <c r="E186" s="55"/>
      <c r="F186" s="55"/>
      <c r="G186" s="55"/>
      <c r="H186" s="57"/>
      <c r="I186" s="57"/>
      <c r="T186" s="341"/>
      <c r="U186" s="315"/>
      <c r="V186" s="142"/>
    </row>
    <row r="187" spans="1:22" s="3" customFormat="1" ht="24.95" hidden="1" customHeight="1">
      <c r="A187" s="271" t="s">
        <v>633</v>
      </c>
      <c r="B187" s="51" t="s">
        <v>56</v>
      </c>
      <c r="D187" s="26" t="s">
        <v>335</v>
      </c>
      <c r="E187" s="63">
        <v>0</v>
      </c>
      <c r="F187" s="43">
        <v>0</v>
      </c>
      <c r="G187" s="63">
        <v>0</v>
      </c>
      <c r="H187" s="60">
        <v>0</v>
      </c>
      <c r="I187" s="60">
        <v>0</v>
      </c>
      <c r="J187" s="61">
        <v>0</v>
      </c>
      <c r="K187" s="61">
        <v>0</v>
      </c>
      <c r="L187" s="61">
        <v>0</v>
      </c>
      <c r="M187" s="61"/>
      <c r="N187" s="61"/>
      <c r="O187" s="61"/>
      <c r="P187" s="61"/>
      <c r="Q187" s="41">
        <f>SUM(E187:P187)</f>
        <v>0</v>
      </c>
      <c r="R187" s="61">
        <v>0</v>
      </c>
      <c r="T187" s="315"/>
      <c r="U187" s="315"/>
      <c r="V187" s="142"/>
    </row>
    <row r="188" spans="1:22" s="3" customFormat="1" ht="24.95" hidden="1" customHeight="1">
      <c r="A188" s="271" t="s">
        <v>634</v>
      </c>
      <c r="B188" s="51" t="s">
        <v>56</v>
      </c>
      <c r="D188" s="3" t="s">
        <v>337</v>
      </c>
      <c r="E188" s="63">
        <v>0</v>
      </c>
      <c r="F188" s="43">
        <v>0</v>
      </c>
      <c r="G188" s="63">
        <v>0</v>
      </c>
      <c r="H188" s="60">
        <v>0</v>
      </c>
      <c r="I188" s="60">
        <v>0</v>
      </c>
      <c r="J188" s="61">
        <v>0</v>
      </c>
      <c r="K188" s="61">
        <v>0</v>
      </c>
      <c r="L188" s="61">
        <v>0</v>
      </c>
      <c r="M188" s="61"/>
      <c r="N188" s="61"/>
      <c r="O188" s="61"/>
      <c r="P188" s="61"/>
      <c r="Q188" s="41">
        <f t="shared" ref="Q188:Q193" si="17">SUM(E188:P188)</f>
        <v>0</v>
      </c>
      <c r="R188" s="61">
        <v>0</v>
      </c>
      <c r="T188" s="315"/>
      <c r="U188" s="315"/>
      <c r="V188" s="142"/>
    </row>
    <row r="189" spans="1:22" s="3" customFormat="1" ht="24.95" hidden="1" customHeight="1">
      <c r="A189" s="271" t="s">
        <v>635</v>
      </c>
      <c r="B189" s="51" t="s">
        <v>56</v>
      </c>
      <c r="D189" s="26" t="s">
        <v>339</v>
      </c>
      <c r="E189" s="63">
        <v>0</v>
      </c>
      <c r="F189" s="43">
        <v>0</v>
      </c>
      <c r="G189" s="63">
        <v>0</v>
      </c>
      <c r="H189" s="60">
        <v>0</v>
      </c>
      <c r="I189" s="60">
        <v>0</v>
      </c>
      <c r="J189" s="61">
        <v>0</v>
      </c>
      <c r="K189" s="61">
        <v>0</v>
      </c>
      <c r="L189" s="61">
        <v>0</v>
      </c>
      <c r="M189" s="61"/>
      <c r="N189" s="61"/>
      <c r="O189" s="61"/>
      <c r="P189" s="61"/>
      <c r="Q189" s="41">
        <f t="shared" si="17"/>
        <v>0</v>
      </c>
      <c r="R189" s="61">
        <v>0</v>
      </c>
      <c r="T189" s="315"/>
      <c r="U189" s="315"/>
      <c r="V189" s="142"/>
    </row>
    <row r="190" spans="1:22" s="3" customFormat="1" ht="24.95" hidden="1" customHeight="1">
      <c r="A190" s="271" t="s">
        <v>636</v>
      </c>
      <c r="B190" s="51" t="s">
        <v>56</v>
      </c>
      <c r="D190" s="26" t="s">
        <v>341</v>
      </c>
      <c r="E190" s="63">
        <v>0</v>
      </c>
      <c r="F190" s="43">
        <v>0</v>
      </c>
      <c r="G190" s="63">
        <v>0</v>
      </c>
      <c r="H190" s="60">
        <v>0</v>
      </c>
      <c r="I190" s="60">
        <v>0</v>
      </c>
      <c r="J190" s="61">
        <v>0</v>
      </c>
      <c r="K190" s="61">
        <v>0</v>
      </c>
      <c r="L190" s="61">
        <v>0</v>
      </c>
      <c r="M190" s="61"/>
      <c r="N190" s="61"/>
      <c r="O190" s="61"/>
      <c r="P190" s="61"/>
      <c r="Q190" s="41">
        <f t="shared" si="17"/>
        <v>0</v>
      </c>
      <c r="R190" s="61">
        <v>0</v>
      </c>
      <c r="T190" s="315"/>
      <c r="U190" s="315"/>
      <c r="V190" s="142"/>
    </row>
    <row r="191" spans="1:22" s="3" customFormat="1" ht="24.95" customHeight="1">
      <c r="A191" s="271" t="s">
        <v>637</v>
      </c>
      <c r="B191" s="51" t="s">
        <v>56</v>
      </c>
      <c r="D191" s="26" t="s">
        <v>343</v>
      </c>
      <c r="E191" s="63"/>
      <c r="F191" s="61"/>
      <c r="G191" s="27"/>
      <c r="H191" s="61"/>
      <c r="I191" s="61"/>
      <c r="J191" s="61"/>
      <c r="K191" s="61"/>
      <c r="L191" s="61"/>
      <c r="M191" s="61"/>
      <c r="N191" s="61"/>
      <c r="O191" s="61"/>
      <c r="P191" s="61"/>
      <c r="Q191" s="41">
        <f t="shared" si="17"/>
        <v>0</v>
      </c>
      <c r="R191" s="61">
        <v>42861.38</v>
      </c>
      <c r="S191" s="39">
        <f>Q191/Summary!$Q$16</f>
        <v>0</v>
      </c>
      <c r="T191" s="61"/>
      <c r="U191" s="315"/>
      <c r="V191" s="142"/>
    </row>
    <row r="192" spans="1:22" s="3" customFormat="1" ht="24.95" customHeight="1">
      <c r="A192" s="271" t="s">
        <v>344</v>
      </c>
      <c r="B192" s="51" t="s">
        <v>56</v>
      </c>
      <c r="D192" s="26" t="s">
        <v>345</v>
      </c>
      <c r="E192" s="63"/>
      <c r="F192" s="61"/>
      <c r="G192" s="61"/>
      <c r="H192" s="61"/>
      <c r="I192" s="61"/>
      <c r="J192" s="61"/>
      <c r="K192" s="61"/>
      <c r="L192" s="61"/>
      <c r="M192" s="61"/>
      <c r="N192" s="61"/>
      <c r="O192" s="61"/>
      <c r="P192" s="61"/>
      <c r="Q192" s="41">
        <f t="shared" si="17"/>
        <v>0</v>
      </c>
      <c r="R192" s="61">
        <v>11767.74</v>
      </c>
      <c r="S192" s="39">
        <f>Q192/Summary!$Q$16</f>
        <v>0</v>
      </c>
      <c r="T192" s="61"/>
      <c r="U192" s="315"/>
      <c r="V192" s="142"/>
    </row>
    <row r="193" spans="1:22" s="3" customFormat="1" ht="24.95" customHeight="1">
      <c r="A193" s="3" t="s">
        <v>640</v>
      </c>
      <c r="B193" s="51" t="s">
        <v>56</v>
      </c>
      <c r="D193" s="26" t="s">
        <v>347</v>
      </c>
      <c r="E193" s="63">
        <f>'Staff Canteen'!E212</f>
        <v>10857.83</v>
      </c>
      <c r="F193" s="63">
        <f>'Staff Canteen'!F212</f>
        <v>11349.14</v>
      </c>
      <c r="G193" s="63">
        <f>'Staff Canteen'!G212</f>
        <v>10612.16</v>
      </c>
      <c r="H193" s="63">
        <f>'Staff Canteen'!H212</f>
        <v>10857.83</v>
      </c>
      <c r="I193" s="63">
        <f>'Staff Canteen'!I212</f>
        <v>10857.83</v>
      </c>
      <c r="J193" s="63">
        <f>'Staff Canteen'!J212</f>
        <v>10857.83</v>
      </c>
      <c r="K193" s="63">
        <f>'Staff Canteen'!K212</f>
        <v>10612.16</v>
      </c>
      <c r="L193" s="63">
        <f>'Staff Canteen'!L212</f>
        <v>10612.16</v>
      </c>
      <c r="M193" s="63">
        <f>'Staff Canteen'!M212</f>
        <v>10857.83</v>
      </c>
      <c r="N193" s="63">
        <f>'Staff Canteen'!N212</f>
        <v>11349.14</v>
      </c>
      <c r="O193" s="63">
        <f>'Staff Canteen'!O212</f>
        <v>10612.16</v>
      </c>
      <c r="P193" s="63">
        <f>'Staff Canteen'!P212</f>
        <v>10612.16</v>
      </c>
      <c r="Q193" s="41">
        <f t="shared" si="17"/>
        <v>130048.23000000003</v>
      </c>
      <c r="R193" s="61">
        <v>260453.69</v>
      </c>
      <c r="S193" s="39">
        <f>Q193/Summary!$Q$16</f>
        <v>3.9103087388474411E-3</v>
      </c>
      <c r="T193" s="61"/>
      <c r="U193" s="315"/>
      <c r="V193" s="142"/>
    </row>
    <row r="194" spans="1:22" s="3" customFormat="1" ht="24.95" customHeight="1">
      <c r="A194" s="54"/>
      <c r="B194" s="51"/>
      <c r="D194" s="19" t="s">
        <v>348</v>
      </c>
      <c r="E194" s="52">
        <f>SUM(E187:E193)</f>
        <v>10857.83</v>
      </c>
      <c r="F194" s="52">
        <f t="shared" ref="F194:Q194" si="18">SUM(F187:F193)</f>
        <v>11349.14</v>
      </c>
      <c r="G194" s="52">
        <f t="shared" si="18"/>
        <v>10612.16</v>
      </c>
      <c r="H194" s="52">
        <f t="shared" si="18"/>
        <v>10857.83</v>
      </c>
      <c r="I194" s="52">
        <f t="shared" si="18"/>
        <v>10857.83</v>
      </c>
      <c r="J194" s="52">
        <f t="shared" si="18"/>
        <v>10857.83</v>
      </c>
      <c r="K194" s="52">
        <f t="shared" si="18"/>
        <v>10612.16</v>
      </c>
      <c r="L194" s="52">
        <f t="shared" si="18"/>
        <v>10612.16</v>
      </c>
      <c r="M194" s="52">
        <f t="shared" si="18"/>
        <v>10857.83</v>
      </c>
      <c r="N194" s="52">
        <f t="shared" si="18"/>
        <v>11349.14</v>
      </c>
      <c r="O194" s="52">
        <f t="shared" si="18"/>
        <v>10612.16</v>
      </c>
      <c r="P194" s="52">
        <f t="shared" si="18"/>
        <v>10612.16</v>
      </c>
      <c r="Q194" s="52">
        <f t="shared" si="18"/>
        <v>130048.23000000003</v>
      </c>
      <c r="R194" s="52">
        <v>315082.81</v>
      </c>
      <c r="S194" s="39">
        <f>Q194/Summary!$Q$16</f>
        <v>3.9103087388474411E-3</v>
      </c>
      <c r="T194" s="61"/>
      <c r="U194" s="315"/>
      <c r="V194" s="142"/>
    </row>
    <row r="195" spans="1:22" s="3" customFormat="1" ht="24.95" customHeight="1">
      <c r="A195" s="54"/>
      <c r="B195" s="51"/>
      <c r="D195" s="19" t="s">
        <v>349</v>
      </c>
      <c r="E195" s="52">
        <f>E166+E175+E185+E194</f>
        <v>88741.14</v>
      </c>
      <c r="F195" s="52">
        <f t="shared" ref="F195:Q195" si="19">F166+F175+F185+F194</f>
        <v>99280.45</v>
      </c>
      <c r="G195" s="52">
        <f t="shared" si="19"/>
        <v>87471.47</v>
      </c>
      <c r="H195" s="52">
        <f t="shared" si="19"/>
        <v>88866.74</v>
      </c>
      <c r="I195" s="52">
        <f t="shared" si="19"/>
        <v>88866.74</v>
      </c>
      <c r="J195" s="52">
        <f t="shared" si="19"/>
        <v>88866.74</v>
      </c>
      <c r="K195" s="52">
        <f t="shared" si="19"/>
        <v>87471.47</v>
      </c>
      <c r="L195" s="52">
        <f t="shared" si="19"/>
        <v>87471.47</v>
      </c>
      <c r="M195" s="52">
        <f t="shared" si="19"/>
        <v>88866.74</v>
      </c>
      <c r="N195" s="52">
        <f t="shared" si="19"/>
        <v>99657.249999999985</v>
      </c>
      <c r="O195" s="52">
        <f t="shared" si="19"/>
        <v>87471.47</v>
      </c>
      <c r="P195" s="52">
        <f t="shared" si="19"/>
        <v>87471.47</v>
      </c>
      <c r="Q195" s="350">
        <f t="shared" si="19"/>
        <v>1080503.1499999999</v>
      </c>
      <c r="R195" s="52">
        <v>2277794</v>
      </c>
      <c r="S195" s="39">
        <f>Q195/Summary!$Q$16</f>
        <v>3.2488722913008396E-2</v>
      </c>
      <c r="T195" s="61"/>
      <c r="U195" s="315"/>
      <c r="V195" s="142"/>
    </row>
    <row r="196" spans="1:22" s="3" customFormat="1" ht="24.95" customHeight="1">
      <c r="A196" s="54"/>
      <c r="B196" s="51"/>
      <c r="D196" s="21"/>
      <c r="E196" s="53"/>
      <c r="F196" s="53"/>
      <c r="G196" s="53"/>
      <c r="H196" s="57"/>
      <c r="I196" s="57"/>
      <c r="Q196" s="3">
        <f>Q195-Q173-Q174</f>
        <v>1080503.1499999999</v>
      </c>
      <c r="U196" s="315"/>
      <c r="V196" s="360"/>
    </row>
    <row r="197" spans="1:22" s="3" customFormat="1" ht="24.95" customHeight="1">
      <c r="A197" s="271" t="s">
        <v>105</v>
      </c>
      <c r="B197" s="51" t="s">
        <v>56</v>
      </c>
      <c r="D197" s="19" t="s">
        <v>352</v>
      </c>
      <c r="E197" s="302">
        <v>8</v>
      </c>
      <c r="F197" s="68">
        <v>8</v>
      </c>
      <c r="G197" s="68">
        <v>8</v>
      </c>
      <c r="H197" s="68">
        <v>8</v>
      </c>
      <c r="I197" s="68">
        <v>8</v>
      </c>
      <c r="J197" s="68">
        <v>8</v>
      </c>
      <c r="K197" s="68">
        <v>8</v>
      </c>
      <c r="L197" s="68">
        <v>8</v>
      </c>
      <c r="M197" s="68">
        <v>8</v>
      </c>
      <c r="N197" s="68">
        <v>8</v>
      </c>
      <c r="O197" s="68">
        <v>8</v>
      </c>
      <c r="P197" s="68">
        <v>8</v>
      </c>
      <c r="Q197" s="68">
        <v>8</v>
      </c>
      <c r="R197" s="68">
        <v>20.5</v>
      </c>
      <c r="U197" s="315"/>
      <c r="V197" s="360"/>
    </row>
  </sheetData>
  <phoneticPr fontId="57" type="noConversion"/>
  <dataValidations count="47">
    <dataValidation type="textLength" errorStyle="information" allowBlank="1" showInputMessage="1" showErrorMessage="1" error="XLBVal:6=241822.58_x000d__x000a_" sqref="I160">
      <formula1>0</formula1>
      <formula2>300</formula2>
    </dataValidation>
    <dataValidation type="textLength" errorStyle="information" allowBlank="1" showInputMessage="1" showErrorMessage="1" error="XLBVal:6=250.25_x000d__x000a_" sqref="E26:P26">
      <formula1>0</formula1>
      <formula2>300</formula2>
    </dataValidation>
    <dataValidation type="textLength" errorStyle="information" allowBlank="1" showInputMessage="1" showErrorMessage="1" error="XLBVal:6=3483281.81_x000d__x000a_" sqref="Q160">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38928.23_x000d__x000a_" sqref="E12:P12">
      <formula1>0</formula1>
      <formula2>300</formula2>
    </dataValidation>
    <dataValidation type="textLength" errorStyle="information" allowBlank="1" showInputMessage="1" showErrorMessage="1" error="XLBVal:6=5826395_x000d__x000a_" sqref="Q12">
      <formula1>0</formula1>
      <formula2>300</formula2>
    </dataValidation>
    <dataValidation type="textLength" errorStyle="information" allowBlank="1" showInputMessage="1" showErrorMessage="1" error="XLBVal:2=0_x000d__x000a_" sqref="R12 E73:Q73 Q72 Q157:R157 M160:P160 R160 R197 E79:P101 Q15:Q70 Q74:Q156 R15:R156 R177:R184 Q187:R193 E171:E174 Q164:R165 E71:Q71 E103:P103 E184:P184 E51:P68 E27:P42 E44:P49 R168:R174 E74:P77 E187:P190 E191:E192 E15:P25">
      <formula1>0</formula1>
      <formula2>300</formula2>
    </dataValidation>
    <dataValidation type="textLength" errorStyle="information" allowBlank="1" showInputMessage="1" showErrorMessage="1" error="XLBVal:6=194683.06_x000d__x000a_" sqref="E160">
      <formula1>0</formula1>
      <formula2>300</formula2>
    </dataValidation>
    <dataValidation type="textLength" errorStyle="information" allowBlank="1" showInputMessage="1" showErrorMessage="1" error="XLBVal:6=745_x000d__x000a_" sqref="E43:P43">
      <formula1>0</formula1>
      <formula2>300</formula2>
    </dataValidation>
    <dataValidation type="textLength" errorStyle="information" allowBlank="1" showInputMessage="1" showErrorMessage="1" error="XLBVal:6=26064.42_x000d__x000a_" sqref="E102:P102 E104:P157">
      <formula1>0</formula1>
      <formula2>300</formula2>
    </dataValidation>
    <dataValidation type="textLength" errorStyle="information" allowBlank="1" showInputMessage="1" showErrorMessage="1" error="XLBVal:6=68.2_x000d__x000a_" sqref="E50:P50">
      <formula1>0</formula1>
      <formula2>300</formula2>
    </dataValidation>
    <dataValidation type="textLength" errorStyle="information" allowBlank="1" showInputMessage="1" showErrorMessage="1" error="XLBVal:6=1992.55_x000d__x000a_" sqref="E69:P69">
      <formula1>0</formula1>
      <formula2>300</formula2>
    </dataValidation>
    <dataValidation type="textLength" errorStyle="information" allowBlank="1" showInputMessage="1" showErrorMessage="1" error="XLBVal:6=2510_x000d__x000a_" sqref="E70:P70">
      <formula1>0</formula1>
      <formula2>300</formula2>
    </dataValidation>
    <dataValidation type="textLength" errorStyle="information" allowBlank="1" showInputMessage="1" showErrorMessage="1" error="XLBVal:6=1053.9_x000d__x000a_" sqref="E72:P72">
      <formula1>0</formula1>
      <formula2>300</formula2>
    </dataValidation>
    <dataValidation type="textLength" errorStyle="information" allowBlank="1" showInputMessage="1" showErrorMessage="1" error="XLBVal:6=0_x000d__x000a_" sqref="E158:R158 E78:P78">
      <formula1>0</formula1>
      <formula2>300</formula2>
    </dataValidation>
    <dataValidation type="textLength" errorStyle="information" allowBlank="1" showInputMessage="1" showErrorMessage="1" error="XLBVal:6=3239.86_x000d__x000a_" sqref="E159:R159">
      <formula1>0</formula1>
      <formula2>300</formula2>
    </dataValidation>
    <dataValidation type="textLength" errorStyle="information" allowBlank="1" showInputMessage="1" showErrorMessage="1" error="XLBVal:6=239105.38_x000d__x000a_" sqref="F160">
      <formula1>0</formula1>
      <formula2>300</formula2>
    </dataValidation>
    <dataValidation type="textLength" errorStyle="information" allowBlank="1" showInputMessage="1" showErrorMessage="1" error="XLBVal:6=234413.07_x000d__x000a_" sqref="G160">
      <formula1>0</formula1>
      <formula2>300</formula2>
    </dataValidation>
    <dataValidation type="textLength" errorStyle="information" allowBlank="1" showInputMessage="1" showErrorMessage="1" error="XLBVal:6=507528_x000d__x000a_" sqref="Q177:Q184">
      <formula1>0</formula1>
      <formula2>300</formula2>
    </dataValidation>
    <dataValidation type="textLength" errorStyle="information" allowBlank="1" showInputMessage="1" showErrorMessage="1" error="XLBVal:6=238322.58_x000d__x000a_" sqref="H160">
      <formula1>0</formula1>
      <formula2>300</formula2>
    </dataValidation>
    <dataValidation type="textLength" errorStyle="information" allowBlank="1" showInputMessage="1" showErrorMessage="1" error="XLBVal:6=236345.2_x000d__x000a_" sqref="J160">
      <formula1>0</formula1>
      <formula2>300</formula2>
    </dataValidation>
    <dataValidation type="textLength" errorStyle="information" allowBlank="1" showInputMessage="1" showErrorMessage="1" error="XLBVal:6=242172.69_x000d__x000a_" sqref="K160">
      <formula1>0</formula1>
      <formula2>300</formula2>
    </dataValidation>
    <dataValidation type="textLength" errorStyle="information" allowBlank="1" showInputMessage="1" showErrorMessage="1" error="XLBVal:6=282812.69_x000d__x000a_" sqref="L160">
      <formula1>0</formula1>
      <formula2>300</formula2>
    </dataValidation>
    <dataValidation type="textLength" errorStyle="information" allowBlank="1" showInputMessage="1" showErrorMessage="1" error="XLBVal:6=54375_x000d__x000a_" sqref="F164:P164">
      <formula1>0</formula1>
      <formula2>300</formula2>
    </dataValidation>
    <dataValidation type="textLength" errorStyle="information" allowBlank="1" showInputMessage="1" showErrorMessage="1" error="XLBVal:6=86315.45_x000d__x000a_" sqref="F165:P165">
      <formula1>0</formula1>
      <formula2>300</formula2>
    </dataValidation>
    <dataValidation type="textLength" errorStyle="information" allowBlank="1" showInputMessage="1" showErrorMessage="1" sqref="F194:R195 H186:I186 E162:I163 F196:I196 H176:I176 E194:E196">
      <formula1>0</formula1>
      <formula2>300</formula2>
    </dataValidation>
    <dataValidation type="textLength" errorStyle="information" allowBlank="1" showInputMessage="1" showErrorMessage="1" error="XLBVal:6=3678_x000d__x000a_" sqref="F186:G186 F185:R185 E185:E186">
      <formula1>0</formula1>
      <formula2>300</formula2>
    </dataValidation>
    <dataValidation type="textLength" errorStyle="information" allowBlank="1" showInputMessage="1" showErrorMessage="1" error="XLBVal:6=130847_x000d__x000a_" sqref="Q168:Q174">
      <formula1>0</formula1>
      <formula2>300</formula2>
    </dataValidation>
    <dataValidation type="textLength" errorStyle="information" allowBlank="1" showInputMessage="1" showErrorMessage="1" error="XLBVal:6=25_x000d__x000a_" sqref="F197:Q197">
      <formula1>0</formula1>
      <formula2>300</formula2>
    </dataValidation>
    <dataValidation type="textLength" errorStyle="information" allowBlank="1" showInputMessage="1" showErrorMessage="1" error="XLBVal:6=6688509.16_x000d__x000a_" sqref="E13:P14">
      <formula1>0</formula1>
      <formula2>300</formula2>
    </dataValidation>
    <dataValidation type="textLength" errorStyle="information" allowBlank="1" showInputMessage="1" showErrorMessage="1" error="XLBVal:6=3909.51_x000d__x000a_" sqref="F168:P168 F170:P174">
      <formula1>0</formula1>
      <formula2>300</formula2>
    </dataValidation>
    <dataValidation type="textLength" errorStyle="information" allowBlank="1" showInputMessage="1" showErrorMessage="1" error="XLBVal:6=10337.36_x000d__x000a_" sqref="G192 F191:F192 H191:P192">
      <formula1>0</formula1>
      <formula2>300</formula2>
    </dataValidation>
    <dataValidation type="textLength" errorStyle="information" allowBlank="1" showInputMessage="1" showErrorMessage="1" error="XLBVal:6=13973.8_x000d__x000a_" sqref="G191">
      <formula1>0</formula1>
      <formula2>300</formula2>
    </dataValidation>
    <dataValidation type="textLength" errorStyle="information" allowBlank="1" showInputMessage="1" showErrorMessage="1" error="XLBVal:6=1198.59_x000d__x000a_" sqref="E183:P183">
      <formula1>0</formula1>
      <formula2>300</formula2>
    </dataValidation>
    <dataValidation type="textLength" errorStyle="information" allowBlank="1" showInputMessage="1" showErrorMessage="1" error="XLBVal:6=547.66_x000d__x000a_" sqref="E181:P181">
      <formula1>0</formula1>
      <formula2>300</formula2>
    </dataValidation>
    <dataValidation type="textLength" errorStyle="information" allowBlank="1" showInputMessage="1" showErrorMessage="1" error="XLBVal:6=8_x000d__x000a_" sqref="E197">
      <formula1>0</formula1>
      <formula2>300</formula2>
    </dataValidation>
    <dataValidation type="textLength" errorStyle="information" allowBlank="1" showInputMessage="1" showErrorMessage="1" error="XLBVal:6=5765.69_x000d__x000a_" sqref="E193:P193">
      <formula1>0</formula1>
      <formula2>300</formula2>
    </dataValidation>
    <dataValidation type="textLength" errorStyle="information" allowBlank="1" showInputMessage="1" showErrorMessage="1" error="XLBVal:6=330_x000d__x000a_" sqref="E170">
      <formula1>0</formula1>
      <formula2>300</formula2>
    </dataValidation>
    <dataValidation type="textLength" errorStyle="information" allowBlank="1" showInputMessage="1" showErrorMessage="1" error="XLBVal:6=7045_x000d__x000a_" sqref="E182:P182">
      <formula1>0</formula1>
      <formula2>300</formula2>
    </dataValidation>
    <dataValidation type="textLength" errorStyle="information" allowBlank="1" showInputMessage="1" showErrorMessage="1" error="XLBVal:6=301_x000d__x000a_" sqref="E180:P180">
      <formula1>0</formula1>
      <formula2>300</formula2>
    </dataValidation>
    <dataValidation type="textLength" errorStyle="information" allowBlank="1" showInputMessage="1" showErrorMessage="1" error="XLBVal:6=349.69_x000d__x000a_" sqref="E179:P179">
      <formula1>0</formula1>
      <formula2>300</formula2>
    </dataValidation>
    <dataValidation type="textLength" errorStyle="information" allowBlank="1" showInputMessage="1" showErrorMessage="1" error="XLBVal:6=5476.56_x000d__x000a_" sqref="E178:P178">
      <formula1>0</formula1>
      <formula2>300</formula2>
    </dataValidation>
    <dataValidation type="textLength" errorStyle="information" allowBlank="1" showInputMessage="1" showErrorMessage="1" error="XLBVal:6=11189.76_x000d__x000a_" sqref="E177:P177">
      <formula1>0</formula1>
      <formula2>300</formula2>
    </dataValidation>
    <dataValidation type="textLength" errorStyle="information" allowBlank="1" showInputMessage="1" showErrorMessage="1" error="XLBVal:6=2999.99_x000d__x000a_" sqref="E168">
      <formula1>0</formula1>
      <formula2>300</formula2>
    </dataValidation>
    <dataValidation type="textLength" errorStyle="information" allowBlank="1" showInputMessage="1" showErrorMessage="1" error="XLBVal:6=20600_x000d__x000a_" sqref="E165">
      <formula1>0</formula1>
      <formula2>300</formula2>
    </dataValidation>
    <dataValidation type="textLength" errorStyle="information" allowBlank="1" showInputMessage="1" showErrorMessage="1" error="XLBVal:6=36000_x000d__x000a_" sqref="E164">
      <formula1>0</formula1>
      <formula2>300</formula2>
    </dataValidation>
    <dataValidation type="textLength" errorStyle="information" allowBlank="1" showInputMessage="1" showErrorMessage="1" error="XLBVal:6=4716.65_x000d__x000a_" sqref="E169:P169">
      <formula1>0</formula1>
      <formula2>300</formula2>
    </dataValidation>
  </dataValidations>
  <printOptions horizontalCentered="1"/>
  <pageMargins left="0.118110236220472" right="0.118110236220472" top="0.59055118110236204" bottom="0.39370078740157499" header="0" footer="0"/>
  <pageSetup paperSize="9" scale="44" fitToHeight="0" orientation="landscape" r:id="rId1"/>
  <headerFooter>
    <oddFooter>&amp;L&amp;"微软雅黑,Regular"&amp;F&amp;C&amp;"微软雅黑,Regular"Page &amp;P of &amp;N&amp;R&amp;"微软雅黑,Regular"&amp;D</oddFooter>
  </headerFooter>
  <legacy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9">
    <tabColor rgb="FF00B050"/>
  </sheetPr>
  <dimension ref="A1:V33"/>
  <sheetViews>
    <sheetView zoomScale="50" zoomScaleNormal="50" zoomScaleSheetLayoutView="55" workbookViewId="0">
      <pane xSplit="4" topLeftCell="E1" activePane="topRight" state="frozen"/>
      <selection activeCell="L7" sqref="L7"/>
      <selection pane="topRight" activeCell="V27" sqref="V27"/>
    </sheetView>
  </sheetViews>
  <sheetFormatPr defaultColWidth="8.875" defaultRowHeight="26.25" customHeight="1" outlineLevelRow="1" outlineLevelCol="1"/>
  <cols>
    <col min="1" max="3" width="15.5" style="5" hidden="1" customWidth="1" outlineLevel="1"/>
    <col min="4" max="4" width="57.5" style="6" customWidth="1" collapsed="1"/>
    <col min="5" max="9" width="25.5" style="7" customWidth="1"/>
    <col min="10" max="17" width="25.5" style="5" customWidth="1"/>
    <col min="18" max="18" width="16.5" style="5" customWidth="1"/>
    <col min="19" max="19" width="16.5" style="5" hidden="1" customWidth="1"/>
    <col min="20" max="20" width="22.5" style="8" hidden="1" customWidth="1"/>
    <col min="21" max="21" width="22.5" style="5" hidden="1" customWidth="1"/>
    <col min="22" max="22" width="24.625" style="5" bestFit="1" customWidth="1"/>
    <col min="23" max="23" width="22.875" style="5" customWidth="1"/>
    <col min="24" max="16384" width="8.875" style="5"/>
  </cols>
  <sheetData>
    <row r="1" spans="1:21" s="1" customFormat="1" ht="15" customHeight="1" outlineLevel="1">
      <c r="E1" s="9"/>
      <c r="F1" s="9"/>
      <c r="G1" s="9"/>
      <c r="H1" s="9"/>
      <c r="I1" s="9"/>
      <c r="J1" s="9"/>
      <c r="K1" s="9"/>
      <c r="L1" s="9"/>
      <c r="M1" s="9"/>
      <c r="N1" s="9"/>
      <c r="O1" s="9"/>
      <c r="P1" s="9"/>
      <c r="Q1" s="9"/>
      <c r="T1" s="32"/>
    </row>
    <row r="2" spans="1:21" s="1" customFormat="1" ht="15" customHeight="1" outlineLevel="1">
      <c r="E2" s="9"/>
      <c r="F2" s="9"/>
      <c r="G2" s="9"/>
      <c r="H2" s="9"/>
      <c r="I2" s="9"/>
      <c r="J2" s="9"/>
      <c r="K2" s="9"/>
      <c r="L2" s="9"/>
      <c r="M2" s="9"/>
      <c r="N2" s="9"/>
      <c r="O2" s="9"/>
      <c r="P2" s="9"/>
      <c r="Q2" s="9"/>
      <c r="T2" s="32"/>
    </row>
    <row r="3" spans="1:21" s="1" customFormat="1" ht="15" customHeight="1" outlineLevel="1">
      <c r="E3" s="9"/>
      <c r="F3" s="9"/>
      <c r="G3" s="9"/>
      <c r="H3" s="9"/>
      <c r="I3" s="9"/>
      <c r="J3" s="9"/>
      <c r="K3" s="9"/>
      <c r="L3" s="9"/>
      <c r="M3" s="9"/>
      <c r="N3" s="9"/>
      <c r="O3" s="9"/>
      <c r="P3" s="9"/>
      <c r="Q3" s="9"/>
      <c r="T3" s="32"/>
    </row>
    <row r="4" spans="1:21" s="2" customFormat="1" ht="24.95" customHeight="1">
      <c r="D4" s="14" t="str">
        <f>Summary!$D$4</f>
        <v>Hotel Budget Report</v>
      </c>
      <c r="E4" s="11"/>
      <c r="F4" s="11"/>
      <c r="G4" s="12"/>
      <c r="H4" s="13"/>
      <c r="I4" s="13"/>
      <c r="T4" s="33"/>
    </row>
    <row r="5" spans="1:21" s="2" customFormat="1" ht="24.95" customHeight="1">
      <c r="D5" s="14" t="str">
        <f>Summary!$D$5</f>
        <v>酒店预算报表</v>
      </c>
      <c r="E5" s="11"/>
      <c r="F5" s="11"/>
      <c r="G5" s="12"/>
      <c r="H5" s="13"/>
      <c r="I5" s="13"/>
      <c r="T5" s="33"/>
    </row>
    <row r="6" spans="1:21" s="2" customFormat="1" ht="24.95" customHeight="1">
      <c r="D6" s="14" t="s">
        <v>1030</v>
      </c>
      <c r="E6" s="13"/>
      <c r="F6" s="13"/>
      <c r="G6" s="13"/>
      <c r="H6" s="13"/>
      <c r="I6" s="13"/>
      <c r="T6" s="33"/>
    </row>
    <row r="7" spans="1:21" s="2" customFormat="1" ht="24.95" customHeight="1">
      <c r="D7" s="15" t="s">
        <v>1185</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S9" s="34"/>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4" t="s">
        <v>23</v>
      </c>
      <c r="T10" s="36" t="s">
        <v>24</v>
      </c>
      <c r="U10" s="37" t="s">
        <v>25</v>
      </c>
    </row>
    <row r="11" spans="1:21" s="3" customFormat="1" ht="24.95" customHeight="1">
      <c r="D11" s="21"/>
      <c r="E11" s="76"/>
      <c r="F11" s="76"/>
      <c r="G11" s="76"/>
      <c r="H11" s="77"/>
      <c r="I11" s="77"/>
      <c r="T11" s="35"/>
    </row>
    <row r="12" spans="1:21" s="3" customFormat="1" ht="24.95" customHeight="1">
      <c r="D12" s="21" t="s">
        <v>138</v>
      </c>
      <c r="E12" s="24"/>
      <c r="F12" s="24"/>
      <c r="G12" s="24"/>
      <c r="H12" s="25"/>
      <c r="I12" s="25"/>
      <c r="T12" s="35"/>
    </row>
    <row r="13" spans="1:21" s="3" customFormat="1" ht="24.95" customHeight="1">
      <c r="A13" s="3" t="s">
        <v>897</v>
      </c>
      <c r="B13" s="3" t="s">
        <v>58</v>
      </c>
      <c r="D13" s="26" t="s">
        <v>898</v>
      </c>
      <c r="E13" s="43">
        <v>158720</v>
      </c>
      <c r="F13" s="43">
        <v>156160</v>
      </c>
      <c r="G13" s="43">
        <v>161805</v>
      </c>
      <c r="H13" s="43">
        <v>147400</v>
      </c>
      <c r="I13" s="43">
        <v>180700</v>
      </c>
      <c r="J13" s="43">
        <v>204750</v>
      </c>
      <c r="K13" s="43">
        <v>249281.42</v>
      </c>
      <c r="L13" s="43">
        <v>257400</v>
      </c>
      <c r="M13" s="43">
        <v>211200</v>
      </c>
      <c r="N13" s="43">
        <v>182400</v>
      </c>
      <c r="O13" s="43">
        <v>160000</v>
      </c>
      <c r="P13" s="43">
        <v>166400</v>
      </c>
      <c r="Q13" s="43">
        <f>SUM(E13:P13)</f>
        <v>2236216.42</v>
      </c>
      <c r="R13" s="39">
        <f>Q13/Summary!$Q$16</f>
        <v>6.723887444742721E-2</v>
      </c>
      <c r="S13" s="39"/>
      <c r="T13" s="35"/>
      <c r="U13" s="40" t="e">
        <f t="shared" ref="U13:U19" si="0">-IF(Q13-T13=0,0,(Q13-T13)/T13)</f>
        <v>#DIV/0!</v>
      </c>
    </row>
    <row r="14" spans="1:21" s="3" customFormat="1" ht="24.95" customHeight="1">
      <c r="A14" s="3" t="s">
        <v>899</v>
      </c>
      <c r="B14" s="3" t="s">
        <v>58</v>
      </c>
      <c r="D14" s="26" t="s">
        <v>900</v>
      </c>
      <c r="E14" s="43">
        <v>178403.67</v>
      </c>
      <c r="F14" s="43">
        <v>142748.62</v>
      </c>
      <c r="G14" s="43">
        <v>50347.71</v>
      </c>
      <c r="H14" s="43">
        <v>13815.41</v>
      </c>
      <c r="I14" s="43">
        <v>16588.07</v>
      </c>
      <c r="J14" s="43">
        <v>13903.67</v>
      </c>
      <c r="K14" s="43">
        <v>15042.77</v>
      </c>
      <c r="L14" s="43">
        <v>15165.14</v>
      </c>
      <c r="M14" s="43">
        <v>16400</v>
      </c>
      <c r="N14" s="43">
        <v>22550</v>
      </c>
      <c r="O14" s="43">
        <v>40850</v>
      </c>
      <c r="P14" s="43">
        <v>182000</v>
      </c>
      <c r="Q14" s="43">
        <f t="shared" ref="Q14:Q17" si="1">SUM(E14:P14)</f>
        <v>707815.06</v>
      </c>
      <c r="R14" s="39">
        <f>Q14/Summary!$Q$16</f>
        <v>2.128268423650076E-2</v>
      </c>
      <c r="S14" s="39"/>
      <c r="T14" s="35"/>
      <c r="U14" s="40" t="e">
        <f t="shared" si="0"/>
        <v>#DIV/0!</v>
      </c>
    </row>
    <row r="15" spans="1:21" s="3" customFormat="1" ht="24.95" customHeight="1">
      <c r="A15" s="3" t="s">
        <v>901</v>
      </c>
      <c r="B15" s="3" t="s">
        <v>58</v>
      </c>
      <c r="D15" s="26" t="s">
        <v>902</v>
      </c>
      <c r="E15" s="63">
        <v>0</v>
      </c>
      <c r="F15" s="63">
        <v>0</v>
      </c>
      <c r="G15" s="63">
        <v>0</v>
      </c>
      <c r="H15" s="63">
        <v>0</v>
      </c>
      <c r="I15" s="63">
        <v>0</v>
      </c>
      <c r="J15" s="63">
        <v>0</v>
      </c>
      <c r="K15" s="63">
        <v>0</v>
      </c>
      <c r="L15" s="63">
        <v>0</v>
      </c>
      <c r="M15" s="63">
        <v>0</v>
      </c>
      <c r="N15" s="63">
        <v>0</v>
      </c>
      <c r="O15" s="63">
        <v>0</v>
      </c>
      <c r="P15" s="63">
        <v>0</v>
      </c>
      <c r="Q15" s="43">
        <f t="shared" si="1"/>
        <v>0</v>
      </c>
      <c r="R15" s="39">
        <f>Q15/Summary!$Q$16</f>
        <v>0</v>
      </c>
      <c r="S15" s="39"/>
      <c r="T15" s="35"/>
      <c r="U15" s="40">
        <f t="shared" si="0"/>
        <v>0</v>
      </c>
    </row>
    <row r="16" spans="1:21" s="3" customFormat="1" ht="24.95" customHeight="1">
      <c r="A16" s="3" t="s">
        <v>903</v>
      </c>
      <c r="B16" s="3" t="s">
        <v>58</v>
      </c>
      <c r="D16" s="78" t="s">
        <v>904</v>
      </c>
      <c r="E16" s="43">
        <v>9271.84</v>
      </c>
      <c r="F16" s="43">
        <v>9828.06</v>
      </c>
      <c r="G16" s="43">
        <v>11867.84</v>
      </c>
      <c r="H16" s="43">
        <v>12609.58</v>
      </c>
      <c r="I16" s="43">
        <v>14093.06</v>
      </c>
      <c r="J16" s="43">
        <v>16132.85</v>
      </c>
      <c r="K16" s="43">
        <v>21139.59</v>
      </c>
      <c r="L16" s="43">
        <v>22993.94</v>
      </c>
      <c r="M16" s="43">
        <v>17808</v>
      </c>
      <c r="N16" s="43">
        <v>16695</v>
      </c>
      <c r="O16" s="43">
        <v>12985</v>
      </c>
      <c r="P16" s="43">
        <v>12614</v>
      </c>
      <c r="Q16" s="43">
        <f t="shared" si="1"/>
        <v>178038.76</v>
      </c>
      <c r="R16" s="39">
        <f>Q16/Summary!$Q$16</f>
        <v>5.3532948436250316E-3</v>
      </c>
      <c r="S16" s="39"/>
      <c r="T16" s="35"/>
      <c r="U16" s="40" t="e">
        <f t="shared" si="0"/>
        <v>#DIV/0!</v>
      </c>
    </row>
    <row r="17" spans="1:22" s="3" customFormat="1" ht="24.95" customHeight="1">
      <c r="A17" s="3" t="s">
        <v>905</v>
      </c>
      <c r="B17" s="3" t="s">
        <v>58</v>
      </c>
      <c r="D17" s="26" t="s">
        <v>906</v>
      </c>
      <c r="E17" s="63"/>
      <c r="F17" s="63"/>
      <c r="G17" s="63"/>
      <c r="H17" s="63"/>
      <c r="I17" s="63"/>
      <c r="J17" s="63"/>
      <c r="K17" s="63"/>
      <c r="L17" s="63"/>
      <c r="M17" s="63"/>
      <c r="N17" s="63"/>
      <c r="O17" s="63"/>
      <c r="P17" s="63"/>
      <c r="Q17" s="43">
        <f t="shared" si="1"/>
        <v>0</v>
      </c>
      <c r="R17" s="39">
        <f>Q17/Summary!$Q$16</f>
        <v>0</v>
      </c>
      <c r="S17" s="39"/>
      <c r="T17" s="35"/>
      <c r="U17" s="40">
        <f t="shared" si="0"/>
        <v>0</v>
      </c>
    </row>
    <row r="18" spans="1:22" s="19" customFormat="1" ht="24.95" customHeight="1">
      <c r="D18" s="21" t="s">
        <v>1031</v>
      </c>
      <c r="E18" s="45">
        <f>SUM(E13:E17)</f>
        <v>346395.51000000007</v>
      </c>
      <c r="F18" s="45">
        <f t="shared" ref="F18:Q18" si="2">SUM(F13:F17)</f>
        <v>308736.68</v>
      </c>
      <c r="G18" s="45">
        <f t="shared" si="2"/>
        <v>224020.55</v>
      </c>
      <c r="H18" s="45">
        <f t="shared" si="2"/>
        <v>173824.99</v>
      </c>
      <c r="I18" s="45">
        <f t="shared" si="2"/>
        <v>211381.13</v>
      </c>
      <c r="J18" s="45">
        <f t="shared" si="2"/>
        <v>234786.52000000002</v>
      </c>
      <c r="K18" s="45">
        <f t="shared" si="2"/>
        <v>285463.78000000003</v>
      </c>
      <c r="L18" s="45">
        <f t="shared" si="2"/>
        <v>295559.08</v>
      </c>
      <c r="M18" s="45">
        <f t="shared" si="2"/>
        <v>245408</v>
      </c>
      <c r="N18" s="45">
        <f t="shared" si="2"/>
        <v>221645</v>
      </c>
      <c r="O18" s="45">
        <f t="shared" si="2"/>
        <v>213835</v>
      </c>
      <c r="P18" s="45">
        <f t="shared" si="2"/>
        <v>361014</v>
      </c>
      <c r="Q18" s="313">
        <f t="shared" si="2"/>
        <v>3122070.24</v>
      </c>
      <c r="R18" s="39">
        <f>Q18/Summary!$Q$16</f>
        <v>9.3874853527553009E-2</v>
      </c>
      <c r="S18" s="39"/>
      <c r="T18" s="35"/>
      <c r="U18" s="40" t="e">
        <f t="shared" si="0"/>
        <v>#DIV/0!</v>
      </c>
      <c r="V18" s="232"/>
    </row>
    <row r="19" spans="1:22" s="19" customFormat="1" ht="24.95" customHeight="1">
      <c r="D19" s="21"/>
      <c r="E19" s="62"/>
      <c r="F19" s="62"/>
      <c r="G19" s="62"/>
      <c r="H19" s="62"/>
      <c r="I19" s="62"/>
      <c r="S19" s="39"/>
      <c r="T19" s="35"/>
      <c r="U19" s="40">
        <f t="shared" si="0"/>
        <v>0</v>
      </c>
    </row>
    <row r="20" spans="1:22" s="19" customFormat="1" ht="24.95" customHeight="1">
      <c r="D20" s="21" t="s">
        <v>1032</v>
      </c>
      <c r="E20" s="62"/>
      <c r="F20" s="62"/>
      <c r="G20" s="62"/>
      <c r="H20" s="62"/>
      <c r="I20" s="62"/>
      <c r="T20" s="35"/>
      <c r="U20" s="40"/>
    </row>
    <row r="21" spans="1:22" s="19" customFormat="1" ht="24.95" customHeight="1">
      <c r="A21" s="3" t="s">
        <v>1033</v>
      </c>
      <c r="B21" s="19" t="s">
        <v>58</v>
      </c>
      <c r="D21" s="26" t="s">
        <v>1034</v>
      </c>
      <c r="E21" s="290">
        <v>248000</v>
      </c>
      <c r="F21" s="290">
        <v>244000</v>
      </c>
      <c r="G21" s="290">
        <v>241500</v>
      </c>
      <c r="H21" s="290">
        <v>220000</v>
      </c>
      <c r="I21" s="290">
        <v>278000</v>
      </c>
      <c r="J21" s="290">
        <v>315000</v>
      </c>
      <c r="K21" s="290">
        <v>388000</v>
      </c>
      <c r="L21" s="290">
        <v>396000</v>
      </c>
      <c r="M21" s="290">
        <v>330000</v>
      </c>
      <c r="N21" s="290">
        <v>285000</v>
      </c>
      <c r="O21" s="290">
        <v>250000</v>
      </c>
      <c r="P21" s="290">
        <v>260000</v>
      </c>
      <c r="Q21" s="68">
        <f>SUM(E21:P21)</f>
        <v>3455500</v>
      </c>
      <c r="T21" s="35"/>
      <c r="U21" s="40" t="e">
        <f t="shared" ref="U21:U27" si="3">IF(Q21-T21=0,0,(Q21-T21)/T21)</f>
        <v>#DIV/0!</v>
      </c>
    </row>
    <row r="22" spans="1:22" s="19" customFormat="1" ht="24.95" customHeight="1">
      <c r="A22" s="3" t="s">
        <v>1035</v>
      </c>
      <c r="B22" s="19" t="s">
        <v>58</v>
      </c>
      <c r="D22" s="26" t="s">
        <v>1036</v>
      </c>
      <c r="E22" s="290">
        <v>35000</v>
      </c>
      <c r="F22" s="290">
        <v>28000</v>
      </c>
      <c r="G22" s="290">
        <v>11000</v>
      </c>
      <c r="H22" s="290">
        <v>3600</v>
      </c>
      <c r="I22" s="290">
        <v>4200</v>
      </c>
      <c r="J22" s="290">
        <v>3500</v>
      </c>
      <c r="K22" s="290">
        <v>3800</v>
      </c>
      <c r="L22" s="290">
        <v>3800</v>
      </c>
      <c r="M22" s="290">
        <v>4000</v>
      </c>
      <c r="N22" s="290">
        <v>5500</v>
      </c>
      <c r="O22" s="290">
        <v>9500</v>
      </c>
      <c r="P22" s="290">
        <v>35000</v>
      </c>
      <c r="Q22" s="68">
        <f>SUM(E22:P22)</f>
        <v>146900</v>
      </c>
      <c r="T22" s="35"/>
      <c r="U22" s="40" t="e">
        <f t="shared" si="3"/>
        <v>#DIV/0!</v>
      </c>
    </row>
    <row r="23" spans="1:22" s="19" customFormat="1" ht="24.95" customHeight="1">
      <c r="A23" s="3" t="s">
        <v>1037</v>
      </c>
      <c r="B23" s="19" t="s">
        <v>58</v>
      </c>
      <c r="D23" s="26" t="s">
        <v>902</v>
      </c>
      <c r="E23" s="290"/>
      <c r="F23" s="290"/>
      <c r="G23" s="290"/>
      <c r="H23" s="290"/>
      <c r="I23" s="290"/>
      <c r="J23" s="290"/>
      <c r="K23" s="290"/>
      <c r="L23" s="290"/>
      <c r="M23" s="290"/>
      <c r="N23" s="290"/>
      <c r="O23" s="290"/>
      <c r="P23" s="290"/>
      <c r="Q23" s="68">
        <f>SUM(E23:P23)</f>
        <v>0</v>
      </c>
      <c r="T23" s="35"/>
      <c r="U23" s="40">
        <f t="shared" si="3"/>
        <v>0</v>
      </c>
    </row>
    <row r="24" spans="1:22" s="19" customFormat="1" ht="24.95" customHeight="1">
      <c r="A24" s="3" t="s">
        <v>1038</v>
      </c>
      <c r="B24" s="19" t="s">
        <v>58</v>
      </c>
      <c r="D24" s="26" t="s">
        <v>1039</v>
      </c>
      <c r="E24" s="290">
        <v>2500</v>
      </c>
      <c r="F24" s="290">
        <v>2650</v>
      </c>
      <c r="G24" s="290">
        <v>3200</v>
      </c>
      <c r="H24" s="290">
        <v>3400</v>
      </c>
      <c r="I24" s="290">
        <v>3800</v>
      </c>
      <c r="J24" s="290">
        <v>4350</v>
      </c>
      <c r="K24" s="290">
        <v>5700</v>
      </c>
      <c r="L24" s="290">
        <v>6200</v>
      </c>
      <c r="M24" s="290">
        <v>4800</v>
      </c>
      <c r="N24" s="290">
        <v>4500</v>
      </c>
      <c r="O24" s="290">
        <v>3500</v>
      </c>
      <c r="P24" s="290">
        <v>3400</v>
      </c>
      <c r="Q24" s="68">
        <f>SUM(E24:P24)</f>
        <v>48000</v>
      </c>
      <c r="T24" s="35"/>
      <c r="U24" s="40" t="e">
        <f t="shared" si="3"/>
        <v>#DIV/0!</v>
      </c>
    </row>
    <row r="25" spans="1:22" s="3" customFormat="1" ht="24.95" customHeight="1">
      <c r="A25" s="3" t="s">
        <v>1040</v>
      </c>
      <c r="B25" s="3" t="s">
        <v>58</v>
      </c>
      <c r="D25" s="26" t="s">
        <v>906</v>
      </c>
      <c r="E25" s="80"/>
      <c r="F25" s="80"/>
      <c r="G25" s="80"/>
      <c r="H25" s="80"/>
      <c r="I25" s="80"/>
      <c r="J25" s="80"/>
      <c r="K25" s="80"/>
      <c r="L25" s="80"/>
      <c r="M25" s="80"/>
      <c r="N25" s="80"/>
      <c r="O25" s="80"/>
      <c r="P25" s="80"/>
      <c r="Q25" s="81">
        <f>SUM(E25:P25)</f>
        <v>0</v>
      </c>
      <c r="T25" s="35"/>
      <c r="U25" s="40">
        <f t="shared" si="3"/>
        <v>0</v>
      </c>
    </row>
    <row r="26" spans="1:22" s="3" customFormat="1" ht="24.95" customHeight="1">
      <c r="B26" s="51"/>
      <c r="D26" s="17"/>
      <c r="E26" s="25"/>
      <c r="F26" s="25"/>
      <c r="G26" s="25"/>
      <c r="H26" s="25"/>
      <c r="I26" s="25"/>
      <c r="M26" s="27"/>
      <c r="N26" s="27"/>
      <c r="O26" s="27"/>
      <c r="P26" s="27"/>
      <c r="T26" s="35"/>
      <c r="U26" s="40">
        <f t="shared" si="3"/>
        <v>0</v>
      </c>
    </row>
    <row r="27" spans="1:22" s="3" customFormat="1" ht="24.95" customHeight="1">
      <c r="A27" s="3" t="s">
        <v>1041</v>
      </c>
      <c r="B27" s="51"/>
      <c r="D27" s="26" t="s">
        <v>1042</v>
      </c>
      <c r="E27" s="60">
        <f>Summary!E16</f>
        <v>2259846</v>
      </c>
      <c r="F27" s="60">
        <f>Summary!F16</f>
        <v>1816344.5</v>
      </c>
      <c r="G27" s="60">
        <f>Summary!G16</f>
        <v>2340960.5</v>
      </c>
      <c r="H27" s="60">
        <f>Summary!H16</f>
        <v>2771030.2</v>
      </c>
      <c r="I27" s="60">
        <f>Summary!I16</f>
        <v>3096361.3</v>
      </c>
      <c r="J27" s="60">
        <f>Summary!J16</f>
        <v>2618822.2000000002</v>
      </c>
      <c r="K27" s="60">
        <f>Summary!K16</f>
        <v>2973852.3</v>
      </c>
      <c r="L27" s="60">
        <f>Summary!L16</f>
        <v>3047092.3</v>
      </c>
      <c r="M27" s="60">
        <f>Summary!M16</f>
        <v>3106222.2</v>
      </c>
      <c r="N27" s="60">
        <f>Summary!N16</f>
        <v>3468114.8</v>
      </c>
      <c r="O27" s="60">
        <f>Summary!O16</f>
        <v>2947582.2</v>
      </c>
      <c r="P27" s="60">
        <f>Summary!P16</f>
        <v>2811562.3</v>
      </c>
      <c r="Q27" s="61">
        <f>SUM(E27:P27)</f>
        <v>33257790.800000001</v>
      </c>
      <c r="T27" s="35"/>
      <c r="U27" s="40" t="e">
        <f t="shared" si="3"/>
        <v>#DIV/0!</v>
      </c>
    </row>
    <row r="30" spans="1:22" ht="26.25" customHeight="1">
      <c r="D30" s="17" t="s">
        <v>1099</v>
      </c>
      <c r="E30" s="64"/>
      <c r="F30" s="64"/>
      <c r="G30" s="64"/>
      <c r="H30" s="64"/>
      <c r="I30" s="64"/>
      <c r="J30" s="88"/>
      <c r="K30" s="88"/>
      <c r="L30" s="88"/>
      <c r="M30" s="88"/>
      <c r="N30" s="88"/>
      <c r="O30" s="88"/>
      <c r="P30" s="88"/>
    </row>
    <row r="31" spans="1:22" ht="26.25" customHeight="1">
      <c r="D31" s="26" t="s">
        <v>1043</v>
      </c>
      <c r="E31" s="291">
        <v>0.64</v>
      </c>
      <c r="F31" s="291">
        <v>0.64</v>
      </c>
      <c r="G31" s="291">
        <v>0.67</v>
      </c>
      <c r="H31" s="291">
        <v>0.67</v>
      </c>
      <c r="I31" s="291">
        <v>0.65</v>
      </c>
      <c r="J31" s="291">
        <v>0.65</v>
      </c>
      <c r="K31" s="291">
        <v>0.64247787610619478</v>
      </c>
      <c r="L31" s="291">
        <v>0.65</v>
      </c>
      <c r="M31" s="291">
        <v>0.64</v>
      </c>
      <c r="N31" s="291">
        <v>0.64</v>
      </c>
      <c r="O31" s="291">
        <v>0.64</v>
      </c>
      <c r="P31" s="291">
        <v>0.64</v>
      </c>
    </row>
    <row r="32" spans="1:22" ht="26.25" customHeight="1">
      <c r="D32" s="26" t="s">
        <v>1044</v>
      </c>
      <c r="E32" s="291">
        <v>3.7087378640776696</v>
      </c>
      <c r="F32" s="291">
        <v>3.7086999999999999</v>
      </c>
      <c r="G32" s="291">
        <v>3.7086999999999999</v>
      </c>
      <c r="H32" s="291">
        <v>3.7086999999999999</v>
      </c>
      <c r="I32" s="291">
        <v>3.7086999999999999</v>
      </c>
      <c r="J32" s="291">
        <v>3.7086999999999999</v>
      </c>
      <c r="K32" s="291">
        <v>3.7086999999999999</v>
      </c>
      <c r="L32" s="291">
        <v>3.7086999999999999</v>
      </c>
      <c r="M32" s="291">
        <v>3.71</v>
      </c>
      <c r="N32" s="291">
        <v>3.71</v>
      </c>
      <c r="O32" s="291">
        <v>3.71</v>
      </c>
      <c r="P32" s="291">
        <v>3.71</v>
      </c>
    </row>
    <row r="33" spans="4:16" ht="26.25" customHeight="1">
      <c r="D33" s="26" t="s">
        <v>1045</v>
      </c>
      <c r="E33" s="291">
        <v>5.0972477064220181</v>
      </c>
      <c r="F33" s="291">
        <v>5.0981651376146786</v>
      </c>
      <c r="G33" s="291">
        <v>4.5770642201834857</v>
      </c>
      <c r="H33" s="291">
        <v>3.8376146788990821</v>
      </c>
      <c r="I33" s="291">
        <v>3.949541284403669</v>
      </c>
      <c r="J33" s="291">
        <v>3.9724770642201834</v>
      </c>
      <c r="K33" s="291">
        <v>3.9586238532110087</v>
      </c>
      <c r="L33" s="291">
        <v>3.9908256880733939</v>
      </c>
      <c r="M33" s="291">
        <v>4.0999999999999996</v>
      </c>
      <c r="N33" s="291">
        <v>4.0999999999999996</v>
      </c>
      <c r="O33" s="291">
        <v>4.3</v>
      </c>
      <c r="P33" s="291">
        <v>5.2</v>
      </c>
    </row>
  </sheetData>
  <phoneticPr fontId="57" type="noConversion"/>
  <dataValidations count="15">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5=-2586288.67_x000d__x000a_" sqref="H12">
      <formula1>0</formula1>
      <formula2>300</formula2>
    </dataValidation>
    <dataValidation type="textLength" errorStyle="information" allowBlank="1" showInputMessage="1" showErrorMessage="1" error="XLBVal:6=6595485.04_x000d__x000a_" sqref="G12">
      <formula1>0</formula1>
      <formula2>300</formula2>
    </dataValidation>
    <dataValidation type="textLength" errorStyle="information" allowBlank="1" showInputMessage="1" showErrorMessage="1" error="XLBVal:6=6688509.16_x000d__x000a_" sqref="E12">
      <formula1>0</formula1>
      <formula2>300</formula2>
    </dataValidation>
    <dataValidation type="textLength" errorStyle="information" allowBlank="1" showInputMessage="1" showErrorMessage="1" error="XLBVal:6=317284.98_x000d__x000a_" sqref="E16:P16 E13:P14">
      <formula1>0</formula1>
      <formula2>300</formula2>
    </dataValidation>
    <dataValidation type="textLength" errorStyle="information" allowBlank="1" showInputMessage="1" showErrorMessage="1" error="XLBVal:2=0_x000d__x000a_" sqref="F12 E15:P15 E17:P17 E23:Q23 E25:P25 M26:P26 Q21:Q22 Q24:Q25">
      <formula1>0</formula1>
      <formula2>300</formula2>
    </dataValidation>
    <dataValidation type="textLength" errorStyle="information" allowBlank="1" showInputMessage="1" showErrorMessage="1" error="XLBVal:6=0_x000d__x000a_" sqref="E18:Q18 E19:G20">
      <formula1>0</formula1>
      <formula2>300</formula2>
    </dataValidation>
    <dataValidation type="textLength" errorStyle="information" allowBlank="1" showInputMessage="1" showErrorMessage="1" error="XLBVal:5=15426.66_x000d__x000a_" sqref="I12">
      <formula1>0</formula1>
      <formula2>300</formula2>
    </dataValidation>
    <dataValidation type="textLength" errorStyle="information" allowBlank="1" showInputMessage="1" showErrorMessage="1" error="XLBVal:6=458488_x000d__x000a_" sqref="E21:P21">
      <formula1>0</formula1>
      <formula2>300</formula2>
    </dataValidation>
    <dataValidation type="textLength" errorStyle="information" allowBlank="1" showInputMessage="1" showErrorMessage="1" error="XLBVal:6=108724_x000d__x000a_" sqref="E22:P22">
      <formula1>0</formula1>
      <formula2>300</formula2>
    </dataValidation>
    <dataValidation type="textLength" errorStyle="information" allowBlank="1" showInputMessage="1" showErrorMessage="1" error="XLBVal:6=8177_x000d__x000a_" sqref="E24:P24">
      <formula1>0</formula1>
      <formula2>300</formula2>
    </dataValidation>
    <dataValidation type="textLength" errorStyle="information" allowBlank="1" showInputMessage="1" showErrorMessage="1" error="XLBVal:6=5472444.64_x000d__x000a_" sqref="E27:P27">
      <formula1>0</formula1>
      <formula2>300</formula2>
    </dataValidation>
    <dataValidation type="textLength" errorStyle="information" allowBlank="1" showInputMessage="1" showErrorMessage="1" error="XLBVal:6=376353552_x000d__x000a_" sqref="Q27">
      <formula1>0</formula1>
      <formula2>300</formula2>
    </dataValidation>
    <dataValidation type="textLength" errorStyle="information" allowBlank="1" showInputMessage="1" showErrorMessage="1" error="XLBVal:6=11866876_x000d__x000a_" sqref="Q13:Q17">
      <formula1>0</formula1>
      <formula2>300</formula2>
    </dataValidation>
    <dataValidation type="textLength" errorStyle="information" allowBlank="1" showInputMessage="1" showErrorMessage="1" error="XLBVal:5=0_x000d__x000a_" sqref="H19:I20">
      <formula1>0</formula1>
      <formula2>300</formula2>
    </dataValidation>
  </dataValidations>
  <printOptions horizontalCentered="1"/>
  <pageMargins left="0.118110236220472" right="0.118110236220472" top="0.59055118110236204" bottom="0.39370078740157499" header="0" footer="0"/>
  <pageSetup paperSize="9" scale="36" fitToHeight="0" orientation="landscape" r:id="rId1"/>
  <headerFooter>
    <oddFooter>&amp;L&amp;"微软雅黑,Regular"&amp;F&amp;C&amp;"微软雅黑,Regular"Page &amp;P of &amp;N&amp;R&amp;"微软雅黑,Regular"&amp;D</oddFooter>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0">
    <tabColor rgb="FF00B050"/>
    <pageSetUpPr fitToPage="1"/>
  </sheetPr>
  <dimension ref="A1:W198"/>
  <sheetViews>
    <sheetView zoomScale="50" zoomScaleNormal="50" zoomScaleSheetLayoutView="55" workbookViewId="0">
      <pane xSplit="4" ySplit="12" topLeftCell="E13" activePane="bottomRight" state="frozen"/>
      <selection activeCell="L7" sqref="L7"/>
      <selection pane="topRight" activeCell="L7" sqref="L7"/>
      <selection pane="bottomLeft" activeCell="L7" sqref="L7"/>
      <selection pane="bottomRight" activeCell="Z157" sqref="Z157"/>
    </sheetView>
  </sheetViews>
  <sheetFormatPr defaultColWidth="8.875" defaultRowHeight="26.25" customHeight="1" outlineLevelRow="1" outlineLevelCol="1"/>
  <cols>
    <col min="1" max="3" width="15.5" style="5" hidden="1" customWidth="1" outlineLevel="1"/>
    <col min="4" max="4" width="64.875" style="6" customWidth="1" collapsed="1"/>
    <col min="5" max="9" width="23" style="7" customWidth="1"/>
    <col min="10" max="16" width="23" style="5" customWidth="1"/>
    <col min="17" max="17" width="24.5" style="5" customWidth="1"/>
    <col min="18" max="18" width="12" style="5" customWidth="1"/>
    <col min="19" max="19" width="9.125" style="5" hidden="1" customWidth="1"/>
    <col min="20" max="20" width="22.5" style="8" hidden="1" customWidth="1"/>
    <col min="21" max="21" width="22.5" style="5" hidden="1" customWidth="1"/>
    <col min="22" max="23" width="19.875" style="5" customWidth="1"/>
    <col min="24" max="16384" width="8.875" style="5"/>
  </cols>
  <sheetData>
    <row r="1" spans="1:23" s="1" customFormat="1" ht="15" customHeight="1" outlineLevel="1">
      <c r="E1" s="9"/>
      <c r="F1" s="9"/>
      <c r="G1" s="9"/>
      <c r="H1" s="9"/>
      <c r="I1" s="9"/>
      <c r="J1" s="9"/>
      <c r="K1" s="9"/>
      <c r="L1" s="9"/>
      <c r="M1" s="9"/>
      <c r="N1" s="9"/>
      <c r="O1" s="9"/>
      <c r="P1" s="9"/>
      <c r="Q1" s="9"/>
      <c r="T1" s="32"/>
    </row>
    <row r="2" spans="1:23" s="1" customFormat="1" ht="15" customHeight="1" outlineLevel="1">
      <c r="E2" s="9"/>
      <c r="F2" s="9"/>
      <c r="G2" s="9"/>
      <c r="H2" s="9"/>
      <c r="I2" s="9"/>
      <c r="J2" s="9"/>
      <c r="K2" s="9"/>
      <c r="L2" s="9"/>
      <c r="M2" s="9"/>
      <c r="N2" s="9"/>
      <c r="O2" s="9"/>
      <c r="P2" s="9"/>
      <c r="Q2" s="9"/>
      <c r="T2" s="32"/>
    </row>
    <row r="3" spans="1:23" s="1" customFormat="1" ht="15" customHeight="1" outlineLevel="1">
      <c r="E3" s="9"/>
      <c r="F3" s="9"/>
      <c r="G3" s="9"/>
      <c r="H3" s="9"/>
      <c r="I3" s="9"/>
      <c r="J3" s="9"/>
      <c r="K3" s="9"/>
      <c r="L3" s="9"/>
      <c r="M3" s="9"/>
      <c r="N3" s="9"/>
      <c r="O3" s="9"/>
      <c r="P3" s="9"/>
      <c r="Q3" s="9"/>
      <c r="T3" s="32"/>
    </row>
    <row r="4" spans="1:23" s="2" customFormat="1" ht="24.95" customHeight="1">
      <c r="D4" s="14" t="str">
        <f>Summary!$D$4</f>
        <v>Hotel Budget Report</v>
      </c>
      <c r="E4" s="11"/>
      <c r="F4" s="11"/>
      <c r="G4" s="12"/>
      <c r="H4" s="13"/>
      <c r="I4" s="13"/>
      <c r="T4" s="33"/>
    </row>
    <row r="5" spans="1:23" s="2" customFormat="1" ht="24.95" customHeight="1">
      <c r="D5" s="14" t="str">
        <f>Summary!$D$5</f>
        <v>酒店预算报表</v>
      </c>
      <c r="E5" s="11"/>
      <c r="F5" s="11"/>
      <c r="G5" s="12"/>
      <c r="H5" s="13"/>
      <c r="I5" s="13"/>
      <c r="T5" s="33"/>
    </row>
    <row r="6" spans="1:23" s="2" customFormat="1" ht="24.95" customHeight="1">
      <c r="D6" s="14" t="s">
        <v>1046</v>
      </c>
      <c r="E6" s="13"/>
      <c r="F6" s="13"/>
      <c r="G6" s="13"/>
      <c r="H6" s="13"/>
      <c r="I6" s="13"/>
      <c r="T6" s="33"/>
    </row>
    <row r="7" spans="1:23" s="2" customFormat="1" ht="24.95" customHeight="1">
      <c r="D7" s="15" t="s">
        <v>1185</v>
      </c>
      <c r="E7" s="13"/>
      <c r="F7" s="13"/>
      <c r="G7" s="13"/>
      <c r="H7" s="13"/>
      <c r="I7" s="13"/>
      <c r="J7" s="13"/>
      <c r="K7" s="13"/>
      <c r="L7" s="13"/>
      <c r="M7" s="13"/>
      <c r="N7" s="13"/>
      <c r="O7" s="13"/>
      <c r="P7" s="13"/>
      <c r="T7" s="33"/>
    </row>
    <row r="8" spans="1:23" ht="24.95" customHeight="1">
      <c r="D8" s="16"/>
    </row>
    <row r="9" spans="1:23" s="3" customFormat="1" ht="24.95" customHeight="1">
      <c r="D9" s="17"/>
      <c r="E9" s="18">
        <v>1</v>
      </c>
      <c r="F9" s="18">
        <v>2</v>
      </c>
      <c r="G9" s="18">
        <v>3</v>
      </c>
      <c r="H9" s="18">
        <v>4</v>
      </c>
      <c r="I9" s="18">
        <v>5</v>
      </c>
      <c r="J9" s="18">
        <v>6</v>
      </c>
      <c r="K9" s="18">
        <v>7</v>
      </c>
      <c r="L9" s="18">
        <v>8</v>
      </c>
      <c r="M9" s="18">
        <v>9</v>
      </c>
      <c r="N9" s="18">
        <v>10</v>
      </c>
      <c r="O9" s="18">
        <v>11</v>
      </c>
      <c r="P9" s="18">
        <v>12</v>
      </c>
      <c r="Q9" s="18">
        <v>2025</v>
      </c>
      <c r="S9" s="34"/>
      <c r="T9" s="35"/>
    </row>
    <row r="10" spans="1:23"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34" t="s">
        <v>23</v>
      </c>
      <c r="T10" s="36" t="s">
        <v>24</v>
      </c>
      <c r="U10" s="37" t="s">
        <v>25</v>
      </c>
      <c r="V10" s="393"/>
      <c r="W10" s="393"/>
    </row>
    <row r="11" spans="1:23" s="3" customFormat="1" ht="24.95" customHeight="1">
      <c r="D11" s="21"/>
      <c r="E11" s="22"/>
      <c r="F11" s="22"/>
      <c r="G11" s="22"/>
      <c r="H11" s="23"/>
      <c r="I11" s="23"/>
      <c r="T11" s="35"/>
    </row>
    <row r="12" spans="1:23" s="3" customFormat="1" ht="24.95" customHeight="1">
      <c r="A12" s="3" t="s">
        <v>482</v>
      </c>
      <c r="B12" s="3" t="s">
        <v>52</v>
      </c>
      <c r="D12" s="21" t="s">
        <v>137</v>
      </c>
      <c r="E12" s="43">
        <f>+E194</f>
        <v>107449.31000000001</v>
      </c>
      <c r="F12" s="43">
        <f t="shared" ref="F12:P12" si="0">+F194</f>
        <v>107797.13</v>
      </c>
      <c r="G12" s="43">
        <f t="shared" si="0"/>
        <v>107275.39</v>
      </c>
      <c r="H12" s="43">
        <f t="shared" si="0"/>
        <v>107449.31000000001</v>
      </c>
      <c r="I12" s="43">
        <f t="shared" si="0"/>
        <v>107449.31000000001</v>
      </c>
      <c r="J12" s="43">
        <f t="shared" si="0"/>
        <v>107449.31000000001</v>
      </c>
      <c r="K12" s="43">
        <f t="shared" si="0"/>
        <v>107275.39</v>
      </c>
      <c r="L12" s="43">
        <f t="shared" si="0"/>
        <v>107275.39</v>
      </c>
      <c r="M12" s="43">
        <f t="shared" si="0"/>
        <v>107449.31000000001</v>
      </c>
      <c r="N12" s="43">
        <f t="shared" si="0"/>
        <v>107797.13</v>
      </c>
      <c r="O12" s="43">
        <f t="shared" si="0"/>
        <v>107275.39</v>
      </c>
      <c r="P12" s="43">
        <f t="shared" si="0"/>
        <v>107275.39</v>
      </c>
      <c r="Q12" s="370">
        <f>SUM(E12:P12)</f>
        <v>1289217.76</v>
      </c>
      <c r="R12" s="39">
        <f>Q12/Summary!$Q$16</f>
        <v>3.8764383592189776E-2</v>
      </c>
      <c r="S12" s="39"/>
      <c r="T12" s="35"/>
      <c r="U12" s="40" t="e">
        <f>-IF(Q12-T12=0,0,(Q12-T12)/T12)</f>
        <v>#DIV/0!</v>
      </c>
    </row>
    <row r="13" spans="1:23" s="3" customFormat="1" ht="24.95" customHeight="1">
      <c r="D13" s="26"/>
      <c r="E13" s="24"/>
      <c r="F13" s="24"/>
      <c r="G13" s="24"/>
      <c r="H13" s="44"/>
      <c r="I13" s="44"/>
      <c r="T13" s="35"/>
      <c r="U13" s="40"/>
    </row>
    <row r="14" spans="1:23" s="3" customFormat="1" ht="24.95" customHeight="1">
      <c r="D14" s="21" t="s">
        <v>138</v>
      </c>
      <c r="E14" s="24"/>
      <c r="F14" s="24"/>
      <c r="G14" s="24"/>
      <c r="H14" s="24"/>
      <c r="I14" s="24"/>
      <c r="J14" s="24"/>
      <c r="K14" s="24"/>
      <c r="L14" s="24"/>
      <c r="M14" s="24"/>
      <c r="N14" s="24"/>
      <c r="O14" s="24"/>
      <c r="P14" s="24"/>
      <c r="T14" s="35"/>
      <c r="U14" s="40"/>
    </row>
    <row r="15" spans="1:23" s="3" customFormat="1" ht="24.95" hidden="1" customHeight="1">
      <c r="A15" s="3" t="s">
        <v>484</v>
      </c>
      <c r="B15" s="3" t="s">
        <v>52</v>
      </c>
      <c r="D15" s="26" t="s">
        <v>485</v>
      </c>
      <c r="E15" s="43">
        <v>0</v>
      </c>
      <c r="F15" s="43">
        <v>0</v>
      </c>
      <c r="G15" s="43">
        <v>0</v>
      </c>
      <c r="H15" s="43">
        <v>0</v>
      </c>
      <c r="I15" s="43">
        <v>0</v>
      </c>
      <c r="J15" s="61">
        <v>0</v>
      </c>
      <c r="K15" s="61">
        <v>0</v>
      </c>
      <c r="L15" s="61">
        <v>0</v>
      </c>
      <c r="M15" s="61">
        <v>0</v>
      </c>
      <c r="N15" s="61">
        <v>0</v>
      </c>
      <c r="O15" s="61">
        <v>0</v>
      </c>
      <c r="P15" s="61">
        <v>0</v>
      </c>
      <c r="Q15" s="41">
        <f>SUM(E15:P15)</f>
        <v>0</v>
      </c>
      <c r="T15" s="35"/>
      <c r="U15" s="40">
        <f t="shared" ref="U15:U20" si="1">IF(Q15-T15=0,0,(Q15-T15)/T15)</f>
        <v>0</v>
      </c>
    </row>
    <row r="16" spans="1:23" s="3" customFormat="1" ht="24.95" hidden="1" customHeight="1">
      <c r="A16" s="3" t="s">
        <v>486</v>
      </c>
      <c r="B16" s="3" t="s">
        <v>52</v>
      </c>
      <c r="D16" s="28" t="s">
        <v>487</v>
      </c>
      <c r="E16" s="63">
        <v>0</v>
      </c>
      <c r="F16" s="63">
        <v>0</v>
      </c>
      <c r="G16" s="63">
        <v>0</v>
      </c>
      <c r="H16" s="63">
        <v>0</v>
      </c>
      <c r="I16" s="63">
        <v>0</v>
      </c>
      <c r="J16" s="61">
        <v>0</v>
      </c>
      <c r="K16" s="61">
        <v>0</v>
      </c>
      <c r="L16" s="61">
        <v>0</v>
      </c>
      <c r="M16" s="61">
        <v>0</v>
      </c>
      <c r="N16" s="61">
        <v>0</v>
      </c>
      <c r="O16" s="61">
        <v>0</v>
      </c>
      <c r="P16" s="61">
        <v>0</v>
      </c>
      <c r="Q16" s="41">
        <f t="shared" ref="Q16:Q79" si="2">SUM(E16:P16)</f>
        <v>0</v>
      </c>
      <c r="T16" s="35"/>
      <c r="U16" s="40">
        <f t="shared" si="1"/>
        <v>0</v>
      </c>
    </row>
    <row r="17" spans="1:21" s="3" customFormat="1" ht="24.95" hidden="1" customHeight="1">
      <c r="A17" s="3" t="s">
        <v>488</v>
      </c>
      <c r="B17" s="3" t="s">
        <v>52</v>
      </c>
      <c r="D17" s="26" t="s">
        <v>489</v>
      </c>
      <c r="E17" s="63">
        <v>0</v>
      </c>
      <c r="F17" s="63">
        <v>0</v>
      </c>
      <c r="G17" s="63">
        <v>0</v>
      </c>
      <c r="H17" s="63">
        <v>0</v>
      </c>
      <c r="I17" s="63">
        <v>0</v>
      </c>
      <c r="J17" s="61">
        <v>0</v>
      </c>
      <c r="K17" s="61">
        <v>0</v>
      </c>
      <c r="L17" s="61">
        <v>0</v>
      </c>
      <c r="M17" s="61">
        <v>0</v>
      </c>
      <c r="N17" s="61">
        <v>0</v>
      </c>
      <c r="O17" s="61">
        <v>0</v>
      </c>
      <c r="P17" s="61">
        <v>0</v>
      </c>
      <c r="Q17" s="41">
        <f t="shared" si="2"/>
        <v>0</v>
      </c>
      <c r="T17" s="35"/>
      <c r="U17" s="40">
        <f t="shared" si="1"/>
        <v>0</v>
      </c>
    </row>
    <row r="18" spans="1:21" s="3" customFormat="1" ht="24.95" hidden="1" customHeight="1">
      <c r="A18" s="3" t="s">
        <v>490</v>
      </c>
      <c r="B18" s="3" t="s">
        <v>52</v>
      </c>
      <c r="D18" s="26" t="s">
        <v>491</v>
      </c>
      <c r="E18" s="63">
        <v>0</v>
      </c>
      <c r="F18" s="63">
        <v>0</v>
      </c>
      <c r="G18" s="63">
        <v>0</v>
      </c>
      <c r="H18" s="63">
        <v>0</v>
      </c>
      <c r="I18" s="63">
        <v>0</v>
      </c>
      <c r="J18" s="61">
        <v>0</v>
      </c>
      <c r="K18" s="61">
        <v>0</v>
      </c>
      <c r="L18" s="61">
        <v>0</v>
      </c>
      <c r="M18" s="61">
        <v>0</v>
      </c>
      <c r="N18" s="61">
        <v>0</v>
      </c>
      <c r="O18" s="61">
        <v>0</v>
      </c>
      <c r="P18" s="61">
        <v>0</v>
      </c>
      <c r="Q18" s="41">
        <f t="shared" si="2"/>
        <v>0</v>
      </c>
      <c r="T18" s="35"/>
      <c r="U18" s="40">
        <f t="shared" si="1"/>
        <v>0</v>
      </c>
    </row>
    <row r="19" spans="1:21" s="3" customFormat="1" ht="24.95" hidden="1" customHeight="1">
      <c r="A19" s="3" t="s">
        <v>492</v>
      </c>
      <c r="B19" s="3" t="s">
        <v>52</v>
      </c>
      <c r="D19" s="29" t="s">
        <v>493</v>
      </c>
      <c r="E19" s="63">
        <v>0</v>
      </c>
      <c r="F19" s="63">
        <v>0</v>
      </c>
      <c r="G19" s="63">
        <v>0</v>
      </c>
      <c r="H19" s="63">
        <v>0</v>
      </c>
      <c r="I19" s="63">
        <v>0</v>
      </c>
      <c r="J19" s="61">
        <v>0</v>
      </c>
      <c r="K19" s="61">
        <v>0</v>
      </c>
      <c r="L19" s="61">
        <v>0</v>
      </c>
      <c r="M19" s="61">
        <v>0</v>
      </c>
      <c r="N19" s="61">
        <v>0</v>
      </c>
      <c r="O19" s="61">
        <v>0</v>
      </c>
      <c r="P19" s="61">
        <v>0</v>
      </c>
      <c r="Q19" s="41">
        <f t="shared" si="2"/>
        <v>0</v>
      </c>
      <c r="T19" s="35"/>
      <c r="U19" s="40">
        <f t="shared" si="1"/>
        <v>0</v>
      </c>
    </row>
    <row r="20" spans="1:21" s="3" customFormat="1" ht="24.95" hidden="1" customHeight="1">
      <c r="A20" s="3" t="s">
        <v>494</v>
      </c>
      <c r="B20" s="3" t="s">
        <v>52</v>
      </c>
      <c r="D20" s="29" t="s">
        <v>495</v>
      </c>
      <c r="E20" s="63">
        <v>0</v>
      </c>
      <c r="F20" s="63">
        <v>0</v>
      </c>
      <c r="G20" s="63">
        <v>0</v>
      </c>
      <c r="H20" s="63">
        <v>0</v>
      </c>
      <c r="I20" s="63">
        <v>0</v>
      </c>
      <c r="J20" s="61">
        <v>0</v>
      </c>
      <c r="K20" s="61">
        <v>0</v>
      </c>
      <c r="L20" s="61">
        <v>0</v>
      </c>
      <c r="M20" s="61">
        <v>0</v>
      </c>
      <c r="N20" s="61">
        <v>0</v>
      </c>
      <c r="O20" s="61">
        <v>0</v>
      </c>
      <c r="P20" s="61">
        <v>0</v>
      </c>
      <c r="Q20" s="41">
        <f t="shared" si="2"/>
        <v>0</v>
      </c>
      <c r="T20" s="35"/>
      <c r="U20" s="40">
        <f t="shared" si="1"/>
        <v>0</v>
      </c>
    </row>
    <row r="21" spans="1:21" s="3" customFormat="1" ht="24.95" customHeight="1">
      <c r="A21" s="3" t="s">
        <v>496</v>
      </c>
      <c r="B21" s="3" t="s">
        <v>52</v>
      </c>
      <c r="D21" s="26" t="s">
        <v>497</v>
      </c>
      <c r="E21" s="63"/>
      <c r="F21" s="63"/>
      <c r="G21" s="63"/>
      <c r="H21" s="63"/>
      <c r="I21" s="63"/>
      <c r="J21" s="63"/>
      <c r="K21" s="63"/>
      <c r="L21" s="63"/>
      <c r="M21" s="63"/>
      <c r="N21" s="63"/>
      <c r="O21" s="63"/>
      <c r="P21" s="63"/>
      <c r="Q21" s="379">
        <f t="shared" si="2"/>
        <v>0</v>
      </c>
      <c r="R21" s="39">
        <f>Q21/Summary!$Q$16</f>
        <v>0</v>
      </c>
      <c r="S21" s="39"/>
      <c r="T21" s="35"/>
      <c r="U21" s="40">
        <f t="shared" ref="U21:U52" si="3">-IF(T21&lt;&gt;0,(Q21-T21)/T21,1)</f>
        <v>-1</v>
      </c>
    </row>
    <row r="22" spans="1:21" s="3" customFormat="1" ht="24.95" hidden="1" customHeight="1">
      <c r="A22" s="3" t="s">
        <v>498</v>
      </c>
      <c r="B22" s="3" t="s">
        <v>52</v>
      </c>
      <c r="D22" s="29" t="s">
        <v>499</v>
      </c>
      <c r="E22" s="63"/>
      <c r="F22" s="63"/>
      <c r="G22" s="63"/>
      <c r="H22" s="63"/>
      <c r="I22" s="63"/>
      <c r="J22" s="63"/>
      <c r="K22" s="63"/>
      <c r="L22" s="63"/>
      <c r="M22" s="63"/>
      <c r="N22" s="63"/>
      <c r="O22" s="63"/>
      <c r="P22" s="63"/>
      <c r="Q22" s="379">
        <f t="shared" si="2"/>
        <v>0</v>
      </c>
      <c r="R22" s="39">
        <f>Q22/Summary!$Q$16</f>
        <v>0</v>
      </c>
      <c r="S22" s="39"/>
      <c r="T22" s="35"/>
      <c r="U22" s="40">
        <f t="shared" si="3"/>
        <v>-1</v>
      </c>
    </row>
    <row r="23" spans="1:21" s="3" customFormat="1" ht="24.95" hidden="1" customHeight="1">
      <c r="A23" s="3" t="s">
        <v>500</v>
      </c>
      <c r="B23" s="3" t="s">
        <v>52</v>
      </c>
      <c r="D23" s="26" t="s">
        <v>501</v>
      </c>
      <c r="E23" s="63"/>
      <c r="F23" s="63"/>
      <c r="G23" s="63"/>
      <c r="H23" s="63"/>
      <c r="I23" s="63"/>
      <c r="J23" s="63"/>
      <c r="K23" s="63"/>
      <c r="L23" s="63"/>
      <c r="M23" s="63"/>
      <c r="N23" s="63"/>
      <c r="O23" s="63"/>
      <c r="P23" s="63"/>
      <c r="Q23" s="379">
        <f t="shared" si="2"/>
        <v>0</v>
      </c>
      <c r="R23" s="39">
        <f>Q23/Summary!$Q$16</f>
        <v>0</v>
      </c>
      <c r="S23" s="39"/>
      <c r="T23" s="35"/>
      <c r="U23" s="40">
        <f t="shared" si="3"/>
        <v>-1</v>
      </c>
    </row>
    <row r="24" spans="1:21" s="3" customFormat="1" ht="24.95" hidden="1" customHeight="1">
      <c r="A24" s="3" t="s">
        <v>502</v>
      </c>
      <c r="B24" s="3" t="s">
        <v>52</v>
      </c>
      <c r="D24" s="26" t="s">
        <v>503</v>
      </c>
      <c r="E24" s="63"/>
      <c r="F24" s="63"/>
      <c r="G24" s="63"/>
      <c r="H24" s="63"/>
      <c r="I24" s="63"/>
      <c r="J24" s="63"/>
      <c r="K24" s="63"/>
      <c r="L24" s="63"/>
      <c r="M24" s="63"/>
      <c r="N24" s="63"/>
      <c r="O24" s="63"/>
      <c r="P24" s="63"/>
      <c r="Q24" s="379">
        <f t="shared" si="2"/>
        <v>0</v>
      </c>
      <c r="R24" s="39">
        <f>Q24/Summary!$Q$16</f>
        <v>0</v>
      </c>
      <c r="S24" s="39"/>
      <c r="T24" s="35"/>
      <c r="U24" s="40">
        <f t="shared" si="3"/>
        <v>-1</v>
      </c>
    </row>
    <row r="25" spans="1:21" s="3" customFormat="1" ht="24.95" customHeight="1">
      <c r="A25" s="3" t="s">
        <v>504</v>
      </c>
      <c r="B25" s="3" t="s">
        <v>52</v>
      </c>
      <c r="D25" s="26" t="s">
        <v>505</v>
      </c>
      <c r="E25" s="63"/>
      <c r="F25" s="63"/>
      <c r="G25" s="63"/>
      <c r="H25" s="63"/>
      <c r="I25" s="63"/>
      <c r="J25" s="63"/>
      <c r="K25" s="63"/>
      <c r="L25" s="63"/>
      <c r="M25" s="63"/>
      <c r="N25" s="63"/>
      <c r="O25" s="63"/>
      <c r="P25" s="63"/>
      <c r="Q25" s="379">
        <f t="shared" si="2"/>
        <v>0</v>
      </c>
      <c r="R25" s="39">
        <f>Q25/Summary!$Q$16</f>
        <v>0</v>
      </c>
      <c r="S25" s="39"/>
      <c r="T25" s="35"/>
      <c r="U25" s="40">
        <f t="shared" si="3"/>
        <v>-1</v>
      </c>
    </row>
    <row r="26" spans="1:21" s="3" customFormat="1" ht="24.95" customHeight="1">
      <c r="A26" s="3" t="s">
        <v>506</v>
      </c>
      <c r="B26" s="3" t="s">
        <v>52</v>
      </c>
      <c r="D26" s="26" t="s">
        <v>507</v>
      </c>
      <c r="E26" s="63">
        <v>2000</v>
      </c>
      <c r="F26" s="63">
        <v>2000</v>
      </c>
      <c r="G26" s="63">
        <v>2000</v>
      </c>
      <c r="H26" s="63">
        <v>2000</v>
      </c>
      <c r="I26" s="63">
        <v>2000</v>
      </c>
      <c r="J26" s="63">
        <v>2000</v>
      </c>
      <c r="K26" s="63">
        <v>2000</v>
      </c>
      <c r="L26" s="63">
        <v>2000</v>
      </c>
      <c r="M26" s="63">
        <v>2000</v>
      </c>
      <c r="N26" s="63">
        <v>2000</v>
      </c>
      <c r="O26" s="63">
        <v>2000</v>
      </c>
      <c r="P26" s="63">
        <v>2000</v>
      </c>
      <c r="Q26" s="379">
        <f t="shared" si="2"/>
        <v>24000</v>
      </c>
      <c r="R26" s="39">
        <f>Q26/Summary!$Q$16</f>
        <v>7.216354250445282E-4</v>
      </c>
      <c r="S26" s="39"/>
      <c r="T26" s="35"/>
      <c r="U26" s="40">
        <f t="shared" si="3"/>
        <v>-1</v>
      </c>
    </row>
    <row r="27" spans="1:21" s="3" customFormat="1" ht="24.95" hidden="1" customHeight="1">
      <c r="A27" s="3" t="s">
        <v>508</v>
      </c>
      <c r="B27" s="3" t="s">
        <v>52</v>
      </c>
      <c r="D27" s="26" t="s">
        <v>509</v>
      </c>
      <c r="E27" s="63"/>
      <c r="F27" s="63"/>
      <c r="G27" s="63"/>
      <c r="H27" s="63"/>
      <c r="I27" s="63"/>
      <c r="J27" s="63"/>
      <c r="K27" s="63"/>
      <c r="L27" s="63"/>
      <c r="M27" s="63"/>
      <c r="N27" s="63"/>
      <c r="O27" s="63"/>
      <c r="P27" s="63"/>
      <c r="Q27" s="379">
        <f t="shared" si="2"/>
        <v>0</v>
      </c>
      <c r="R27" s="39">
        <f>Q27/Summary!$Q$16</f>
        <v>0</v>
      </c>
      <c r="S27" s="39"/>
      <c r="T27" s="35"/>
      <c r="U27" s="40">
        <f t="shared" si="3"/>
        <v>-1</v>
      </c>
    </row>
    <row r="28" spans="1:21" s="3" customFormat="1" ht="24.95" hidden="1" customHeight="1">
      <c r="A28" s="3" t="s">
        <v>510</v>
      </c>
      <c r="B28" s="3" t="s">
        <v>52</v>
      </c>
      <c r="D28" s="26" t="s">
        <v>511</v>
      </c>
      <c r="E28" s="63"/>
      <c r="F28" s="63"/>
      <c r="G28" s="63"/>
      <c r="H28" s="63"/>
      <c r="I28" s="63"/>
      <c r="J28" s="63"/>
      <c r="K28" s="63"/>
      <c r="L28" s="63"/>
      <c r="M28" s="63"/>
      <c r="N28" s="63"/>
      <c r="O28" s="63"/>
      <c r="P28" s="63"/>
      <c r="Q28" s="379">
        <f t="shared" si="2"/>
        <v>0</v>
      </c>
      <c r="R28" s="39">
        <f>Q28/Summary!$Q$16</f>
        <v>0</v>
      </c>
      <c r="S28" s="39"/>
      <c r="T28" s="35"/>
      <c r="U28" s="40">
        <f t="shared" si="3"/>
        <v>-1</v>
      </c>
    </row>
    <row r="29" spans="1:21" s="3" customFormat="1" ht="24.95" hidden="1" customHeight="1">
      <c r="A29" s="3" t="s">
        <v>512</v>
      </c>
      <c r="B29" s="3" t="s">
        <v>52</v>
      </c>
      <c r="D29" s="26" t="s">
        <v>169</v>
      </c>
      <c r="E29" s="63"/>
      <c r="F29" s="63"/>
      <c r="G29" s="63"/>
      <c r="H29" s="63"/>
      <c r="I29" s="63"/>
      <c r="J29" s="63"/>
      <c r="K29" s="63"/>
      <c r="L29" s="63"/>
      <c r="M29" s="63"/>
      <c r="N29" s="63"/>
      <c r="O29" s="63"/>
      <c r="P29" s="63"/>
      <c r="Q29" s="379">
        <f t="shared" si="2"/>
        <v>0</v>
      </c>
      <c r="R29" s="39">
        <f>Q29/Summary!$Q$16</f>
        <v>0</v>
      </c>
      <c r="S29" s="39"/>
      <c r="T29" s="35"/>
      <c r="U29" s="40">
        <f t="shared" si="3"/>
        <v>-1</v>
      </c>
    </row>
    <row r="30" spans="1:21" s="3" customFormat="1" ht="24.95" hidden="1" customHeight="1">
      <c r="A30" s="3" t="s">
        <v>513</v>
      </c>
      <c r="B30" s="3" t="s">
        <v>52</v>
      </c>
      <c r="D30" s="26" t="s">
        <v>171</v>
      </c>
      <c r="E30" s="63"/>
      <c r="F30" s="63"/>
      <c r="G30" s="63"/>
      <c r="H30" s="63"/>
      <c r="I30" s="63"/>
      <c r="J30" s="63"/>
      <c r="K30" s="63"/>
      <c r="L30" s="63"/>
      <c r="M30" s="63"/>
      <c r="N30" s="63"/>
      <c r="O30" s="63"/>
      <c r="P30" s="63"/>
      <c r="Q30" s="379">
        <f t="shared" si="2"/>
        <v>0</v>
      </c>
      <c r="R30" s="39">
        <f>Q30/Summary!$Q$16</f>
        <v>0</v>
      </c>
      <c r="S30" s="39"/>
      <c r="T30" s="35"/>
      <c r="U30" s="40">
        <f t="shared" si="3"/>
        <v>-1</v>
      </c>
    </row>
    <row r="31" spans="1:21" s="3" customFormat="1" ht="24.95" hidden="1" customHeight="1">
      <c r="A31" s="3" t="s">
        <v>514</v>
      </c>
      <c r="B31" s="3" t="s">
        <v>52</v>
      </c>
      <c r="D31" s="26" t="s">
        <v>515</v>
      </c>
      <c r="E31" s="63"/>
      <c r="F31" s="63"/>
      <c r="G31" s="63"/>
      <c r="H31" s="63"/>
      <c r="I31" s="63"/>
      <c r="J31" s="63"/>
      <c r="K31" s="63"/>
      <c r="L31" s="63"/>
      <c r="M31" s="63"/>
      <c r="N31" s="63"/>
      <c r="O31" s="63"/>
      <c r="P31" s="63"/>
      <c r="Q31" s="379">
        <f t="shared" si="2"/>
        <v>0</v>
      </c>
      <c r="R31" s="39">
        <f>Q31/Summary!$Q$16</f>
        <v>0</v>
      </c>
      <c r="S31" s="39"/>
      <c r="T31" s="35"/>
      <c r="U31" s="40">
        <f t="shared" si="3"/>
        <v>-1</v>
      </c>
    </row>
    <row r="32" spans="1:21" s="3" customFormat="1" ht="24.95" hidden="1" customHeight="1">
      <c r="A32" s="3" t="s">
        <v>516</v>
      </c>
      <c r="B32" s="3" t="s">
        <v>52</v>
      </c>
      <c r="D32" s="26" t="s">
        <v>517</v>
      </c>
      <c r="E32" s="63"/>
      <c r="F32" s="63"/>
      <c r="G32" s="63"/>
      <c r="H32" s="63"/>
      <c r="I32" s="63"/>
      <c r="J32" s="63"/>
      <c r="K32" s="63"/>
      <c r="L32" s="63"/>
      <c r="M32" s="63"/>
      <c r="N32" s="63"/>
      <c r="O32" s="63"/>
      <c r="P32" s="63"/>
      <c r="Q32" s="379">
        <f t="shared" si="2"/>
        <v>0</v>
      </c>
      <c r="R32" s="39">
        <f>Q32/Summary!$Q$16</f>
        <v>0</v>
      </c>
      <c r="S32" s="39"/>
      <c r="T32" s="35"/>
      <c r="U32" s="40">
        <f t="shared" si="3"/>
        <v>-1</v>
      </c>
    </row>
    <row r="33" spans="1:21" s="3" customFormat="1" ht="24.95" hidden="1" customHeight="1">
      <c r="A33" s="3" t="s">
        <v>518</v>
      </c>
      <c r="B33" s="3" t="s">
        <v>52</v>
      </c>
      <c r="D33" s="26" t="s">
        <v>519</v>
      </c>
      <c r="E33" s="63"/>
      <c r="F33" s="63"/>
      <c r="G33" s="63"/>
      <c r="H33" s="63"/>
      <c r="I33" s="63"/>
      <c r="J33" s="63"/>
      <c r="K33" s="63"/>
      <c r="L33" s="63"/>
      <c r="M33" s="63"/>
      <c r="N33" s="63"/>
      <c r="O33" s="63"/>
      <c r="P33" s="63"/>
      <c r="Q33" s="379">
        <f t="shared" si="2"/>
        <v>0</v>
      </c>
      <c r="R33" s="39">
        <f>Q33/Summary!$Q$16</f>
        <v>0</v>
      </c>
      <c r="S33" s="39"/>
      <c r="T33" s="35"/>
      <c r="U33" s="40">
        <f t="shared" si="3"/>
        <v>-1</v>
      </c>
    </row>
    <row r="34" spans="1:21" s="3" customFormat="1" ht="24.95" hidden="1" customHeight="1">
      <c r="A34" s="3" t="s">
        <v>520</v>
      </c>
      <c r="B34" s="3" t="s">
        <v>52</v>
      </c>
      <c r="D34" s="26" t="s">
        <v>521</v>
      </c>
      <c r="E34" s="63"/>
      <c r="F34" s="63"/>
      <c r="G34" s="63"/>
      <c r="H34" s="63"/>
      <c r="I34" s="63"/>
      <c r="J34" s="63"/>
      <c r="K34" s="63"/>
      <c r="L34" s="63"/>
      <c r="M34" s="63"/>
      <c r="N34" s="63"/>
      <c r="O34" s="63"/>
      <c r="P34" s="63"/>
      <c r="Q34" s="379">
        <f t="shared" si="2"/>
        <v>0</v>
      </c>
      <c r="R34" s="39">
        <f>Q34/Summary!$Q$16</f>
        <v>0</v>
      </c>
      <c r="S34" s="39"/>
      <c r="T34" s="35"/>
      <c r="U34" s="40">
        <f t="shared" si="3"/>
        <v>-1</v>
      </c>
    </row>
    <row r="35" spans="1:21" s="3" customFormat="1" ht="24.95" hidden="1" customHeight="1">
      <c r="A35" s="3" t="s">
        <v>522</v>
      </c>
      <c r="B35" s="3" t="s">
        <v>52</v>
      </c>
      <c r="D35" s="26" t="s">
        <v>523</v>
      </c>
      <c r="E35" s="63"/>
      <c r="F35" s="63"/>
      <c r="G35" s="63"/>
      <c r="H35" s="63"/>
      <c r="I35" s="63"/>
      <c r="J35" s="63"/>
      <c r="K35" s="63"/>
      <c r="L35" s="63"/>
      <c r="M35" s="63"/>
      <c r="N35" s="63"/>
      <c r="O35" s="63"/>
      <c r="P35" s="63"/>
      <c r="Q35" s="379">
        <f t="shared" si="2"/>
        <v>0</v>
      </c>
      <c r="R35" s="39">
        <f>Q35/Summary!$Q$16</f>
        <v>0</v>
      </c>
      <c r="S35" s="39"/>
      <c r="T35" s="35"/>
      <c r="U35" s="40">
        <f t="shared" si="3"/>
        <v>-1</v>
      </c>
    </row>
    <row r="36" spans="1:21" s="3" customFormat="1" ht="24.95" hidden="1" customHeight="1">
      <c r="A36" s="3" t="s">
        <v>524</v>
      </c>
      <c r="B36" s="3" t="s">
        <v>52</v>
      </c>
      <c r="D36" s="26" t="s">
        <v>525</v>
      </c>
      <c r="E36" s="63"/>
      <c r="F36" s="63"/>
      <c r="G36" s="63"/>
      <c r="H36" s="63"/>
      <c r="I36" s="63"/>
      <c r="J36" s="63"/>
      <c r="K36" s="63"/>
      <c r="L36" s="63"/>
      <c r="M36" s="63"/>
      <c r="N36" s="63"/>
      <c r="O36" s="63"/>
      <c r="P36" s="63"/>
      <c r="Q36" s="379">
        <f t="shared" si="2"/>
        <v>0</v>
      </c>
      <c r="R36" s="39">
        <f>Q36/Summary!$Q$16</f>
        <v>0</v>
      </c>
      <c r="S36" s="39"/>
      <c r="T36" s="35"/>
      <c r="U36" s="40">
        <f t="shared" si="3"/>
        <v>-1</v>
      </c>
    </row>
    <row r="37" spans="1:21" s="3" customFormat="1" ht="24.95" hidden="1" customHeight="1">
      <c r="A37" s="3" t="s">
        <v>526</v>
      </c>
      <c r="B37" s="3" t="s">
        <v>52</v>
      </c>
      <c r="D37" s="26" t="s">
        <v>527</v>
      </c>
      <c r="E37" s="63"/>
      <c r="F37" s="63"/>
      <c r="G37" s="63"/>
      <c r="H37" s="63"/>
      <c r="I37" s="63"/>
      <c r="J37" s="63"/>
      <c r="K37" s="63"/>
      <c r="L37" s="63"/>
      <c r="M37" s="63"/>
      <c r="N37" s="63"/>
      <c r="O37" s="63"/>
      <c r="P37" s="63"/>
      <c r="Q37" s="379">
        <f t="shared" si="2"/>
        <v>0</v>
      </c>
      <c r="R37" s="39">
        <f>Q37/Summary!$Q$16</f>
        <v>0</v>
      </c>
      <c r="S37" s="39"/>
      <c r="T37" s="35"/>
      <c r="U37" s="40">
        <f t="shared" si="3"/>
        <v>-1</v>
      </c>
    </row>
    <row r="38" spans="1:21" s="3" customFormat="1" ht="24.95" hidden="1" customHeight="1">
      <c r="A38" s="3" t="s">
        <v>528</v>
      </c>
      <c r="B38" s="3" t="s">
        <v>52</v>
      </c>
      <c r="D38" s="26" t="s">
        <v>529</v>
      </c>
      <c r="E38" s="63"/>
      <c r="F38" s="63"/>
      <c r="G38" s="63"/>
      <c r="H38" s="63"/>
      <c r="I38" s="63"/>
      <c r="J38" s="63"/>
      <c r="K38" s="63"/>
      <c r="L38" s="63"/>
      <c r="M38" s="63"/>
      <c r="N38" s="63"/>
      <c r="O38" s="63"/>
      <c r="P38" s="63"/>
      <c r="Q38" s="379">
        <f t="shared" si="2"/>
        <v>0</v>
      </c>
      <c r="R38" s="39">
        <f>Q38/Summary!$Q$16</f>
        <v>0</v>
      </c>
      <c r="S38" s="39"/>
      <c r="T38" s="35"/>
      <c r="U38" s="40">
        <f t="shared" si="3"/>
        <v>-1</v>
      </c>
    </row>
    <row r="39" spans="1:21" s="3" customFormat="1" ht="24.95" hidden="1" customHeight="1">
      <c r="A39" s="3" t="s">
        <v>530</v>
      </c>
      <c r="B39" s="3" t="s">
        <v>52</v>
      </c>
      <c r="D39" s="26" t="s">
        <v>531</v>
      </c>
      <c r="E39" s="63"/>
      <c r="F39" s="63"/>
      <c r="G39" s="63"/>
      <c r="H39" s="63"/>
      <c r="I39" s="63"/>
      <c r="J39" s="63"/>
      <c r="K39" s="63"/>
      <c r="L39" s="63"/>
      <c r="M39" s="63"/>
      <c r="N39" s="63"/>
      <c r="O39" s="63"/>
      <c r="P39" s="63"/>
      <c r="Q39" s="379">
        <f t="shared" si="2"/>
        <v>0</v>
      </c>
      <c r="R39" s="39">
        <f>Q39/Summary!$Q$16</f>
        <v>0</v>
      </c>
      <c r="S39" s="39"/>
      <c r="T39" s="35"/>
      <c r="U39" s="40">
        <f t="shared" si="3"/>
        <v>-1</v>
      </c>
    </row>
    <row r="40" spans="1:21" s="3" customFormat="1" ht="24.95" hidden="1" customHeight="1">
      <c r="A40" s="3" t="s">
        <v>532</v>
      </c>
      <c r="B40" s="3" t="s">
        <v>52</v>
      </c>
      <c r="D40" s="26" t="s">
        <v>1182</v>
      </c>
      <c r="E40" s="63"/>
      <c r="F40" s="63"/>
      <c r="G40" s="63"/>
      <c r="H40" s="63"/>
      <c r="I40" s="63"/>
      <c r="J40" s="63"/>
      <c r="K40" s="63"/>
      <c r="L40" s="63"/>
      <c r="M40" s="63"/>
      <c r="N40" s="63"/>
      <c r="O40" s="63"/>
      <c r="P40" s="63"/>
      <c r="Q40" s="379">
        <f t="shared" si="2"/>
        <v>0</v>
      </c>
      <c r="R40" s="39">
        <f>Q40/Summary!$Q$16</f>
        <v>0</v>
      </c>
      <c r="S40" s="39"/>
      <c r="T40" s="35"/>
      <c r="U40" s="40">
        <f t="shared" si="3"/>
        <v>-1</v>
      </c>
    </row>
    <row r="41" spans="1:21" s="3" customFormat="1" ht="24.95" hidden="1" customHeight="1">
      <c r="A41" s="3" t="s">
        <v>534</v>
      </c>
      <c r="B41" s="3" t="s">
        <v>52</v>
      </c>
      <c r="D41" s="26" t="s">
        <v>535</v>
      </c>
      <c r="E41" s="63"/>
      <c r="F41" s="63"/>
      <c r="G41" s="63"/>
      <c r="H41" s="63"/>
      <c r="I41" s="63"/>
      <c r="J41" s="63"/>
      <c r="K41" s="63"/>
      <c r="L41" s="63"/>
      <c r="M41" s="63"/>
      <c r="N41" s="63"/>
      <c r="O41" s="63"/>
      <c r="P41" s="63"/>
      <c r="Q41" s="379">
        <f t="shared" si="2"/>
        <v>0</v>
      </c>
      <c r="R41" s="39">
        <f>Q41/Summary!$Q$16</f>
        <v>0</v>
      </c>
      <c r="S41" s="39"/>
      <c r="T41" s="35"/>
      <c r="U41" s="40">
        <f t="shared" si="3"/>
        <v>-1</v>
      </c>
    </row>
    <row r="42" spans="1:21" s="3" customFormat="1" ht="24.95" hidden="1" customHeight="1">
      <c r="A42" s="3" t="s">
        <v>536</v>
      </c>
      <c r="B42" s="3" t="s">
        <v>52</v>
      </c>
      <c r="D42" s="26" t="s">
        <v>537</v>
      </c>
      <c r="E42" s="63"/>
      <c r="F42" s="63"/>
      <c r="G42" s="63"/>
      <c r="H42" s="63"/>
      <c r="I42" s="63"/>
      <c r="J42" s="63"/>
      <c r="K42" s="63"/>
      <c r="L42" s="63"/>
      <c r="M42" s="63"/>
      <c r="N42" s="63"/>
      <c r="O42" s="63"/>
      <c r="P42" s="63"/>
      <c r="Q42" s="379">
        <f t="shared" si="2"/>
        <v>0</v>
      </c>
      <c r="R42" s="39">
        <f>Q42/Summary!$Q$16</f>
        <v>0</v>
      </c>
      <c r="S42" s="39"/>
      <c r="T42" s="35"/>
      <c r="U42" s="40">
        <f t="shared" si="3"/>
        <v>-1</v>
      </c>
    </row>
    <row r="43" spans="1:21" s="3" customFormat="1" ht="24.95" customHeight="1">
      <c r="A43" s="3" t="s">
        <v>538</v>
      </c>
      <c r="B43" s="3" t="s">
        <v>52</v>
      </c>
      <c r="D43" s="26" t="s">
        <v>539</v>
      </c>
      <c r="E43" s="63">
        <v>200</v>
      </c>
      <c r="F43" s="63">
        <v>200</v>
      </c>
      <c r="G43" s="63">
        <v>200</v>
      </c>
      <c r="H43" s="63">
        <v>200</v>
      </c>
      <c r="I43" s="63">
        <v>200</v>
      </c>
      <c r="J43" s="63">
        <v>200</v>
      </c>
      <c r="K43" s="63">
        <v>200</v>
      </c>
      <c r="L43" s="63">
        <v>200</v>
      </c>
      <c r="M43" s="63">
        <v>200</v>
      </c>
      <c r="N43" s="63">
        <v>200</v>
      </c>
      <c r="O43" s="63">
        <v>200</v>
      </c>
      <c r="P43" s="63">
        <v>200</v>
      </c>
      <c r="Q43" s="379">
        <f t="shared" si="2"/>
        <v>2400</v>
      </c>
      <c r="R43" s="39">
        <f>Q43/Summary!$Q$16</f>
        <v>7.2163542504452826E-5</v>
      </c>
      <c r="S43" s="39"/>
      <c r="T43" s="35"/>
      <c r="U43" s="40">
        <f t="shared" si="3"/>
        <v>-1</v>
      </c>
    </row>
    <row r="44" spans="1:21" s="3" customFormat="1" ht="24.95" hidden="1" customHeight="1">
      <c r="A44" s="3" t="s">
        <v>540</v>
      </c>
      <c r="B44" s="3" t="s">
        <v>52</v>
      </c>
      <c r="D44" s="26" t="s">
        <v>541</v>
      </c>
      <c r="E44" s="63"/>
      <c r="F44" s="63"/>
      <c r="G44" s="63"/>
      <c r="H44" s="63"/>
      <c r="I44" s="63"/>
      <c r="J44" s="63"/>
      <c r="K44" s="63"/>
      <c r="L44" s="63"/>
      <c r="M44" s="63"/>
      <c r="N44" s="63"/>
      <c r="O44" s="63"/>
      <c r="P44" s="63"/>
      <c r="Q44" s="379">
        <f t="shared" si="2"/>
        <v>0</v>
      </c>
      <c r="R44" s="39">
        <f>Q44/Summary!$Q$16</f>
        <v>0</v>
      </c>
      <c r="S44" s="39"/>
      <c r="T44" s="35"/>
      <c r="U44" s="40">
        <f t="shared" si="3"/>
        <v>-1</v>
      </c>
    </row>
    <row r="45" spans="1:21" s="3" customFormat="1" ht="24.95" customHeight="1">
      <c r="A45" s="3" t="s">
        <v>542</v>
      </c>
      <c r="B45" s="3" t="s">
        <v>52</v>
      </c>
      <c r="D45" s="26" t="s">
        <v>543</v>
      </c>
      <c r="E45" s="63"/>
      <c r="F45" s="63"/>
      <c r="G45" s="63"/>
      <c r="H45" s="63"/>
      <c r="I45" s="63"/>
      <c r="J45" s="63"/>
      <c r="K45" s="63"/>
      <c r="L45" s="63"/>
      <c r="M45" s="63"/>
      <c r="N45" s="63"/>
      <c r="O45" s="63"/>
      <c r="P45" s="63"/>
      <c r="Q45" s="379">
        <f t="shared" si="2"/>
        <v>0</v>
      </c>
      <c r="R45" s="39">
        <f>Q45/Summary!$Q$16</f>
        <v>0</v>
      </c>
      <c r="S45" s="39"/>
      <c r="T45" s="35"/>
      <c r="U45" s="40">
        <f t="shared" si="3"/>
        <v>-1</v>
      </c>
    </row>
    <row r="46" spans="1:21" s="3" customFormat="1" ht="24.95" customHeight="1">
      <c r="A46" s="3" t="s">
        <v>544</v>
      </c>
      <c r="B46" s="3" t="s">
        <v>52</v>
      </c>
      <c r="D46" s="29" t="s">
        <v>545</v>
      </c>
      <c r="E46" s="63"/>
      <c r="F46" s="63"/>
      <c r="G46" s="63"/>
      <c r="H46" s="63"/>
      <c r="I46" s="63"/>
      <c r="J46" s="63"/>
      <c r="K46" s="63"/>
      <c r="L46" s="63"/>
      <c r="M46" s="63"/>
      <c r="N46" s="63"/>
      <c r="O46" s="63"/>
      <c r="P46" s="63"/>
      <c r="Q46" s="379">
        <f t="shared" si="2"/>
        <v>0</v>
      </c>
      <c r="R46" s="39">
        <f>Q46/Summary!$Q$16</f>
        <v>0</v>
      </c>
      <c r="S46" s="39"/>
      <c r="T46" s="35"/>
      <c r="U46" s="40">
        <f t="shared" si="3"/>
        <v>-1</v>
      </c>
    </row>
    <row r="47" spans="1:21" s="3" customFormat="1" ht="24.95" hidden="1" customHeight="1">
      <c r="A47" s="3" t="s">
        <v>546</v>
      </c>
      <c r="B47" s="3" t="s">
        <v>52</v>
      </c>
      <c r="D47" s="26" t="s">
        <v>547</v>
      </c>
      <c r="E47" s="63"/>
      <c r="F47" s="63"/>
      <c r="G47" s="63"/>
      <c r="H47" s="63"/>
      <c r="I47" s="63"/>
      <c r="J47" s="63"/>
      <c r="K47" s="63"/>
      <c r="L47" s="63"/>
      <c r="M47" s="63"/>
      <c r="N47" s="63"/>
      <c r="O47" s="63"/>
      <c r="P47" s="63"/>
      <c r="Q47" s="379">
        <f t="shared" si="2"/>
        <v>0</v>
      </c>
      <c r="R47" s="39">
        <f>Q47/Summary!$Q$16</f>
        <v>0</v>
      </c>
      <c r="S47" s="39"/>
      <c r="T47" s="35"/>
      <c r="U47" s="40">
        <f t="shared" si="3"/>
        <v>-1</v>
      </c>
    </row>
    <row r="48" spans="1:21" s="3" customFormat="1" ht="24.95" customHeight="1">
      <c r="A48" s="3" t="s">
        <v>548</v>
      </c>
      <c r="B48" s="3" t="s">
        <v>52</v>
      </c>
      <c r="D48" s="26" t="s">
        <v>549</v>
      </c>
      <c r="E48" s="63"/>
      <c r="F48" s="63"/>
      <c r="G48" s="63"/>
      <c r="H48" s="63"/>
      <c r="I48" s="63"/>
      <c r="J48" s="63"/>
      <c r="K48" s="63"/>
      <c r="L48" s="63"/>
      <c r="M48" s="63"/>
      <c r="N48" s="63"/>
      <c r="O48" s="63"/>
      <c r="P48" s="63"/>
      <c r="Q48" s="379">
        <f t="shared" si="2"/>
        <v>0</v>
      </c>
      <c r="R48" s="39">
        <f>Q48/Summary!$Q$16</f>
        <v>0</v>
      </c>
      <c r="S48" s="39"/>
      <c r="T48" s="35"/>
      <c r="U48" s="40">
        <f t="shared" si="3"/>
        <v>-1</v>
      </c>
    </row>
    <row r="49" spans="1:21" s="372" customFormat="1" ht="24.95" customHeight="1">
      <c r="A49" s="372" t="s">
        <v>550</v>
      </c>
      <c r="B49" s="372" t="s">
        <v>52</v>
      </c>
      <c r="D49" s="367" t="s">
        <v>1173</v>
      </c>
      <c r="E49" s="63"/>
      <c r="F49" s="63"/>
      <c r="G49" s="63"/>
      <c r="H49" s="63"/>
      <c r="I49" s="63"/>
      <c r="J49" s="63"/>
      <c r="K49" s="63"/>
      <c r="L49" s="63"/>
      <c r="M49" s="63"/>
      <c r="N49" s="63"/>
      <c r="O49" s="63"/>
      <c r="P49" s="63"/>
      <c r="Q49" s="379">
        <f t="shared" si="2"/>
        <v>0</v>
      </c>
      <c r="R49" s="39">
        <f>Q49/Summary!$Q$16</f>
        <v>0</v>
      </c>
      <c r="S49" s="39"/>
      <c r="T49" s="375"/>
      <c r="U49" s="360">
        <f t="shared" si="3"/>
        <v>-1</v>
      </c>
    </row>
    <row r="50" spans="1:21" s="3" customFormat="1" ht="24.95" hidden="1" customHeight="1">
      <c r="A50" s="3" t="s">
        <v>552</v>
      </c>
      <c r="B50" s="3" t="s">
        <v>52</v>
      </c>
      <c r="D50" s="26" t="s">
        <v>553</v>
      </c>
      <c r="E50" s="63"/>
      <c r="F50" s="63"/>
      <c r="G50" s="63"/>
      <c r="H50" s="63"/>
      <c r="I50" s="63"/>
      <c r="J50" s="63"/>
      <c r="K50" s="63"/>
      <c r="L50" s="63"/>
      <c r="M50" s="63"/>
      <c r="N50" s="63"/>
      <c r="O50" s="63"/>
      <c r="P50" s="63"/>
      <c r="Q50" s="379">
        <f t="shared" si="2"/>
        <v>0</v>
      </c>
      <c r="R50" s="39">
        <f>Q50/Summary!$Q$16</f>
        <v>0</v>
      </c>
      <c r="S50" s="39"/>
      <c r="T50" s="35"/>
      <c r="U50" s="40">
        <f t="shared" si="3"/>
        <v>-1</v>
      </c>
    </row>
    <row r="51" spans="1:21" s="3" customFormat="1" ht="24.95" hidden="1" customHeight="1">
      <c r="A51" s="3" t="s">
        <v>554</v>
      </c>
      <c r="B51" s="3" t="s">
        <v>52</v>
      </c>
      <c r="D51" s="26" t="s">
        <v>555</v>
      </c>
      <c r="E51" s="63"/>
      <c r="F51" s="63"/>
      <c r="G51" s="63"/>
      <c r="H51" s="63"/>
      <c r="I51" s="63"/>
      <c r="J51" s="63"/>
      <c r="K51" s="63"/>
      <c r="L51" s="63"/>
      <c r="M51" s="63"/>
      <c r="N51" s="63"/>
      <c r="O51" s="63"/>
      <c r="P51" s="63"/>
      <c r="Q51" s="379">
        <f t="shared" si="2"/>
        <v>0</v>
      </c>
      <c r="R51" s="39">
        <f>Q51/Summary!$Q$16</f>
        <v>0</v>
      </c>
      <c r="S51" s="39"/>
      <c r="T51" s="35"/>
      <c r="U51" s="40">
        <f t="shared" si="3"/>
        <v>-1</v>
      </c>
    </row>
    <row r="52" spans="1:21" s="3" customFormat="1" ht="24.95" hidden="1" customHeight="1">
      <c r="A52" s="3" t="s">
        <v>556</v>
      </c>
      <c r="B52" s="3" t="s">
        <v>52</v>
      </c>
      <c r="D52" s="26" t="s">
        <v>557</v>
      </c>
      <c r="E52" s="63"/>
      <c r="F52" s="63"/>
      <c r="G52" s="63"/>
      <c r="H52" s="63"/>
      <c r="I52" s="63"/>
      <c r="J52" s="63"/>
      <c r="K52" s="63"/>
      <c r="L52" s="63"/>
      <c r="M52" s="63"/>
      <c r="N52" s="63"/>
      <c r="O52" s="63"/>
      <c r="P52" s="63"/>
      <c r="Q52" s="379">
        <f t="shared" si="2"/>
        <v>0</v>
      </c>
      <c r="R52" s="39">
        <f>Q52/Summary!$Q$16</f>
        <v>0</v>
      </c>
      <c r="S52" s="39"/>
      <c r="T52" s="35"/>
      <c r="U52" s="40">
        <f t="shared" si="3"/>
        <v>-1</v>
      </c>
    </row>
    <row r="53" spans="1:21" s="3" customFormat="1" ht="24.95" hidden="1" customHeight="1">
      <c r="A53" s="3" t="s">
        <v>558</v>
      </c>
      <c r="B53" s="3" t="s">
        <v>52</v>
      </c>
      <c r="D53" s="29" t="s">
        <v>559</v>
      </c>
      <c r="E53" s="63"/>
      <c r="F53" s="63"/>
      <c r="G53" s="63"/>
      <c r="H53" s="63"/>
      <c r="I53" s="63"/>
      <c r="J53" s="63"/>
      <c r="K53" s="63"/>
      <c r="L53" s="63"/>
      <c r="M53" s="63"/>
      <c r="N53" s="63"/>
      <c r="O53" s="63"/>
      <c r="P53" s="63"/>
      <c r="Q53" s="379">
        <f t="shared" si="2"/>
        <v>0</v>
      </c>
      <c r="R53" s="39">
        <f>Q53/Summary!$Q$16</f>
        <v>0</v>
      </c>
      <c r="S53" s="39"/>
      <c r="T53" s="35"/>
      <c r="U53" s="40">
        <f t="shared" ref="U53:U84" si="4">-IF(T53&lt;&gt;0,(Q53-T53)/T53,1)</f>
        <v>-1</v>
      </c>
    </row>
    <row r="54" spans="1:21" s="3" customFormat="1" ht="24.95" hidden="1" customHeight="1">
      <c r="A54" s="3" t="s">
        <v>560</v>
      </c>
      <c r="B54" s="3" t="s">
        <v>52</v>
      </c>
      <c r="D54" s="26" t="s">
        <v>561</v>
      </c>
      <c r="E54" s="63"/>
      <c r="F54" s="63"/>
      <c r="G54" s="63"/>
      <c r="H54" s="63"/>
      <c r="I54" s="63"/>
      <c r="J54" s="63"/>
      <c r="K54" s="63"/>
      <c r="L54" s="63"/>
      <c r="M54" s="63"/>
      <c r="N54" s="63"/>
      <c r="O54" s="63"/>
      <c r="P54" s="63"/>
      <c r="Q54" s="379">
        <f t="shared" si="2"/>
        <v>0</v>
      </c>
      <c r="R54" s="39">
        <f>Q54/Summary!$Q$16</f>
        <v>0</v>
      </c>
      <c r="S54" s="39"/>
      <c r="T54" s="35"/>
      <c r="U54" s="40">
        <f t="shared" si="4"/>
        <v>-1</v>
      </c>
    </row>
    <row r="55" spans="1:21" s="3" customFormat="1" ht="24.95" hidden="1" customHeight="1">
      <c r="A55" s="3" t="s">
        <v>562</v>
      </c>
      <c r="B55" s="3" t="s">
        <v>52</v>
      </c>
      <c r="D55" s="29" t="s">
        <v>563</v>
      </c>
      <c r="E55" s="63"/>
      <c r="F55" s="63"/>
      <c r="G55" s="63"/>
      <c r="H55" s="63"/>
      <c r="I55" s="63"/>
      <c r="J55" s="63"/>
      <c r="K55" s="63"/>
      <c r="L55" s="63"/>
      <c r="M55" s="63"/>
      <c r="N55" s="63"/>
      <c r="O55" s="63"/>
      <c r="P55" s="63"/>
      <c r="Q55" s="379">
        <f t="shared" si="2"/>
        <v>0</v>
      </c>
      <c r="R55" s="39">
        <f>Q55/Summary!$Q$16</f>
        <v>0</v>
      </c>
      <c r="S55" s="39"/>
      <c r="T55" s="35"/>
      <c r="U55" s="40">
        <f t="shared" si="4"/>
        <v>-1</v>
      </c>
    </row>
    <row r="56" spans="1:21" s="3" customFormat="1" ht="24.95" hidden="1" customHeight="1">
      <c r="A56" s="3" t="s">
        <v>564</v>
      </c>
      <c r="B56" s="3" t="s">
        <v>52</v>
      </c>
      <c r="D56" s="26" t="s">
        <v>565</v>
      </c>
      <c r="E56" s="63"/>
      <c r="F56" s="63"/>
      <c r="G56" s="63"/>
      <c r="H56" s="63"/>
      <c r="I56" s="63"/>
      <c r="J56" s="63"/>
      <c r="K56" s="63"/>
      <c r="L56" s="63"/>
      <c r="M56" s="63"/>
      <c r="N56" s="63"/>
      <c r="O56" s="63"/>
      <c r="P56" s="63"/>
      <c r="Q56" s="379">
        <f t="shared" si="2"/>
        <v>0</v>
      </c>
      <c r="R56" s="39">
        <f>Q56/Summary!$Q$16</f>
        <v>0</v>
      </c>
      <c r="S56" s="39"/>
      <c r="T56" s="35"/>
      <c r="U56" s="40">
        <f t="shared" si="4"/>
        <v>-1</v>
      </c>
    </row>
    <row r="57" spans="1:21" s="3" customFormat="1" ht="24.95" hidden="1" customHeight="1">
      <c r="A57" s="3" t="s">
        <v>566</v>
      </c>
      <c r="B57" s="3" t="s">
        <v>52</v>
      </c>
      <c r="D57" s="26" t="s">
        <v>567</v>
      </c>
      <c r="E57" s="63"/>
      <c r="F57" s="63"/>
      <c r="G57" s="63"/>
      <c r="H57" s="63"/>
      <c r="I57" s="63"/>
      <c r="J57" s="63"/>
      <c r="K57" s="63"/>
      <c r="L57" s="63"/>
      <c r="M57" s="63"/>
      <c r="N57" s="63"/>
      <c r="O57" s="63"/>
      <c r="P57" s="63"/>
      <c r="Q57" s="379">
        <f t="shared" si="2"/>
        <v>0</v>
      </c>
      <c r="R57" s="39">
        <f>Q57/Summary!$Q$16</f>
        <v>0</v>
      </c>
      <c r="S57" s="39"/>
      <c r="T57" s="35"/>
      <c r="U57" s="40">
        <f t="shared" si="4"/>
        <v>-1</v>
      </c>
    </row>
    <row r="58" spans="1:21" s="3" customFormat="1" ht="24.95" hidden="1" customHeight="1">
      <c r="A58" s="3" t="s">
        <v>568</v>
      </c>
      <c r="B58" s="3" t="s">
        <v>52</v>
      </c>
      <c r="D58" s="26" t="s">
        <v>569</v>
      </c>
      <c r="E58" s="63"/>
      <c r="F58" s="63"/>
      <c r="G58" s="63"/>
      <c r="H58" s="63"/>
      <c r="I58" s="63"/>
      <c r="J58" s="63"/>
      <c r="K58" s="63"/>
      <c r="L58" s="63"/>
      <c r="M58" s="63"/>
      <c r="N58" s="63"/>
      <c r="O58" s="63"/>
      <c r="P58" s="63"/>
      <c r="Q58" s="379">
        <f t="shared" si="2"/>
        <v>0</v>
      </c>
      <c r="R58" s="39">
        <f>Q58/Summary!$Q$16</f>
        <v>0</v>
      </c>
      <c r="S58" s="39"/>
      <c r="T58" s="35"/>
      <c r="U58" s="40">
        <f t="shared" si="4"/>
        <v>-1</v>
      </c>
    </row>
    <row r="59" spans="1:21" s="3" customFormat="1" ht="24.95" hidden="1" customHeight="1">
      <c r="A59" s="3" t="s">
        <v>570</v>
      </c>
      <c r="B59" s="3" t="s">
        <v>52</v>
      </c>
      <c r="D59" s="26" t="s">
        <v>571</v>
      </c>
      <c r="E59" s="63"/>
      <c r="F59" s="63"/>
      <c r="G59" s="63"/>
      <c r="H59" s="63"/>
      <c r="I59" s="63"/>
      <c r="J59" s="63"/>
      <c r="K59" s="63"/>
      <c r="L59" s="63"/>
      <c r="M59" s="63"/>
      <c r="N59" s="63"/>
      <c r="O59" s="63"/>
      <c r="P59" s="63"/>
      <c r="Q59" s="379">
        <f t="shared" si="2"/>
        <v>0</v>
      </c>
      <c r="R59" s="39">
        <f>Q59/Summary!$Q$16</f>
        <v>0</v>
      </c>
      <c r="S59" s="39"/>
      <c r="T59" s="35"/>
      <c r="U59" s="40">
        <f t="shared" si="4"/>
        <v>-1</v>
      </c>
    </row>
    <row r="60" spans="1:21" s="3" customFormat="1" ht="24.95" hidden="1" customHeight="1">
      <c r="A60" s="3" t="s">
        <v>572</v>
      </c>
      <c r="B60" s="3" t="s">
        <v>52</v>
      </c>
      <c r="D60" s="26" t="s">
        <v>573</v>
      </c>
      <c r="E60" s="63"/>
      <c r="F60" s="63"/>
      <c r="G60" s="63"/>
      <c r="H60" s="63"/>
      <c r="I60" s="63"/>
      <c r="J60" s="63"/>
      <c r="K60" s="63"/>
      <c r="L60" s="63"/>
      <c r="M60" s="63"/>
      <c r="N60" s="63"/>
      <c r="O60" s="63"/>
      <c r="P60" s="63"/>
      <c r="Q60" s="379">
        <f t="shared" si="2"/>
        <v>0</v>
      </c>
      <c r="R60" s="39">
        <f>Q60/Summary!$Q$16</f>
        <v>0</v>
      </c>
      <c r="S60" s="39"/>
      <c r="T60" s="35"/>
      <c r="U60" s="40">
        <f t="shared" si="4"/>
        <v>-1</v>
      </c>
    </row>
    <row r="61" spans="1:21" s="3" customFormat="1" ht="24.95" hidden="1" customHeight="1">
      <c r="A61" s="3" t="s">
        <v>574</v>
      </c>
      <c r="B61" s="3" t="s">
        <v>52</v>
      </c>
      <c r="D61" s="26" t="s">
        <v>575</v>
      </c>
      <c r="E61" s="63"/>
      <c r="F61" s="63"/>
      <c r="G61" s="63"/>
      <c r="H61" s="63"/>
      <c r="I61" s="63"/>
      <c r="J61" s="63"/>
      <c r="K61" s="63"/>
      <c r="L61" s="63"/>
      <c r="M61" s="63"/>
      <c r="N61" s="63"/>
      <c r="O61" s="63"/>
      <c r="P61" s="63"/>
      <c r="Q61" s="379">
        <f t="shared" si="2"/>
        <v>0</v>
      </c>
      <c r="R61" s="39">
        <f>Q61/Summary!$Q$16</f>
        <v>0</v>
      </c>
      <c r="S61" s="39"/>
      <c r="T61" s="35"/>
      <c r="U61" s="40">
        <f t="shared" si="4"/>
        <v>-1</v>
      </c>
    </row>
    <row r="62" spans="1:21" s="3" customFormat="1" ht="24.95" hidden="1" customHeight="1">
      <c r="A62" s="3" t="s">
        <v>576</v>
      </c>
      <c r="B62" s="3" t="s">
        <v>52</v>
      </c>
      <c r="D62" s="26" t="s">
        <v>577</v>
      </c>
      <c r="E62" s="63"/>
      <c r="F62" s="63"/>
      <c r="G62" s="63"/>
      <c r="H62" s="63"/>
      <c r="I62" s="63"/>
      <c r="J62" s="63"/>
      <c r="K62" s="63"/>
      <c r="L62" s="63"/>
      <c r="M62" s="63"/>
      <c r="N62" s="63"/>
      <c r="O62" s="63"/>
      <c r="P62" s="63"/>
      <c r="Q62" s="379">
        <f t="shared" si="2"/>
        <v>0</v>
      </c>
      <c r="R62" s="39">
        <f>Q62/Summary!$Q$16</f>
        <v>0</v>
      </c>
      <c r="S62" s="39"/>
      <c r="T62" s="35"/>
      <c r="U62" s="40">
        <f t="shared" si="4"/>
        <v>-1</v>
      </c>
    </row>
    <row r="63" spans="1:21" s="3" customFormat="1" ht="24.95" hidden="1" customHeight="1">
      <c r="A63" s="3" t="s">
        <v>578</v>
      </c>
      <c r="B63" s="3" t="s">
        <v>52</v>
      </c>
      <c r="D63" s="26" t="s">
        <v>579</v>
      </c>
      <c r="E63" s="63"/>
      <c r="F63" s="63"/>
      <c r="G63" s="63"/>
      <c r="H63" s="63"/>
      <c r="I63" s="63"/>
      <c r="J63" s="63"/>
      <c r="K63" s="63"/>
      <c r="L63" s="63"/>
      <c r="M63" s="63"/>
      <c r="N63" s="63"/>
      <c r="O63" s="63"/>
      <c r="P63" s="63"/>
      <c r="Q63" s="379">
        <f t="shared" si="2"/>
        <v>0</v>
      </c>
      <c r="R63" s="39">
        <f>Q63/Summary!$Q$16</f>
        <v>0</v>
      </c>
      <c r="S63" s="39"/>
      <c r="T63" s="35"/>
      <c r="U63" s="40">
        <f t="shared" si="4"/>
        <v>-1</v>
      </c>
    </row>
    <row r="64" spans="1:21" s="3" customFormat="1" ht="24.95" hidden="1" customHeight="1">
      <c r="A64" s="3" t="s">
        <v>580</v>
      </c>
      <c r="B64" s="3" t="s">
        <v>52</v>
      </c>
      <c r="D64" s="26" t="s">
        <v>581</v>
      </c>
      <c r="E64" s="63"/>
      <c r="F64" s="63"/>
      <c r="G64" s="63"/>
      <c r="H64" s="63"/>
      <c r="I64" s="63"/>
      <c r="J64" s="63"/>
      <c r="K64" s="63"/>
      <c r="L64" s="63"/>
      <c r="M64" s="63"/>
      <c r="N64" s="63"/>
      <c r="O64" s="63"/>
      <c r="P64" s="63"/>
      <c r="Q64" s="379">
        <f t="shared" si="2"/>
        <v>0</v>
      </c>
      <c r="R64" s="39">
        <f>Q64/Summary!$Q$16</f>
        <v>0</v>
      </c>
      <c r="S64" s="39"/>
      <c r="T64" s="35"/>
      <c r="U64" s="40">
        <f t="shared" si="4"/>
        <v>-1</v>
      </c>
    </row>
    <row r="65" spans="1:21" s="3" customFormat="1" ht="24.95" hidden="1" customHeight="1">
      <c r="A65" s="3" t="s">
        <v>582</v>
      </c>
      <c r="B65" s="3" t="s">
        <v>52</v>
      </c>
      <c r="D65" s="26" t="s">
        <v>583</v>
      </c>
      <c r="E65" s="63"/>
      <c r="F65" s="63"/>
      <c r="G65" s="63"/>
      <c r="H65" s="63"/>
      <c r="I65" s="63"/>
      <c r="J65" s="63"/>
      <c r="K65" s="63"/>
      <c r="L65" s="63"/>
      <c r="M65" s="63"/>
      <c r="N65" s="63"/>
      <c r="O65" s="63"/>
      <c r="P65" s="63"/>
      <c r="Q65" s="379">
        <f t="shared" si="2"/>
        <v>0</v>
      </c>
      <c r="R65" s="39">
        <f>Q65/Summary!$Q$16</f>
        <v>0</v>
      </c>
      <c r="S65" s="39"/>
      <c r="T65" s="35"/>
      <c r="U65" s="40">
        <f t="shared" si="4"/>
        <v>-1</v>
      </c>
    </row>
    <row r="66" spans="1:21" s="3" customFormat="1" ht="24.95" hidden="1" customHeight="1">
      <c r="A66" s="3" t="s">
        <v>584</v>
      </c>
      <c r="B66" s="3" t="s">
        <v>52</v>
      </c>
      <c r="D66" s="26" t="s">
        <v>585</v>
      </c>
      <c r="E66" s="63"/>
      <c r="F66" s="63"/>
      <c r="G66" s="63"/>
      <c r="H66" s="63"/>
      <c r="I66" s="63"/>
      <c r="J66" s="63"/>
      <c r="K66" s="63"/>
      <c r="L66" s="63"/>
      <c r="M66" s="63"/>
      <c r="N66" s="63"/>
      <c r="O66" s="63"/>
      <c r="P66" s="63"/>
      <c r="Q66" s="379">
        <f t="shared" si="2"/>
        <v>0</v>
      </c>
      <c r="R66" s="39">
        <f>Q66/Summary!$Q$16</f>
        <v>0</v>
      </c>
      <c r="S66" s="39"/>
      <c r="T66" s="35"/>
      <c r="U66" s="40">
        <f t="shared" si="4"/>
        <v>-1</v>
      </c>
    </row>
    <row r="67" spans="1:21" s="3" customFormat="1" ht="24.95" hidden="1" customHeight="1">
      <c r="A67" s="3" t="s">
        <v>586</v>
      </c>
      <c r="B67" s="3" t="s">
        <v>52</v>
      </c>
      <c r="D67" s="26" t="s">
        <v>587</v>
      </c>
      <c r="E67" s="63"/>
      <c r="F67" s="63"/>
      <c r="G67" s="63"/>
      <c r="H67" s="63"/>
      <c r="I67" s="63"/>
      <c r="J67" s="63"/>
      <c r="K67" s="63"/>
      <c r="L67" s="63"/>
      <c r="M67" s="63"/>
      <c r="N67" s="63"/>
      <c r="O67" s="63"/>
      <c r="P67" s="63"/>
      <c r="Q67" s="379">
        <f t="shared" si="2"/>
        <v>0</v>
      </c>
      <c r="R67" s="39">
        <f>Q67/Summary!$Q$16</f>
        <v>0</v>
      </c>
      <c r="S67" s="39"/>
      <c r="T67" s="35"/>
      <c r="U67" s="40">
        <f t="shared" si="4"/>
        <v>-1</v>
      </c>
    </row>
    <row r="68" spans="1:21" s="3" customFormat="1" ht="24.95" customHeight="1">
      <c r="A68" s="3" t="s">
        <v>588</v>
      </c>
      <c r="B68" s="3" t="s">
        <v>52</v>
      </c>
      <c r="D68" s="26" t="s">
        <v>589</v>
      </c>
      <c r="E68" s="63">
        <v>200</v>
      </c>
      <c r="F68" s="63">
        <v>200</v>
      </c>
      <c r="G68" s="63">
        <v>200</v>
      </c>
      <c r="H68" s="63">
        <v>200</v>
      </c>
      <c r="I68" s="63">
        <v>200</v>
      </c>
      <c r="J68" s="63">
        <v>200</v>
      </c>
      <c r="K68" s="63">
        <v>200</v>
      </c>
      <c r="L68" s="63">
        <v>200</v>
      </c>
      <c r="M68" s="63">
        <v>200</v>
      </c>
      <c r="N68" s="63">
        <v>200</v>
      </c>
      <c r="O68" s="63">
        <v>200</v>
      </c>
      <c r="P68" s="63">
        <v>200</v>
      </c>
      <c r="Q68" s="379">
        <f t="shared" si="2"/>
        <v>2400</v>
      </c>
      <c r="R68" s="39">
        <f>Q68/Summary!$Q$16</f>
        <v>7.2163542504452826E-5</v>
      </c>
      <c r="S68" s="39"/>
      <c r="T68" s="35"/>
      <c r="U68" s="40">
        <f t="shared" si="4"/>
        <v>-1</v>
      </c>
    </row>
    <row r="69" spans="1:21" s="3" customFormat="1" ht="24.95" customHeight="1">
      <c r="A69" s="3" t="s">
        <v>590</v>
      </c>
      <c r="B69" s="3" t="s">
        <v>52</v>
      </c>
      <c r="D69" s="26" t="s">
        <v>591</v>
      </c>
      <c r="E69" s="63">
        <v>500</v>
      </c>
      <c r="F69" s="63">
        <v>500</v>
      </c>
      <c r="G69" s="63">
        <v>500</v>
      </c>
      <c r="H69" s="63">
        <v>500</v>
      </c>
      <c r="I69" s="63">
        <v>500</v>
      </c>
      <c r="J69" s="63">
        <v>500</v>
      </c>
      <c r="K69" s="63">
        <v>500</v>
      </c>
      <c r="L69" s="63">
        <v>500</v>
      </c>
      <c r="M69" s="63">
        <v>500</v>
      </c>
      <c r="N69" s="63">
        <v>500</v>
      </c>
      <c r="O69" s="63">
        <v>500</v>
      </c>
      <c r="P69" s="63">
        <v>500</v>
      </c>
      <c r="Q69" s="379">
        <f t="shared" si="2"/>
        <v>6000</v>
      </c>
      <c r="R69" s="39">
        <f>Q69/Summary!$Q$16</f>
        <v>1.8040885626113205E-4</v>
      </c>
      <c r="S69" s="39"/>
      <c r="T69" s="35"/>
      <c r="U69" s="40">
        <f t="shared" si="4"/>
        <v>-1</v>
      </c>
    </row>
    <row r="70" spans="1:21" s="3" customFormat="1" ht="24.95" customHeight="1">
      <c r="A70" s="3" t="s">
        <v>592</v>
      </c>
      <c r="B70" s="3" t="s">
        <v>52</v>
      </c>
      <c r="D70" s="26" t="s">
        <v>593</v>
      </c>
      <c r="E70" s="27">
        <f>Laundry!E214</f>
        <v>2188.19</v>
      </c>
      <c r="F70" s="27">
        <f>Laundry!F214</f>
        <v>2346.9699999999998</v>
      </c>
      <c r="G70" s="27">
        <f>Laundry!G214</f>
        <v>2182.3200000000002</v>
      </c>
      <c r="H70" s="27">
        <f>Laundry!H214</f>
        <v>2360.59</v>
      </c>
      <c r="I70" s="27">
        <f>Laundry!I214</f>
        <v>2382.56</v>
      </c>
      <c r="J70" s="27">
        <f>Laundry!J214</f>
        <v>2398.61</v>
      </c>
      <c r="K70" s="27">
        <f>Laundry!K214</f>
        <v>2380.92</v>
      </c>
      <c r="L70" s="27">
        <f>Laundry!L214</f>
        <v>2389.37</v>
      </c>
      <c r="M70" s="27">
        <f>Laundry!M214</f>
        <v>2500.02</v>
      </c>
      <c r="N70" s="27">
        <f>Laundry!N214</f>
        <v>2658.8</v>
      </c>
      <c r="O70" s="27">
        <f>Laundry!O214</f>
        <v>2315.84</v>
      </c>
      <c r="P70" s="27">
        <f>Laundry!P214</f>
        <v>2283.73</v>
      </c>
      <c r="Q70" s="379">
        <f t="shared" si="2"/>
        <v>28387.919999999998</v>
      </c>
      <c r="R70" s="39">
        <f>Q70/Summary!$Q$16</f>
        <v>8.5357202980541923E-4</v>
      </c>
      <c r="S70" s="39"/>
      <c r="T70" s="35"/>
      <c r="U70" s="40">
        <f t="shared" si="4"/>
        <v>-1</v>
      </c>
    </row>
    <row r="71" spans="1:21" s="3" customFormat="1" ht="24.95" customHeight="1">
      <c r="A71" s="3" t="s">
        <v>594</v>
      </c>
      <c r="B71" s="3" t="s">
        <v>52</v>
      </c>
      <c r="D71" s="26" t="s">
        <v>595</v>
      </c>
      <c r="E71" s="63"/>
      <c r="F71" s="63"/>
      <c r="G71" s="63"/>
      <c r="H71" s="63"/>
      <c r="I71" s="63"/>
      <c r="J71" s="63"/>
      <c r="K71" s="63"/>
      <c r="L71" s="63"/>
      <c r="M71" s="63"/>
      <c r="N71" s="63"/>
      <c r="O71" s="63"/>
      <c r="P71" s="63"/>
      <c r="Q71" s="379">
        <f t="shared" si="2"/>
        <v>0</v>
      </c>
      <c r="R71" s="39">
        <f>Q71/Summary!$Q$16</f>
        <v>0</v>
      </c>
      <c r="S71" s="39"/>
      <c r="T71" s="35"/>
      <c r="U71" s="40">
        <f t="shared" si="4"/>
        <v>-1</v>
      </c>
    </row>
    <row r="72" spans="1:21" s="3" customFormat="1" ht="24.95" customHeight="1">
      <c r="A72" s="3" t="s">
        <v>596</v>
      </c>
      <c r="B72" s="3" t="s">
        <v>52</v>
      </c>
      <c r="D72" s="26" t="s">
        <v>597</v>
      </c>
      <c r="E72" s="63">
        <v>1400</v>
      </c>
      <c r="F72" s="63">
        <v>1400</v>
      </c>
      <c r="G72" s="63">
        <v>1400</v>
      </c>
      <c r="H72" s="63">
        <v>1400</v>
      </c>
      <c r="I72" s="63">
        <v>1400</v>
      </c>
      <c r="J72" s="63">
        <v>1400</v>
      </c>
      <c r="K72" s="63">
        <v>1400</v>
      </c>
      <c r="L72" s="63">
        <v>1400</v>
      </c>
      <c r="M72" s="63">
        <v>1400</v>
      </c>
      <c r="N72" s="63">
        <v>1400</v>
      </c>
      <c r="O72" s="63">
        <v>1400</v>
      </c>
      <c r="P72" s="63">
        <v>1400</v>
      </c>
      <c r="Q72" s="379">
        <f t="shared" si="2"/>
        <v>16800</v>
      </c>
      <c r="R72" s="39">
        <f>Q72/Summary!$Q$16</f>
        <v>5.051447975311697E-4</v>
      </c>
      <c r="S72" s="39"/>
      <c r="T72" s="35"/>
      <c r="U72" s="40">
        <f t="shared" si="4"/>
        <v>-1</v>
      </c>
    </row>
    <row r="73" spans="1:21" s="3" customFormat="1" ht="24.95" customHeight="1">
      <c r="A73" s="3" t="s">
        <v>598</v>
      </c>
      <c r="B73" s="3" t="s">
        <v>52</v>
      </c>
      <c r="D73" s="26" t="s">
        <v>599</v>
      </c>
      <c r="E73" s="63"/>
      <c r="F73" s="63"/>
      <c r="G73" s="63"/>
      <c r="H73" s="63"/>
      <c r="I73" s="63"/>
      <c r="J73" s="63"/>
      <c r="K73" s="63"/>
      <c r="L73" s="63"/>
      <c r="M73" s="63"/>
      <c r="N73" s="63"/>
      <c r="O73" s="63"/>
      <c r="P73" s="63"/>
      <c r="Q73" s="379">
        <f t="shared" si="2"/>
        <v>0</v>
      </c>
      <c r="R73" s="39">
        <f>Q73/Summary!$Q$16</f>
        <v>0</v>
      </c>
      <c r="S73" s="39"/>
      <c r="T73" s="35"/>
      <c r="U73" s="40">
        <f t="shared" si="4"/>
        <v>-1</v>
      </c>
    </row>
    <row r="74" spans="1:21" s="3" customFormat="1" ht="24.95" customHeight="1">
      <c r="A74" s="3" t="s">
        <v>600</v>
      </c>
      <c r="B74" s="3" t="s">
        <v>52</v>
      </c>
      <c r="D74" s="26" t="s">
        <v>601</v>
      </c>
      <c r="E74" s="63">
        <v>1000</v>
      </c>
      <c r="F74" s="63">
        <v>1000</v>
      </c>
      <c r="G74" s="63">
        <v>1000</v>
      </c>
      <c r="H74" s="63">
        <v>1000</v>
      </c>
      <c r="I74" s="63">
        <v>1000</v>
      </c>
      <c r="J74" s="63">
        <v>1000</v>
      </c>
      <c r="K74" s="63">
        <v>1000</v>
      </c>
      <c r="L74" s="63">
        <v>1000</v>
      </c>
      <c r="M74" s="63">
        <v>1000</v>
      </c>
      <c r="N74" s="63">
        <v>1000</v>
      </c>
      <c r="O74" s="63">
        <v>1000</v>
      </c>
      <c r="P74" s="63">
        <v>1000</v>
      </c>
      <c r="Q74" s="379">
        <f t="shared" si="2"/>
        <v>12000</v>
      </c>
      <c r="R74" s="39">
        <f>Q74/Summary!$Q$16</f>
        <v>3.608177125222641E-4</v>
      </c>
      <c r="S74" s="39"/>
      <c r="T74" s="35"/>
      <c r="U74" s="40">
        <f t="shared" si="4"/>
        <v>-1</v>
      </c>
    </row>
    <row r="75" spans="1:21" s="3" customFormat="1" ht="24.95" customHeight="1">
      <c r="A75" s="3" t="s">
        <v>602</v>
      </c>
      <c r="B75" s="3" t="s">
        <v>52</v>
      </c>
      <c r="D75" s="26" t="s">
        <v>603</v>
      </c>
      <c r="E75" s="63"/>
      <c r="F75" s="63"/>
      <c r="G75" s="63"/>
      <c r="H75" s="63">
        <v>3000</v>
      </c>
      <c r="I75" s="63">
        <v>8000</v>
      </c>
      <c r="J75" s="63">
        <v>3000</v>
      </c>
      <c r="K75" s="63">
        <v>3000</v>
      </c>
      <c r="L75" s="63">
        <v>3000</v>
      </c>
      <c r="M75" s="63">
        <v>8000</v>
      </c>
      <c r="N75" s="63">
        <v>3000</v>
      </c>
      <c r="O75" s="63">
        <v>3000</v>
      </c>
      <c r="P75" s="63"/>
      <c r="Q75" s="379">
        <f t="shared" si="2"/>
        <v>34000</v>
      </c>
      <c r="R75" s="39">
        <f>Q75/Summary!$Q$16</f>
        <v>1.022316852146415E-3</v>
      </c>
      <c r="S75" s="39"/>
      <c r="T75" s="35"/>
      <c r="U75" s="40">
        <f t="shared" si="4"/>
        <v>-1</v>
      </c>
    </row>
    <row r="76" spans="1:21" s="3" customFormat="1" ht="24.95" hidden="1" customHeight="1">
      <c r="A76" s="3" t="s">
        <v>604</v>
      </c>
      <c r="B76" s="3" t="s">
        <v>52</v>
      </c>
      <c r="D76" s="26" t="s">
        <v>605</v>
      </c>
      <c r="E76" s="63"/>
      <c r="F76" s="63"/>
      <c r="G76" s="63"/>
      <c r="H76" s="63"/>
      <c r="I76" s="63"/>
      <c r="J76" s="63"/>
      <c r="K76" s="63"/>
      <c r="L76" s="63"/>
      <c r="M76" s="63"/>
      <c r="N76" s="63"/>
      <c r="O76" s="63"/>
      <c r="P76" s="63"/>
      <c r="Q76" s="379">
        <f t="shared" si="2"/>
        <v>0</v>
      </c>
      <c r="R76" s="39">
        <f>Q76/Summary!$Q$16</f>
        <v>0</v>
      </c>
      <c r="S76" s="39"/>
      <c r="T76" s="35"/>
      <c r="U76" s="40">
        <f t="shared" si="4"/>
        <v>-1</v>
      </c>
    </row>
    <row r="77" spans="1:21" s="3" customFormat="1" ht="24.95" hidden="1" customHeight="1">
      <c r="A77" s="3" t="s">
        <v>606</v>
      </c>
      <c r="B77" s="3" t="s">
        <v>52</v>
      </c>
      <c r="D77" s="26" t="s">
        <v>607</v>
      </c>
      <c r="E77" s="63"/>
      <c r="F77" s="63"/>
      <c r="G77" s="63"/>
      <c r="H77" s="63"/>
      <c r="I77" s="63"/>
      <c r="J77" s="63"/>
      <c r="K77" s="63"/>
      <c r="L77" s="63"/>
      <c r="M77" s="63"/>
      <c r="N77" s="63"/>
      <c r="O77" s="63"/>
      <c r="P77" s="63"/>
      <c r="Q77" s="379">
        <f t="shared" si="2"/>
        <v>0</v>
      </c>
      <c r="R77" s="39">
        <f>Q77/Summary!$Q$16</f>
        <v>0</v>
      </c>
      <c r="S77" s="39"/>
      <c r="T77" s="35"/>
      <c r="U77" s="40">
        <f t="shared" si="4"/>
        <v>-1</v>
      </c>
    </row>
    <row r="78" spans="1:21" s="3" customFormat="1" ht="24.95" customHeight="1">
      <c r="A78" s="3" t="s">
        <v>608</v>
      </c>
      <c r="B78" s="3" t="s">
        <v>52</v>
      </c>
      <c r="D78" s="26" t="s">
        <v>609</v>
      </c>
      <c r="E78" s="63">
        <v>2250</v>
      </c>
      <c r="F78" s="63">
        <v>2250</v>
      </c>
      <c r="G78" s="63">
        <v>2250</v>
      </c>
      <c r="H78" s="63">
        <v>2250</v>
      </c>
      <c r="I78" s="63">
        <v>2250</v>
      </c>
      <c r="J78" s="63">
        <v>2250</v>
      </c>
      <c r="K78" s="63">
        <v>2250</v>
      </c>
      <c r="L78" s="63">
        <v>2250</v>
      </c>
      <c r="M78" s="63">
        <v>2250</v>
      </c>
      <c r="N78" s="63">
        <v>2250</v>
      </c>
      <c r="O78" s="63">
        <v>2250</v>
      </c>
      <c r="P78" s="63">
        <v>2250</v>
      </c>
      <c r="Q78" s="379">
        <f t="shared" si="2"/>
        <v>27000</v>
      </c>
      <c r="R78" s="39">
        <f>Q78/Summary!$Q$16</f>
        <v>8.1183985317509423E-4</v>
      </c>
      <c r="S78" s="39"/>
      <c r="T78" s="35"/>
      <c r="U78" s="40">
        <f t="shared" si="4"/>
        <v>-1</v>
      </c>
    </row>
    <row r="79" spans="1:21" s="3" customFormat="1" ht="24.95" hidden="1" customHeight="1">
      <c r="A79" s="3" t="s">
        <v>865</v>
      </c>
      <c r="B79" s="3" t="s">
        <v>52</v>
      </c>
      <c r="D79" s="26" t="s">
        <v>866</v>
      </c>
      <c r="E79" s="63"/>
      <c r="F79" s="63"/>
      <c r="G79" s="63"/>
      <c r="H79" s="63"/>
      <c r="I79" s="63"/>
      <c r="J79" s="63"/>
      <c r="K79" s="63"/>
      <c r="L79" s="63"/>
      <c r="M79" s="63"/>
      <c r="N79" s="63"/>
      <c r="O79" s="63"/>
      <c r="P79" s="63"/>
      <c r="Q79" s="379">
        <f t="shared" si="2"/>
        <v>0</v>
      </c>
      <c r="R79" s="39">
        <f>Q79/Summary!$Q$16</f>
        <v>0</v>
      </c>
      <c r="S79" s="39"/>
      <c r="T79" s="35"/>
      <c r="U79" s="40">
        <f t="shared" si="4"/>
        <v>-1</v>
      </c>
    </row>
    <row r="80" spans="1:21" s="3" customFormat="1" ht="24.95" hidden="1" customHeight="1">
      <c r="A80" s="3" t="s">
        <v>867</v>
      </c>
      <c r="B80" s="3" t="s">
        <v>52</v>
      </c>
      <c r="D80" s="26" t="s">
        <v>868</v>
      </c>
      <c r="E80" s="63"/>
      <c r="F80" s="63"/>
      <c r="G80" s="63"/>
      <c r="H80" s="63"/>
      <c r="I80" s="63"/>
      <c r="J80" s="63"/>
      <c r="K80" s="63"/>
      <c r="L80" s="63"/>
      <c r="M80" s="63"/>
      <c r="N80" s="63"/>
      <c r="O80" s="63"/>
      <c r="P80" s="63"/>
      <c r="Q80" s="379">
        <f t="shared" ref="Q80:Q143" si="5">SUM(E80:P80)</f>
        <v>0</v>
      </c>
      <c r="R80" s="39">
        <f>Q80/Summary!$Q$16</f>
        <v>0</v>
      </c>
      <c r="S80" s="39"/>
      <c r="T80" s="35"/>
      <c r="U80" s="40">
        <f t="shared" si="4"/>
        <v>-1</v>
      </c>
    </row>
    <row r="81" spans="1:21" s="3" customFormat="1" ht="24.95" hidden="1" customHeight="1">
      <c r="A81" s="3" t="s">
        <v>869</v>
      </c>
      <c r="B81" s="3" t="s">
        <v>52</v>
      </c>
      <c r="D81" s="26" t="s">
        <v>870</v>
      </c>
      <c r="E81" s="63"/>
      <c r="F81" s="63"/>
      <c r="G81" s="63"/>
      <c r="H81" s="63"/>
      <c r="I81" s="63"/>
      <c r="J81" s="63"/>
      <c r="K81" s="63"/>
      <c r="L81" s="63"/>
      <c r="M81" s="63"/>
      <c r="N81" s="63"/>
      <c r="O81" s="63"/>
      <c r="P81" s="63"/>
      <c r="Q81" s="379">
        <f t="shared" si="5"/>
        <v>0</v>
      </c>
      <c r="R81" s="39">
        <f>Q81/Summary!$Q$16</f>
        <v>0</v>
      </c>
      <c r="S81" s="39"/>
      <c r="T81" s="35"/>
      <c r="U81" s="40">
        <f t="shared" si="4"/>
        <v>-1</v>
      </c>
    </row>
    <row r="82" spans="1:21" s="3" customFormat="1" ht="24.95" hidden="1" customHeight="1">
      <c r="A82" s="3" t="s">
        <v>871</v>
      </c>
      <c r="B82" s="3" t="s">
        <v>52</v>
      </c>
      <c r="D82" s="26" t="s">
        <v>872</v>
      </c>
      <c r="E82" s="63"/>
      <c r="F82" s="63"/>
      <c r="G82" s="63"/>
      <c r="H82" s="63"/>
      <c r="I82" s="63"/>
      <c r="J82" s="63"/>
      <c r="K82" s="63"/>
      <c r="L82" s="63"/>
      <c r="M82" s="63"/>
      <c r="N82" s="63"/>
      <c r="O82" s="63"/>
      <c r="P82" s="63"/>
      <c r="Q82" s="379">
        <f t="shared" si="5"/>
        <v>0</v>
      </c>
      <c r="R82" s="39">
        <f>Q82/Summary!$Q$16</f>
        <v>0</v>
      </c>
      <c r="S82" s="39"/>
      <c r="T82" s="35"/>
      <c r="U82" s="40">
        <f t="shared" si="4"/>
        <v>-1</v>
      </c>
    </row>
    <row r="83" spans="1:21" s="3" customFormat="1" ht="24.95" hidden="1" customHeight="1">
      <c r="A83" s="3" t="s">
        <v>873</v>
      </c>
      <c r="B83" s="3" t="s">
        <v>52</v>
      </c>
      <c r="D83" s="26" t="s">
        <v>874</v>
      </c>
      <c r="E83" s="63"/>
      <c r="F83" s="63"/>
      <c r="G83" s="63"/>
      <c r="H83" s="63"/>
      <c r="I83" s="63"/>
      <c r="J83" s="63"/>
      <c r="K83" s="63"/>
      <c r="L83" s="63"/>
      <c r="M83" s="63"/>
      <c r="N83" s="63"/>
      <c r="O83" s="63"/>
      <c r="P83" s="63"/>
      <c r="Q83" s="379">
        <f t="shared" si="5"/>
        <v>0</v>
      </c>
      <c r="R83" s="39">
        <f>Q83/Summary!$Q$16</f>
        <v>0</v>
      </c>
      <c r="S83" s="39"/>
      <c r="T83" s="35"/>
      <c r="U83" s="40">
        <f t="shared" si="4"/>
        <v>-1</v>
      </c>
    </row>
    <row r="84" spans="1:21" s="3" customFormat="1" ht="24.95" hidden="1" customHeight="1">
      <c r="A84" s="3" t="s">
        <v>875</v>
      </c>
      <c r="B84" s="3" t="s">
        <v>52</v>
      </c>
      <c r="D84" s="26" t="s">
        <v>876</v>
      </c>
      <c r="E84" s="63"/>
      <c r="F84" s="63"/>
      <c r="G84" s="63"/>
      <c r="H84" s="63"/>
      <c r="I84" s="63"/>
      <c r="J84" s="63"/>
      <c r="K84" s="63"/>
      <c r="L84" s="63"/>
      <c r="M84" s="63"/>
      <c r="N84" s="63"/>
      <c r="O84" s="63"/>
      <c r="P84" s="63"/>
      <c r="Q84" s="379">
        <f t="shared" si="5"/>
        <v>0</v>
      </c>
      <c r="R84" s="39">
        <f>Q84/Summary!$Q$16</f>
        <v>0</v>
      </c>
      <c r="S84" s="39"/>
      <c r="T84" s="35"/>
      <c r="U84" s="40">
        <f t="shared" si="4"/>
        <v>-1</v>
      </c>
    </row>
    <row r="85" spans="1:21" s="3" customFormat="1" ht="24.95" hidden="1" customHeight="1">
      <c r="A85" s="3" t="s">
        <v>877</v>
      </c>
      <c r="B85" s="3" t="s">
        <v>52</v>
      </c>
      <c r="D85" s="26" t="s">
        <v>878</v>
      </c>
      <c r="E85" s="63"/>
      <c r="F85" s="63"/>
      <c r="G85" s="63"/>
      <c r="H85" s="63"/>
      <c r="I85" s="63"/>
      <c r="J85" s="63"/>
      <c r="K85" s="63"/>
      <c r="L85" s="63"/>
      <c r="M85" s="63"/>
      <c r="N85" s="63"/>
      <c r="O85" s="63"/>
      <c r="P85" s="63"/>
      <c r="Q85" s="379">
        <f t="shared" si="5"/>
        <v>0</v>
      </c>
      <c r="R85" s="39">
        <f>Q85/Summary!$Q$16</f>
        <v>0</v>
      </c>
      <c r="S85" s="39"/>
      <c r="T85" s="35"/>
      <c r="U85" s="40">
        <f t="shared" ref="U85:U116" si="6">-IF(T85&lt;&gt;0,(Q85-T85)/T85,1)</f>
        <v>-1</v>
      </c>
    </row>
    <row r="86" spans="1:21" s="3" customFormat="1" ht="24.95" hidden="1" customHeight="1">
      <c r="A86" s="3" t="s">
        <v>879</v>
      </c>
      <c r="B86" s="3" t="s">
        <v>52</v>
      </c>
      <c r="D86" s="26" t="s">
        <v>880</v>
      </c>
      <c r="E86" s="63"/>
      <c r="F86" s="63"/>
      <c r="G86" s="63"/>
      <c r="H86" s="63"/>
      <c r="I86" s="63"/>
      <c r="J86" s="63"/>
      <c r="K86" s="63"/>
      <c r="L86" s="63"/>
      <c r="M86" s="63"/>
      <c r="N86" s="63"/>
      <c r="O86" s="63"/>
      <c r="P86" s="63"/>
      <c r="Q86" s="379">
        <f t="shared" si="5"/>
        <v>0</v>
      </c>
      <c r="R86" s="39">
        <f>Q86/Summary!$Q$16</f>
        <v>0</v>
      </c>
      <c r="S86" s="39"/>
      <c r="T86" s="35"/>
      <c r="U86" s="40">
        <f t="shared" si="6"/>
        <v>-1</v>
      </c>
    </row>
    <row r="87" spans="1:21" s="3" customFormat="1" ht="24.95" hidden="1" customHeight="1">
      <c r="A87" s="3" t="s">
        <v>881</v>
      </c>
      <c r="B87" s="3" t="s">
        <v>52</v>
      </c>
      <c r="D87" s="26" t="s">
        <v>882</v>
      </c>
      <c r="E87" s="63"/>
      <c r="F87" s="63"/>
      <c r="G87" s="63"/>
      <c r="H87" s="63"/>
      <c r="I87" s="63"/>
      <c r="J87" s="63"/>
      <c r="K87" s="63"/>
      <c r="L87" s="63"/>
      <c r="M87" s="63"/>
      <c r="N87" s="63"/>
      <c r="O87" s="63"/>
      <c r="P87" s="63"/>
      <c r="Q87" s="379">
        <f t="shared" si="5"/>
        <v>0</v>
      </c>
      <c r="R87" s="39">
        <f>Q87/Summary!$Q$16</f>
        <v>0</v>
      </c>
      <c r="S87" s="39"/>
      <c r="T87" s="35"/>
      <c r="U87" s="40">
        <f t="shared" si="6"/>
        <v>-1</v>
      </c>
    </row>
    <row r="88" spans="1:21" s="3" customFormat="1" ht="24.95" hidden="1" customHeight="1">
      <c r="A88" s="3" t="s">
        <v>268</v>
      </c>
      <c r="B88" s="3" t="s">
        <v>52</v>
      </c>
      <c r="D88" s="26" t="s">
        <v>269</v>
      </c>
      <c r="E88" s="63"/>
      <c r="F88" s="63"/>
      <c r="G88" s="63"/>
      <c r="H88" s="63"/>
      <c r="I88" s="63"/>
      <c r="J88" s="63"/>
      <c r="K88" s="63"/>
      <c r="L88" s="63"/>
      <c r="M88" s="63"/>
      <c r="N88" s="63"/>
      <c r="O88" s="63"/>
      <c r="P88" s="63"/>
      <c r="Q88" s="379">
        <f t="shared" si="5"/>
        <v>0</v>
      </c>
      <c r="R88" s="39">
        <f>Q88/Summary!$Q$16</f>
        <v>0</v>
      </c>
      <c r="S88" s="39"/>
      <c r="T88" s="35"/>
      <c r="U88" s="40">
        <f t="shared" si="6"/>
        <v>-1</v>
      </c>
    </row>
    <row r="89" spans="1:21" s="3" customFormat="1" ht="24.95" hidden="1" customHeight="1">
      <c r="A89" s="3" t="s">
        <v>883</v>
      </c>
      <c r="B89" s="3" t="s">
        <v>52</v>
      </c>
      <c r="D89" s="26" t="s">
        <v>884</v>
      </c>
      <c r="E89" s="63"/>
      <c r="F89" s="63"/>
      <c r="G89" s="63"/>
      <c r="H89" s="63"/>
      <c r="I89" s="63"/>
      <c r="J89" s="63"/>
      <c r="K89" s="63"/>
      <c r="L89" s="63"/>
      <c r="M89" s="63"/>
      <c r="N89" s="63"/>
      <c r="O89" s="63"/>
      <c r="P89" s="63"/>
      <c r="Q89" s="379">
        <f t="shared" si="5"/>
        <v>0</v>
      </c>
      <c r="R89" s="39">
        <f>Q89/Summary!$Q$16</f>
        <v>0</v>
      </c>
      <c r="S89" s="39"/>
      <c r="T89" s="35"/>
      <c r="U89" s="40">
        <f t="shared" si="6"/>
        <v>-1</v>
      </c>
    </row>
    <row r="90" spans="1:21" s="3" customFormat="1" ht="24.95" hidden="1" customHeight="1">
      <c r="A90" s="3" t="s">
        <v>270</v>
      </c>
      <c r="B90" s="3" t="s">
        <v>52</v>
      </c>
      <c r="D90" s="26" t="s">
        <v>271</v>
      </c>
      <c r="E90" s="63"/>
      <c r="F90" s="63"/>
      <c r="G90" s="63"/>
      <c r="H90" s="63"/>
      <c r="I90" s="63"/>
      <c r="J90" s="63"/>
      <c r="K90" s="63"/>
      <c r="L90" s="63"/>
      <c r="M90" s="63"/>
      <c r="N90" s="63"/>
      <c r="O90" s="63"/>
      <c r="P90" s="63"/>
      <c r="Q90" s="379">
        <f t="shared" si="5"/>
        <v>0</v>
      </c>
      <c r="R90" s="39">
        <f>Q90/Summary!$Q$16</f>
        <v>0</v>
      </c>
      <c r="S90" s="39"/>
      <c r="T90" s="35"/>
      <c r="U90" s="40">
        <f t="shared" si="6"/>
        <v>-1</v>
      </c>
    </row>
    <row r="91" spans="1:21" s="3" customFormat="1" ht="24.95" hidden="1" customHeight="1">
      <c r="A91" s="3" t="s">
        <v>885</v>
      </c>
      <c r="B91" s="3" t="s">
        <v>52</v>
      </c>
      <c r="D91" s="26" t="s">
        <v>886</v>
      </c>
      <c r="E91" s="63"/>
      <c r="F91" s="63"/>
      <c r="G91" s="63"/>
      <c r="H91" s="63"/>
      <c r="I91" s="63"/>
      <c r="J91" s="63"/>
      <c r="K91" s="63"/>
      <c r="L91" s="63"/>
      <c r="M91" s="63"/>
      <c r="N91" s="63"/>
      <c r="O91" s="63"/>
      <c r="P91" s="63"/>
      <c r="Q91" s="379">
        <f t="shared" si="5"/>
        <v>0</v>
      </c>
      <c r="R91" s="39">
        <f>Q91/Summary!$Q$16</f>
        <v>0</v>
      </c>
      <c r="S91" s="39"/>
      <c r="T91" s="35"/>
      <c r="U91" s="40">
        <f t="shared" si="6"/>
        <v>-1</v>
      </c>
    </row>
    <row r="92" spans="1:21" s="3" customFormat="1" ht="24.95" hidden="1" customHeight="1">
      <c r="A92" s="3" t="s">
        <v>887</v>
      </c>
      <c r="B92" s="3" t="s">
        <v>52</v>
      </c>
      <c r="D92" s="26" t="s">
        <v>888</v>
      </c>
      <c r="E92" s="63"/>
      <c r="F92" s="63"/>
      <c r="G92" s="63"/>
      <c r="H92" s="63"/>
      <c r="I92" s="63"/>
      <c r="J92" s="63"/>
      <c r="K92" s="63"/>
      <c r="L92" s="63"/>
      <c r="M92" s="63"/>
      <c r="N92" s="63"/>
      <c r="O92" s="63"/>
      <c r="P92" s="63"/>
      <c r="Q92" s="379">
        <f t="shared" si="5"/>
        <v>0</v>
      </c>
      <c r="R92" s="39">
        <f>Q92/Summary!$Q$16</f>
        <v>0</v>
      </c>
      <c r="S92" s="39"/>
      <c r="T92" s="35"/>
      <c r="U92" s="40">
        <f t="shared" si="6"/>
        <v>-1</v>
      </c>
    </row>
    <row r="93" spans="1:21" s="3" customFormat="1" ht="24.95" hidden="1" customHeight="1">
      <c r="A93" s="3" t="s">
        <v>889</v>
      </c>
      <c r="B93" s="3" t="s">
        <v>52</v>
      </c>
      <c r="D93" s="26" t="s">
        <v>890</v>
      </c>
      <c r="E93" s="63"/>
      <c r="F93" s="63"/>
      <c r="G93" s="63"/>
      <c r="H93" s="63"/>
      <c r="I93" s="63"/>
      <c r="J93" s="63"/>
      <c r="K93" s="63"/>
      <c r="L93" s="63"/>
      <c r="M93" s="63"/>
      <c r="N93" s="63"/>
      <c r="O93" s="63"/>
      <c r="P93" s="63"/>
      <c r="Q93" s="379">
        <f t="shared" si="5"/>
        <v>0</v>
      </c>
      <c r="R93" s="39">
        <f>Q93/Summary!$Q$16</f>
        <v>0</v>
      </c>
      <c r="S93" s="39"/>
      <c r="T93" s="35"/>
      <c r="U93" s="40">
        <f t="shared" si="6"/>
        <v>-1</v>
      </c>
    </row>
    <row r="94" spans="1:21" s="3" customFormat="1" ht="24.95" hidden="1" customHeight="1">
      <c r="A94" s="3" t="s">
        <v>891</v>
      </c>
      <c r="B94" s="3" t="s">
        <v>52</v>
      </c>
      <c r="D94" s="26" t="s">
        <v>892</v>
      </c>
      <c r="E94" s="63"/>
      <c r="F94" s="63"/>
      <c r="G94" s="63"/>
      <c r="H94" s="63"/>
      <c r="I94" s="63"/>
      <c r="J94" s="63"/>
      <c r="K94" s="63"/>
      <c r="L94" s="63"/>
      <c r="M94" s="63"/>
      <c r="N94" s="63"/>
      <c r="O94" s="63"/>
      <c r="P94" s="63"/>
      <c r="Q94" s="379">
        <f t="shared" si="5"/>
        <v>0</v>
      </c>
      <c r="R94" s="39">
        <f>Q94/Summary!$Q$16</f>
        <v>0</v>
      </c>
      <c r="S94" s="39"/>
      <c r="T94" s="35"/>
      <c r="U94" s="40">
        <f t="shared" si="6"/>
        <v>-1</v>
      </c>
    </row>
    <row r="95" spans="1:21" s="3" customFormat="1" ht="24.95" hidden="1" customHeight="1">
      <c r="A95" s="3" t="s">
        <v>893</v>
      </c>
      <c r="B95" s="3" t="s">
        <v>52</v>
      </c>
      <c r="D95" s="26" t="s">
        <v>894</v>
      </c>
      <c r="E95" s="63"/>
      <c r="F95" s="63"/>
      <c r="G95" s="63"/>
      <c r="H95" s="63"/>
      <c r="I95" s="63"/>
      <c r="J95" s="63"/>
      <c r="K95" s="63"/>
      <c r="L95" s="63"/>
      <c r="M95" s="63"/>
      <c r="N95" s="63"/>
      <c r="O95" s="63"/>
      <c r="P95" s="63"/>
      <c r="Q95" s="379">
        <f t="shared" si="5"/>
        <v>0</v>
      </c>
      <c r="R95" s="39">
        <f>Q95/Summary!$Q$16</f>
        <v>0</v>
      </c>
      <c r="S95" s="39"/>
      <c r="T95" s="35"/>
      <c r="U95" s="40">
        <f t="shared" si="6"/>
        <v>-1</v>
      </c>
    </row>
    <row r="96" spans="1:21" s="3" customFormat="1" ht="24.95" hidden="1" customHeight="1">
      <c r="A96" s="3" t="s">
        <v>895</v>
      </c>
      <c r="B96" s="3" t="s">
        <v>52</v>
      </c>
      <c r="D96" s="26" t="s">
        <v>896</v>
      </c>
      <c r="E96" s="63"/>
      <c r="F96" s="63"/>
      <c r="G96" s="63"/>
      <c r="H96" s="63"/>
      <c r="I96" s="63"/>
      <c r="J96" s="63"/>
      <c r="K96" s="63"/>
      <c r="L96" s="63"/>
      <c r="M96" s="63"/>
      <c r="N96" s="63"/>
      <c r="O96" s="63"/>
      <c r="P96" s="63"/>
      <c r="Q96" s="379">
        <f t="shared" si="5"/>
        <v>0</v>
      </c>
      <c r="R96" s="39">
        <f>Q96/Summary!$Q$16</f>
        <v>0</v>
      </c>
      <c r="S96" s="39"/>
      <c r="T96" s="35"/>
      <c r="U96" s="40">
        <f t="shared" si="6"/>
        <v>-1</v>
      </c>
    </row>
    <row r="97" spans="1:21" s="3" customFormat="1" ht="24.95" hidden="1" customHeight="1">
      <c r="A97" s="3" t="s">
        <v>897</v>
      </c>
      <c r="B97" s="3" t="s">
        <v>52</v>
      </c>
      <c r="D97" s="26" t="s">
        <v>898</v>
      </c>
      <c r="E97" s="63"/>
      <c r="F97" s="63"/>
      <c r="G97" s="63"/>
      <c r="H97" s="63"/>
      <c r="I97" s="63"/>
      <c r="J97" s="63"/>
      <c r="K97" s="63"/>
      <c r="L97" s="63"/>
      <c r="M97" s="63"/>
      <c r="N97" s="63"/>
      <c r="O97" s="63"/>
      <c r="P97" s="63"/>
      <c r="Q97" s="379">
        <f t="shared" si="5"/>
        <v>0</v>
      </c>
      <c r="R97" s="39">
        <f>Q97/Summary!$Q$16</f>
        <v>0</v>
      </c>
      <c r="S97" s="39"/>
      <c r="T97" s="35"/>
      <c r="U97" s="40">
        <f t="shared" si="6"/>
        <v>-1</v>
      </c>
    </row>
    <row r="98" spans="1:21" s="3" customFormat="1" ht="24.95" hidden="1" customHeight="1">
      <c r="A98" s="3" t="s">
        <v>899</v>
      </c>
      <c r="B98" s="3" t="s">
        <v>52</v>
      </c>
      <c r="D98" s="26" t="s">
        <v>900</v>
      </c>
      <c r="E98" s="63"/>
      <c r="F98" s="63"/>
      <c r="G98" s="63"/>
      <c r="H98" s="63"/>
      <c r="I98" s="63"/>
      <c r="J98" s="63"/>
      <c r="K98" s="63"/>
      <c r="L98" s="63"/>
      <c r="M98" s="63"/>
      <c r="N98" s="63"/>
      <c r="O98" s="63"/>
      <c r="P98" s="63"/>
      <c r="Q98" s="379">
        <f t="shared" si="5"/>
        <v>0</v>
      </c>
      <c r="R98" s="39">
        <f>Q98/Summary!$Q$16</f>
        <v>0</v>
      </c>
      <c r="S98" s="39"/>
      <c r="T98" s="35"/>
      <c r="U98" s="40">
        <f t="shared" si="6"/>
        <v>-1</v>
      </c>
    </row>
    <row r="99" spans="1:21" s="3" customFormat="1" ht="24.95" hidden="1" customHeight="1">
      <c r="A99" s="3" t="s">
        <v>901</v>
      </c>
      <c r="B99" s="3" t="s">
        <v>52</v>
      </c>
      <c r="D99" s="26" t="s">
        <v>902</v>
      </c>
      <c r="E99" s="63"/>
      <c r="F99" s="63"/>
      <c r="G99" s="63"/>
      <c r="H99" s="63"/>
      <c r="I99" s="63"/>
      <c r="J99" s="63"/>
      <c r="K99" s="63"/>
      <c r="L99" s="63"/>
      <c r="M99" s="63"/>
      <c r="N99" s="63"/>
      <c r="O99" s="63"/>
      <c r="P99" s="63"/>
      <c r="Q99" s="379">
        <f t="shared" si="5"/>
        <v>0</v>
      </c>
      <c r="R99" s="39">
        <f>Q99/Summary!$Q$16</f>
        <v>0</v>
      </c>
      <c r="S99" s="39"/>
      <c r="T99" s="35"/>
      <c r="U99" s="40">
        <f t="shared" si="6"/>
        <v>-1</v>
      </c>
    </row>
    <row r="100" spans="1:21" s="3" customFormat="1" ht="24.95" hidden="1" customHeight="1">
      <c r="A100" s="3" t="s">
        <v>903</v>
      </c>
      <c r="B100" s="3" t="s">
        <v>52</v>
      </c>
      <c r="D100" s="26" t="s">
        <v>904</v>
      </c>
      <c r="E100" s="63"/>
      <c r="F100" s="63"/>
      <c r="G100" s="63"/>
      <c r="H100" s="63"/>
      <c r="I100" s="63"/>
      <c r="J100" s="63"/>
      <c r="K100" s="63"/>
      <c r="L100" s="63"/>
      <c r="M100" s="63"/>
      <c r="N100" s="63"/>
      <c r="O100" s="63"/>
      <c r="P100" s="63"/>
      <c r="Q100" s="379">
        <f t="shared" si="5"/>
        <v>0</v>
      </c>
      <c r="R100" s="39">
        <f>Q100/Summary!$Q$16</f>
        <v>0</v>
      </c>
      <c r="S100" s="39"/>
      <c r="T100" s="35"/>
      <c r="U100" s="40">
        <f t="shared" si="6"/>
        <v>-1</v>
      </c>
    </row>
    <row r="101" spans="1:21" s="3" customFormat="1" ht="24.95" hidden="1" customHeight="1">
      <c r="A101" s="3" t="s">
        <v>905</v>
      </c>
      <c r="B101" s="3" t="s">
        <v>52</v>
      </c>
      <c r="D101" s="26" t="s">
        <v>906</v>
      </c>
      <c r="E101" s="63"/>
      <c r="F101" s="63"/>
      <c r="G101" s="63"/>
      <c r="H101" s="63"/>
      <c r="I101" s="63"/>
      <c r="J101" s="63"/>
      <c r="K101" s="63"/>
      <c r="L101" s="63"/>
      <c r="M101" s="63"/>
      <c r="N101" s="63"/>
      <c r="O101" s="63"/>
      <c r="P101" s="63"/>
      <c r="Q101" s="379">
        <f t="shared" si="5"/>
        <v>0</v>
      </c>
      <c r="R101" s="39">
        <f>Q101/Summary!$Q$16</f>
        <v>0</v>
      </c>
      <c r="S101" s="39"/>
      <c r="T101" s="35"/>
      <c r="U101" s="40">
        <f t="shared" si="6"/>
        <v>-1</v>
      </c>
    </row>
    <row r="102" spans="1:21" s="3" customFormat="1" ht="24.95" hidden="1" customHeight="1">
      <c r="A102" s="3" t="s">
        <v>907</v>
      </c>
      <c r="B102" s="3" t="s">
        <v>52</v>
      </c>
      <c r="D102" s="26" t="s">
        <v>908</v>
      </c>
      <c r="E102" s="63"/>
      <c r="F102" s="63"/>
      <c r="G102" s="63"/>
      <c r="H102" s="63"/>
      <c r="I102" s="63"/>
      <c r="J102" s="63"/>
      <c r="K102" s="63"/>
      <c r="L102" s="63"/>
      <c r="M102" s="63"/>
      <c r="N102" s="63"/>
      <c r="O102" s="63"/>
      <c r="P102" s="63"/>
      <c r="Q102" s="379">
        <f t="shared" si="5"/>
        <v>0</v>
      </c>
      <c r="R102" s="39">
        <f>Q102/Summary!$Q$16</f>
        <v>0</v>
      </c>
      <c r="S102" s="39"/>
      <c r="T102" s="35"/>
      <c r="U102" s="40">
        <f t="shared" si="6"/>
        <v>-1</v>
      </c>
    </row>
    <row r="103" spans="1:21" s="3" customFormat="1" ht="24.95" hidden="1" customHeight="1">
      <c r="A103" s="3" t="s">
        <v>909</v>
      </c>
      <c r="B103" s="3" t="s">
        <v>52</v>
      </c>
      <c r="D103" s="26" t="s">
        <v>910</v>
      </c>
      <c r="E103" s="63"/>
      <c r="F103" s="63"/>
      <c r="G103" s="63"/>
      <c r="H103" s="63"/>
      <c r="I103" s="63"/>
      <c r="J103" s="63"/>
      <c r="K103" s="63"/>
      <c r="L103" s="63"/>
      <c r="M103" s="63"/>
      <c r="N103" s="63"/>
      <c r="O103" s="63"/>
      <c r="P103" s="63"/>
      <c r="Q103" s="379">
        <f t="shared" si="5"/>
        <v>0</v>
      </c>
      <c r="R103" s="39">
        <f>Q103/Summary!$Q$16</f>
        <v>0</v>
      </c>
      <c r="S103" s="39"/>
      <c r="T103" s="35"/>
      <c r="U103" s="40">
        <f t="shared" si="6"/>
        <v>-1</v>
      </c>
    </row>
    <row r="104" spans="1:21" s="3" customFormat="1" ht="24.95" hidden="1" customHeight="1">
      <c r="A104" s="3" t="s">
        <v>911</v>
      </c>
      <c r="B104" s="3" t="s">
        <v>52</v>
      </c>
      <c r="D104" s="26" t="s">
        <v>912</v>
      </c>
      <c r="E104" s="63"/>
      <c r="F104" s="63"/>
      <c r="G104" s="63"/>
      <c r="H104" s="63"/>
      <c r="I104" s="63"/>
      <c r="J104" s="63"/>
      <c r="K104" s="63"/>
      <c r="L104" s="63"/>
      <c r="M104" s="63"/>
      <c r="N104" s="63"/>
      <c r="O104" s="63"/>
      <c r="P104" s="63"/>
      <c r="Q104" s="379">
        <f t="shared" si="5"/>
        <v>0</v>
      </c>
      <c r="R104" s="39">
        <f>Q104/Summary!$Q$16</f>
        <v>0</v>
      </c>
      <c r="S104" s="39"/>
      <c r="T104" s="35"/>
      <c r="U104" s="40">
        <f t="shared" si="6"/>
        <v>-1</v>
      </c>
    </row>
    <row r="105" spans="1:21" s="3" customFormat="1" ht="24.95" hidden="1" customHeight="1">
      <c r="A105" s="3" t="s">
        <v>913</v>
      </c>
      <c r="B105" s="3" t="s">
        <v>52</v>
      </c>
      <c r="D105" s="26" t="s">
        <v>914</v>
      </c>
      <c r="E105" s="63"/>
      <c r="F105" s="63"/>
      <c r="G105" s="63"/>
      <c r="H105" s="63"/>
      <c r="I105" s="63"/>
      <c r="J105" s="63"/>
      <c r="K105" s="63"/>
      <c r="L105" s="63"/>
      <c r="M105" s="63"/>
      <c r="N105" s="63"/>
      <c r="O105" s="63"/>
      <c r="P105" s="63"/>
      <c r="Q105" s="379">
        <f t="shared" si="5"/>
        <v>0</v>
      </c>
      <c r="R105" s="39">
        <f>Q105/Summary!$Q$16</f>
        <v>0</v>
      </c>
      <c r="S105" s="39"/>
      <c r="T105" s="35"/>
      <c r="U105" s="40">
        <f t="shared" si="6"/>
        <v>-1</v>
      </c>
    </row>
    <row r="106" spans="1:21" s="3" customFormat="1" ht="24.95" hidden="1" customHeight="1">
      <c r="A106" s="3" t="s">
        <v>915</v>
      </c>
      <c r="B106" s="3" t="s">
        <v>52</v>
      </c>
      <c r="D106" s="26" t="s">
        <v>916</v>
      </c>
      <c r="E106" s="63"/>
      <c r="F106" s="63"/>
      <c r="G106" s="63"/>
      <c r="H106" s="63"/>
      <c r="I106" s="63"/>
      <c r="J106" s="63"/>
      <c r="K106" s="63"/>
      <c r="L106" s="63"/>
      <c r="M106" s="63"/>
      <c r="N106" s="63"/>
      <c r="O106" s="63"/>
      <c r="P106" s="63"/>
      <c r="Q106" s="379">
        <f t="shared" si="5"/>
        <v>0</v>
      </c>
      <c r="R106" s="39">
        <f>Q106/Summary!$Q$16</f>
        <v>0</v>
      </c>
      <c r="S106" s="39"/>
      <c r="T106" s="35"/>
      <c r="U106" s="40">
        <f t="shared" si="6"/>
        <v>-1</v>
      </c>
    </row>
    <row r="107" spans="1:21" s="3" customFormat="1" ht="24.95" hidden="1" customHeight="1">
      <c r="A107" s="3" t="s">
        <v>917</v>
      </c>
      <c r="B107" s="3" t="s">
        <v>52</v>
      </c>
      <c r="D107" s="26" t="s">
        <v>918</v>
      </c>
      <c r="E107" s="63"/>
      <c r="F107" s="63"/>
      <c r="G107" s="63"/>
      <c r="H107" s="63"/>
      <c r="I107" s="63"/>
      <c r="J107" s="63"/>
      <c r="K107" s="63"/>
      <c r="L107" s="63"/>
      <c r="M107" s="63"/>
      <c r="N107" s="63"/>
      <c r="O107" s="63"/>
      <c r="P107" s="63"/>
      <c r="Q107" s="379">
        <f t="shared" si="5"/>
        <v>0</v>
      </c>
      <c r="R107" s="39">
        <f>Q107/Summary!$Q$16</f>
        <v>0</v>
      </c>
      <c r="S107" s="39"/>
      <c r="T107" s="35"/>
      <c r="U107" s="40">
        <f t="shared" si="6"/>
        <v>-1</v>
      </c>
    </row>
    <row r="108" spans="1:21" s="3" customFormat="1" ht="24.95" hidden="1" customHeight="1">
      <c r="A108" s="3" t="s">
        <v>919</v>
      </c>
      <c r="B108" s="3" t="s">
        <v>52</v>
      </c>
      <c r="D108" s="26" t="s">
        <v>920</v>
      </c>
      <c r="E108" s="63"/>
      <c r="F108" s="63"/>
      <c r="G108" s="63"/>
      <c r="H108" s="63"/>
      <c r="I108" s="63"/>
      <c r="J108" s="63"/>
      <c r="K108" s="63"/>
      <c r="L108" s="63"/>
      <c r="M108" s="63"/>
      <c r="N108" s="63"/>
      <c r="O108" s="63"/>
      <c r="P108" s="63"/>
      <c r="Q108" s="379">
        <f t="shared" si="5"/>
        <v>0</v>
      </c>
      <c r="R108" s="39">
        <f>Q108/Summary!$Q$16</f>
        <v>0</v>
      </c>
      <c r="S108" s="39"/>
      <c r="T108" s="35"/>
      <c r="U108" s="40">
        <f t="shared" si="6"/>
        <v>-1</v>
      </c>
    </row>
    <row r="109" spans="1:21" s="3" customFormat="1" ht="24.95" hidden="1" customHeight="1">
      <c r="A109" s="3" t="s">
        <v>921</v>
      </c>
      <c r="B109" s="3" t="s">
        <v>52</v>
      </c>
      <c r="D109" s="26" t="s">
        <v>922</v>
      </c>
      <c r="E109" s="63"/>
      <c r="F109" s="63"/>
      <c r="G109" s="63"/>
      <c r="H109" s="63"/>
      <c r="I109" s="63"/>
      <c r="J109" s="63"/>
      <c r="K109" s="63"/>
      <c r="L109" s="63"/>
      <c r="M109" s="63"/>
      <c r="N109" s="63"/>
      <c r="O109" s="63"/>
      <c r="P109" s="63"/>
      <c r="Q109" s="379">
        <f t="shared" si="5"/>
        <v>0</v>
      </c>
      <c r="R109" s="39">
        <f>Q109/Summary!$Q$16</f>
        <v>0</v>
      </c>
      <c r="S109" s="39"/>
      <c r="T109" s="35"/>
      <c r="U109" s="40">
        <f t="shared" si="6"/>
        <v>-1</v>
      </c>
    </row>
    <row r="110" spans="1:21" s="3" customFormat="1" ht="24.95" hidden="1" customHeight="1">
      <c r="A110" s="3" t="s">
        <v>923</v>
      </c>
      <c r="B110" s="3" t="s">
        <v>52</v>
      </c>
      <c r="D110" s="26" t="s">
        <v>924</v>
      </c>
      <c r="E110" s="63"/>
      <c r="F110" s="63"/>
      <c r="G110" s="63"/>
      <c r="H110" s="63"/>
      <c r="I110" s="63"/>
      <c r="J110" s="63"/>
      <c r="K110" s="63"/>
      <c r="L110" s="63"/>
      <c r="M110" s="63"/>
      <c r="N110" s="63"/>
      <c r="O110" s="63"/>
      <c r="P110" s="63"/>
      <c r="Q110" s="379">
        <f t="shared" si="5"/>
        <v>0</v>
      </c>
      <c r="R110" s="39">
        <f>Q110/Summary!$Q$16</f>
        <v>0</v>
      </c>
      <c r="S110" s="39"/>
      <c r="T110" s="35"/>
      <c r="U110" s="40">
        <f t="shared" si="6"/>
        <v>-1</v>
      </c>
    </row>
    <row r="111" spans="1:21" s="3" customFormat="1" ht="24.95" hidden="1" customHeight="1">
      <c r="A111" s="3" t="s">
        <v>925</v>
      </c>
      <c r="B111" s="3" t="s">
        <v>52</v>
      </c>
      <c r="D111" s="26" t="s">
        <v>926</v>
      </c>
      <c r="E111" s="63"/>
      <c r="F111" s="63"/>
      <c r="G111" s="63"/>
      <c r="H111" s="63"/>
      <c r="I111" s="63"/>
      <c r="J111" s="63"/>
      <c r="K111" s="63"/>
      <c r="L111" s="63"/>
      <c r="M111" s="63"/>
      <c r="N111" s="63"/>
      <c r="O111" s="63"/>
      <c r="P111" s="63"/>
      <c r="Q111" s="379">
        <f t="shared" si="5"/>
        <v>0</v>
      </c>
      <c r="R111" s="39">
        <f>Q111/Summary!$Q$16</f>
        <v>0</v>
      </c>
      <c r="S111" s="39"/>
      <c r="T111" s="35"/>
      <c r="U111" s="40">
        <f t="shared" si="6"/>
        <v>-1</v>
      </c>
    </row>
    <row r="112" spans="1:21" s="3" customFormat="1" ht="24.95" hidden="1" customHeight="1">
      <c r="A112" s="3" t="s">
        <v>927</v>
      </c>
      <c r="B112" s="3" t="s">
        <v>52</v>
      </c>
      <c r="D112" s="26" t="s">
        <v>928</v>
      </c>
      <c r="E112" s="63"/>
      <c r="F112" s="63"/>
      <c r="G112" s="63"/>
      <c r="H112" s="63"/>
      <c r="I112" s="63"/>
      <c r="J112" s="63"/>
      <c r="K112" s="63"/>
      <c r="L112" s="63"/>
      <c r="M112" s="63"/>
      <c r="N112" s="63"/>
      <c r="O112" s="63"/>
      <c r="P112" s="63"/>
      <c r="Q112" s="379">
        <f t="shared" si="5"/>
        <v>0</v>
      </c>
      <c r="R112" s="39">
        <f>Q112/Summary!$Q$16</f>
        <v>0</v>
      </c>
      <c r="S112" s="39"/>
      <c r="T112" s="35"/>
      <c r="U112" s="40">
        <f t="shared" si="6"/>
        <v>-1</v>
      </c>
    </row>
    <row r="113" spans="1:21" s="3" customFormat="1" ht="24.95" hidden="1" customHeight="1">
      <c r="A113" s="3" t="s">
        <v>929</v>
      </c>
      <c r="B113" s="3" t="s">
        <v>52</v>
      </c>
      <c r="D113" s="26" t="s">
        <v>930</v>
      </c>
      <c r="E113" s="63"/>
      <c r="F113" s="63"/>
      <c r="G113" s="63"/>
      <c r="H113" s="63"/>
      <c r="I113" s="63"/>
      <c r="J113" s="63"/>
      <c r="K113" s="63"/>
      <c r="L113" s="63"/>
      <c r="M113" s="63"/>
      <c r="N113" s="63"/>
      <c r="O113" s="63"/>
      <c r="P113" s="63"/>
      <c r="Q113" s="379">
        <f t="shared" si="5"/>
        <v>0</v>
      </c>
      <c r="R113" s="39">
        <f>Q113/Summary!$Q$16</f>
        <v>0</v>
      </c>
      <c r="S113" s="39"/>
      <c r="T113" s="35"/>
      <c r="U113" s="40">
        <f t="shared" si="6"/>
        <v>-1</v>
      </c>
    </row>
    <row r="114" spans="1:21" s="3" customFormat="1" ht="24.95" hidden="1" customHeight="1">
      <c r="A114" s="3" t="s">
        <v>931</v>
      </c>
      <c r="B114" s="3" t="s">
        <v>52</v>
      </c>
      <c r="D114" s="26" t="s">
        <v>932</v>
      </c>
      <c r="E114" s="63"/>
      <c r="F114" s="63"/>
      <c r="G114" s="63"/>
      <c r="H114" s="63"/>
      <c r="I114" s="63"/>
      <c r="J114" s="63"/>
      <c r="K114" s="63"/>
      <c r="L114" s="63"/>
      <c r="M114" s="63"/>
      <c r="N114" s="63"/>
      <c r="O114" s="63"/>
      <c r="P114" s="63"/>
      <c r="Q114" s="379">
        <f t="shared" si="5"/>
        <v>0</v>
      </c>
      <c r="R114" s="39">
        <f>Q114/Summary!$Q$16</f>
        <v>0</v>
      </c>
      <c r="S114" s="39"/>
      <c r="T114" s="35"/>
      <c r="U114" s="40">
        <f t="shared" si="6"/>
        <v>-1</v>
      </c>
    </row>
    <row r="115" spans="1:21" s="3" customFormat="1" ht="24.95" hidden="1" customHeight="1">
      <c r="A115" s="3" t="s">
        <v>933</v>
      </c>
      <c r="B115" s="3" t="s">
        <v>52</v>
      </c>
      <c r="D115" s="26" t="s">
        <v>934</v>
      </c>
      <c r="E115" s="63"/>
      <c r="F115" s="63"/>
      <c r="G115" s="63"/>
      <c r="H115" s="63"/>
      <c r="I115" s="63"/>
      <c r="J115" s="63"/>
      <c r="K115" s="63"/>
      <c r="L115" s="63"/>
      <c r="M115" s="63"/>
      <c r="N115" s="63"/>
      <c r="O115" s="63"/>
      <c r="P115" s="63"/>
      <c r="Q115" s="379">
        <f t="shared" si="5"/>
        <v>0</v>
      </c>
      <c r="R115" s="39">
        <f>Q115/Summary!$Q$16</f>
        <v>0</v>
      </c>
      <c r="S115" s="39"/>
      <c r="T115" s="35"/>
      <c r="U115" s="40">
        <f t="shared" si="6"/>
        <v>-1</v>
      </c>
    </row>
    <row r="116" spans="1:21" s="3" customFormat="1" ht="24.95" hidden="1" customHeight="1">
      <c r="A116" s="3" t="s">
        <v>935</v>
      </c>
      <c r="B116" s="3" t="s">
        <v>52</v>
      </c>
      <c r="D116" s="26" t="s">
        <v>936</v>
      </c>
      <c r="E116" s="63"/>
      <c r="F116" s="63"/>
      <c r="G116" s="63"/>
      <c r="H116" s="63"/>
      <c r="I116" s="63"/>
      <c r="J116" s="63"/>
      <c r="K116" s="63"/>
      <c r="L116" s="63"/>
      <c r="M116" s="63"/>
      <c r="N116" s="63"/>
      <c r="O116" s="63"/>
      <c r="P116" s="63"/>
      <c r="Q116" s="379">
        <f t="shared" si="5"/>
        <v>0</v>
      </c>
      <c r="R116" s="39">
        <f>Q116/Summary!$Q$16</f>
        <v>0</v>
      </c>
      <c r="S116" s="39"/>
      <c r="T116" s="35"/>
      <c r="U116" s="40">
        <f t="shared" si="6"/>
        <v>-1</v>
      </c>
    </row>
    <row r="117" spans="1:21" s="3" customFormat="1" ht="24.95" hidden="1" customHeight="1">
      <c r="A117" s="3" t="s">
        <v>937</v>
      </c>
      <c r="B117" s="3" t="s">
        <v>52</v>
      </c>
      <c r="D117" s="26" t="s">
        <v>938</v>
      </c>
      <c r="E117" s="63"/>
      <c r="F117" s="63"/>
      <c r="G117" s="63"/>
      <c r="H117" s="63"/>
      <c r="I117" s="63"/>
      <c r="J117" s="63"/>
      <c r="K117" s="63"/>
      <c r="L117" s="63"/>
      <c r="M117" s="63"/>
      <c r="N117" s="63"/>
      <c r="O117" s="63"/>
      <c r="P117" s="63"/>
      <c r="Q117" s="379">
        <f t="shared" si="5"/>
        <v>0</v>
      </c>
      <c r="R117" s="39">
        <f>Q117/Summary!$Q$16</f>
        <v>0</v>
      </c>
      <c r="S117" s="39"/>
      <c r="T117" s="35"/>
      <c r="U117" s="40">
        <f t="shared" ref="U117:U148" si="7">-IF(T117&lt;&gt;0,(Q117-T117)/T117,1)</f>
        <v>-1</v>
      </c>
    </row>
    <row r="118" spans="1:21" s="3" customFormat="1" ht="24.95" hidden="1" customHeight="1">
      <c r="A118" s="3" t="s">
        <v>939</v>
      </c>
      <c r="B118" s="3" t="s">
        <v>52</v>
      </c>
      <c r="D118" s="26" t="s">
        <v>940</v>
      </c>
      <c r="E118" s="63"/>
      <c r="F118" s="63"/>
      <c r="G118" s="63"/>
      <c r="H118" s="63"/>
      <c r="I118" s="63"/>
      <c r="J118" s="63"/>
      <c r="K118" s="63"/>
      <c r="L118" s="63"/>
      <c r="M118" s="63"/>
      <c r="N118" s="63"/>
      <c r="O118" s="63"/>
      <c r="P118" s="63"/>
      <c r="Q118" s="379">
        <f t="shared" si="5"/>
        <v>0</v>
      </c>
      <c r="R118" s="39">
        <f>Q118/Summary!$Q$16</f>
        <v>0</v>
      </c>
      <c r="S118" s="39"/>
      <c r="T118" s="35"/>
      <c r="U118" s="40">
        <f t="shared" si="7"/>
        <v>-1</v>
      </c>
    </row>
    <row r="119" spans="1:21" s="3" customFormat="1" ht="24.95" hidden="1" customHeight="1">
      <c r="A119" s="3" t="s">
        <v>941</v>
      </c>
      <c r="B119" s="3" t="s">
        <v>52</v>
      </c>
      <c r="D119" s="26" t="s">
        <v>942</v>
      </c>
      <c r="E119" s="63"/>
      <c r="F119" s="63"/>
      <c r="G119" s="63"/>
      <c r="H119" s="63"/>
      <c r="I119" s="63"/>
      <c r="J119" s="63"/>
      <c r="K119" s="63"/>
      <c r="L119" s="63"/>
      <c r="M119" s="63"/>
      <c r="N119" s="63"/>
      <c r="O119" s="63"/>
      <c r="P119" s="63"/>
      <c r="Q119" s="379">
        <f t="shared" si="5"/>
        <v>0</v>
      </c>
      <c r="R119" s="39">
        <f>Q119/Summary!$Q$16</f>
        <v>0</v>
      </c>
      <c r="S119" s="39"/>
      <c r="T119" s="35"/>
      <c r="U119" s="40">
        <f t="shared" si="7"/>
        <v>-1</v>
      </c>
    </row>
    <row r="120" spans="1:21" s="3" customFormat="1" ht="24.95" hidden="1" customHeight="1">
      <c r="A120" s="3" t="s">
        <v>943</v>
      </c>
      <c r="B120" s="3" t="s">
        <v>52</v>
      </c>
      <c r="D120" s="26" t="s">
        <v>944</v>
      </c>
      <c r="E120" s="63"/>
      <c r="F120" s="63"/>
      <c r="G120" s="63"/>
      <c r="H120" s="63"/>
      <c r="I120" s="63"/>
      <c r="J120" s="63"/>
      <c r="K120" s="63"/>
      <c r="L120" s="63"/>
      <c r="M120" s="63"/>
      <c r="N120" s="63"/>
      <c r="O120" s="63"/>
      <c r="P120" s="63"/>
      <c r="Q120" s="379">
        <f t="shared" si="5"/>
        <v>0</v>
      </c>
      <c r="R120" s="39">
        <f>Q120/Summary!$Q$16</f>
        <v>0</v>
      </c>
      <c r="S120" s="39"/>
      <c r="T120" s="35"/>
      <c r="U120" s="40">
        <f t="shared" si="7"/>
        <v>-1</v>
      </c>
    </row>
    <row r="121" spans="1:21" s="3" customFormat="1" ht="24.95" hidden="1" customHeight="1">
      <c r="A121" s="3" t="s">
        <v>945</v>
      </c>
      <c r="B121" s="3" t="s">
        <v>52</v>
      </c>
      <c r="D121" s="26" t="s">
        <v>946</v>
      </c>
      <c r="E121" s="63"/>
      <c r="F121" s="63"/>
      <c r="G121" s="63"/>
      <c r="H121" s="63"/>
      <c r="I121" s="63"/>
      <c r="J121" s="63"/>
      <c r="K121" s="63"/>
      <c r="L121" s="63"/>
      <c r="M121" s="63"/>
      <c r="N121" s="63"/>
      <c r="O121" s="63"/>
      <c r="P121" s="63"/>
      <c r="Q121" s="379">
        <f t="shared" si="5"/>
        <v>0</v>
      </c>
      <c r="R121" s="39">
        <f>Q121/Summary!$Q$16</f>
        <v>0</v>
      </c>
      <c r="S121" s="39"/>
      <c r="T121" s="35"/>
      <c r="U121" s="40">
        <f t="shared" si="7"/>
        <v>-1</v>
      </c>
    </row>
    <row r="122" spans="1:21" s="3" customFormat="1" ht="24.95" hidden="1" customHeight="1">
      <c r="A122" s="3" t="s">
        <v>947</v>
      </c>
      <c r="B122" s="3" t="s">
        <v>52</v>
      </c>
      <c r="D122" s="26" t="s">
        <v>948</v>
      </c>
      <c r="E122" s="63"/>
      <c r="F122" s="63"/>
      <c r="G122" s="63"/>
      <c r="H122" s="63"/>
      <c r="I122" s="63"/>
      <c r="J122" s="63"/>
      <c r="K122" s="63"/>
      <c r="L122" s="63"/>
      <c r="M122" s="63"/>
      <c r="N122" s="63"/>
      <c r="O122" s="63"/>
      <c r="P122" s="63"/>
      <c r="Q122" s="379">
        <f t="shared" si="5"/>
        <v>0</v>
      </c>
      <c r="R122" s="39">
        <f>Q122/Summary!$Q$16</f>
        <v>0</v>
      </c>
      <c r="S122" s="39"/>
      <c r="T122" s="35"/>
      <c r="U122" s="40">
        <f t="shared" si="7"/>
        <v>-1</v>
      </c>
    </row>
    <row r="123" spans="1:21" s="3" customFormat="1" ht="24.95" hidden="1" customHeight="1">
      <c r="A123" s="3" t="s">
        <v>949</v>
      </c>
      <c r="B123" s="3" t="s">
        <v>52</v>
      </c>
      <c r="D123" s="26" t="s">
        <v>950</v>
      </c>
      <c r="E123" s="63"/>
      <c r="F123" s="63"/>
      <c r="G123" s="63"/>
      <c r="H123" s="63"/>
      <c r="I123" s="63"/>
      <c r="J123" s="63"/>
      <c r="K123" s="63"/>
      <c r="L123" s="63"/>
      <c r="M123" s="63"/>
      <c r="N123" s="63"/>
      <c r="O123" s="63"/>
      <c r="P123" s="63"/>
      <c r="Q123" s="379">
        <f t="shared" si="5"/>
        <v>0</v>
      </c>
      <c r="R123" s="39">
        <f>Q123/Summary!$Q$16</f>
        <v>0</v>
      </c>
      <c r="S123" s="39"/>
      <c r="T123" s="35"/>
      <c r="U123" s="40">
        <f t="shared" si="7"/>
        <v>-1</v>
      </c>
    </row>
    <row r="124" spans="1:21" s="3" customFormat="1" ht="24.95" hidden="1" customHeight="1">
      <c r="A124" s="3" t="s">
        <v>951</v>
      </c>
      <c r="B124" s="3" t="s">
        <v>52</v>
      </c>
      <c r="D124" s="26" t="s">
        <v>952</v>
      </c>
      <c r="E124" s="63"/>
      <c r="F124" s="63"/>
      <c r="G124" s="63"/>
      <c r="H124" s="63"/>
      <c r="I124" s="63"/>
      <c r="J124" s="63"/>
      <c r="K124" s="63"/>
      <c r="L124" s="63"/>
      <c r="M124" s="63"/>
      <c r="N124" s="63"/>
      <c r="O124" s="63"/>
      <c r="P124" s="63"/>
      <c r="Q124" s="379">
        <f t="shared" si="5"/>
        <v>0</v>
      </c>
      <c r="R124" s="39">
        <f>Q124/Summary!$Q$16</f>
        <v>0</v>
      </c>
      <c r="S124" s="39"/>
      <c r="T124" s="35"/>
      <c r="U124" s="40">
        <f t="shared" si="7"/>
        <v>-1</v>
      </c>
    </row>
    <row r="125" spans="1:21" s="3" customFormat="1" ht="24.95" hidden="1" customHeight="1">
      <c r="A125" s="3" t="s">
        <v>953</v>
      </c>
      <c r="B125" s="3" t="s">
        <v>52</v>
      </c>
      <c r="D125" s="26" t="s">
        <v>954</v>
      </c>
      <c r="E125" s="63"/>
      <c r="F125" s="63"/>
      <c r="G125" s="63"/>
      <c r="H125" s="63"/>
      <c r="I125" s="63"/>
      <c r="J125" s="63"/>
      <c r="K125" s="63"/>
      <c r="L125" s="63"/>
      <c r="M125" s="63"/>
      <c r="N125" s="63"/>
      <c r="O125" s="63"/>
      <c r="P125" s="63"/>
      <c r="Q125" s="379">
        <f t="shared" si="5"/>
        <v>0</v>
      </c>
      <c r="R125" s="39">
        <f>Q125/Summary!$Q$16</f>
        <v>0</v>
      </c>
      <c r="S125" s="39"/>
      <c r="T125" s="35"/>
      <c r="U125" s="40">
        <f t="shared" si="7"/>
        <v>-1</v>
      </c>
    </row>
    <row r="126" spans="1:21" s="3" customFormat="1" ht="24.95" hidden="1" customHeight="1">
      <c r="A126" s="3" t="s">
        <v>955</v>
      </c>
      <c r="B126" s="3" t="s">
        <v>52</v>
      </c>
      <c r="D126" s="26" t="s">
        <v>956</v>
      </c>
      <c r="E126" s="63"/>
      <c r="F126" s="63"/>
      <c r="G126" s="63"/>
      <c r="H126" s="63"/>
      <c r="I126" s="63"/>
      <c r="J126" s="63"/>
      <c r="K126" s="63"/>
      <c r="L126" s="63"/>
      <c r="M126" s="63"/>
      <c r="N126" s="63"/>
      <c r="O126" s="63"/>
      <c r="P126" s="63"/>
      <c r="Q126" s="379">
        <f t="shared" si="5"/>
        <v>0</v>
      </c>
      <c r="R126" s="39">
        <f>Q126/Summary!$Q$16</f>
        <v>0</v>
      </c>
      <c r="S126" s="39"/>
      <c r="T126" s="35"/>
      <c r="U126" s="40">
        <f t="shared" si="7"/>
        <v>-1</v>
      </c>
    </row>
    <row r="127" spans="1:21" s="3" customFormat="1" ht="24.95" hidden="1" customHeight="1">
      <c r="A127" s="3" t="s">
        <v>957</v>
      </c>
      <c r="B127" s="3" t="s">
        <v>52</v>
      </c>
      <c r="D127" s="26" t="s">
        <v>958</v>
      </c>
      <c r="E127" s="63"/>
      <c r="F127" s="63"/>
      <c r="G127" s="63"/>
      <c r="H127" s="63"/>
      <c r="I127" s="63"/>
      <c r="J127" s="63"/>
      <c r="K127" s="63"/>
      <c r="L127" s="63"/>
      <c r="M127" s="63"/>
      <c r="N127" s="63"/>
      <c r="O127" s="63"/>
      <c r="P127" s="63"/>
      <c r="Q127" s="379">
        <f t="shared" si="5"/>
        <v>0</v>
      </c>
      <c r="R127" s="39">
        <f>Q127/Summary!$Q$16</f>
        <v>0</v>
      </c>
      <c r="S127" s="39"/>
      <c r="T127" s="35"/>
      <c r="U127" s="40">
        <f t="shared" si="7"/>
        <v>-1</v>
      </c>
    </row>
    <row r="128" spans="1:21" s="3" customFormat="1" ht="24.95" hidden="1" customHeight="1">
      <c r="A128" s="3" t="s">
        <v>959</v>
      </c>
      <c r="B128" s="3" t="s">
        <v>52</v>
      </c>
      <c r="D128" s="26" t="s">
        <v>960</v>
      </c>
      <c r="E128" s="63"/>
      <c r="F128" s="63"/>
      <c r="G128" s="63"/>
      <c r="H128" s="63"/>
      <c r="I128" s="63"/>
      <c r="J128" s="63"/>
      <c r="K128" s="63"/>
      <c r="L128" s="63"/>
      <c r="M128" s="63"/>
      <c r="N128" s="63"/>
      <c r="O128" s="63"/>
      <c r="P128" s="63"/>
      <c r="Q128" s="379">
        <f t="shared" si="5"/>
        <v>0</v>
      </c>
      <c r="R128" s="39">
        <f>Q128/Summary!$Q$16</f>
        <v>0</v>
      </c>
      <c r="S128" s="39"/>
      <c r="T128" s="35"/>
      <c r="U128" s="40">
        <f t="shared" si="7"/>
        <v>-1</v>
      </c>
    </row>
    <row r="129" spans="1:21" s="3" customFormat="1" ht="24.95" hidden="1" customHeight="1">
      <c r="A129" s="3" t="s">
        <v>961</v>
      </c>
      <c r="B129" s="3" t="s">
        <v>52</v>
      </c>
      <c r="D129" s="26" t="s">
        <v>962</v>
      </c>
      <c r="E129" s="63"/>
      <c r="F129" s="63"/>
      <c r="G129" s="63"/>
      <c r="H129" s="63"/>
      <c r="I129" s="63"/>
      <c r="J129" s="63"/>
      <c r="K129" s="63"/>
      <c r="L129" s="63"/>
      <c r="M129" s="63"/>
      <c r="N129" s="63"/>
      <c r="O129" s="63"/>
      <c r="P129" s="63"/>
      <c r="Q129" s="379">
        <f t="shared" si="5"/>
        <v>0</v>
      </c>
      <c r="R129" s="39">
        <f>Q129/Summary!$Q$16</f>
        <v>0</v>
      </c>
      <c r="S129" s="39"/>
      <c r="T129" s="35"/>
      <c r="U129" s="40">
        <f t="shared" si="7"/>
        <v>-1</v>
      </c>
    </row>
    <row r="130" spans="1:21" s="3" customFormat="1" ht="24.95" hidden="1" customHeight="1">
      <c r="A130" s="3" t="s">
        <v>963</v>
      </c>
      <c r="B130" s="3" t="s">
        <v>52</v>
      </c>
      <c r="D130" s="26" t="s">
        <v>964</v>
      </c>
      <c r="E130" s="63"/>
      <c r="F130" s="63"/>
      <c r="G130" s="63"/>
      <c r="H130" s="63"/>
      <c r="I130" s="63"/>
      <c r="J130" s="63"/>
      <c r="K130" s="63"/>
      <c r="L130" s="63"/>
      <c r="M130" s="63"/>
      <c r="N130" s="63"/>
      <c r="O130" s="63"/>
      <c r="P130" s="63"/>
      <c r="Q130" s="379">
        <f t="shared" si="5"/>
        <v>0</v>
      </c>
      <c r="R130" s="39">
        <f>Q130/Summary!$Q$16</f>
        <v>0</v>
      </c>
      <c r="S130" s="39"/>
      <c r="T130" s="35"/>
      <c r="U130" s="40">
        <f t="shared" si="7"/>
        <v>-1</v>
      </c>
    </row>
    <row r="131" spans="1:21" s="3" customFormat="1" ht="24.95" hidden="1" customHeight="1">
      <c r="A131" s="3" t="s">
        <v>965</v>
      </c>
      <c r="B131" s="3" t="s">
        <v>52</v>
      </c>
      <c r="D131" s="26" t="s">
        <v>966</v>
      </c>
      <c r="E131" s="63"/>
      <c r="F131" s="63"/>
      <c r="G131" s="63"/>
      <c r="H131" s="63"/>
      <c r="I131" s="63"/>
      <c r="J131" s="63"/>
      <c r="K131" s="63"/>
      <c r="L131" s="63"/>
      <c r="M131" s="63"/>
      <c r="N131" s="63"/>
      <c r="O131" s="63"/>
      <c r="P131" s="63"/>
      <c r="Q131" s="379">
        <f t="shared" si="5"/>
        <v>0</v>
      </c>
      <c r="R131" s="39">
        <f>Q131/Summary!$Q$16</f>
        <v>0</v>
      </c>
      <c r="S131" s="39"/>
      <c r="T131" s="35"/>
      <c r="U131" s="40">
        <f t="shared" si="7"/>
        <v>-1</v>
      </c>
    </row>
    <row r="132" spans="1:21" s="3" customFormat="1" ht="24.95" customHeight="1">
      <c r="A132" s="3" t="s">
        <v>967</v>
      </c>
      <c r="B132" s="3" t="s">
        <v>52</v>
      </c>
      <c r="D132" s="26" t="s">
        <v>1176</v>
      </c>
      <c r="E132" s="63"/>
      <c r="F132" s="63"/>
      <c r="G132" s="63"/>
      <c r="H132" s="63">
        <v>5000</v>
      </c>
      <c r="I132" s="63"/>
      <c r="J132" s="63"/>
      <c r="K132" s="63">
        <v>5000</v>
      </c>
      <c r="L132" s="63">
        <v>5000</v>
      </c>
      <c r="M132" s="63"/>
      <c r="N132" s="63">
        <v>5000</v>
      </c>
      <c r="O132" s="63"/>
      <c r="P132" s="63"/>
      <c r="Q132" s="379">
        <f t="shared" si="5"/>
        <v>20000</v>
      </c>
      <c r="R132" s="39">
        <f>Q132/Summary!$Q$16</f>
        <v>6.013628542037735E-4</v>
      </c>
      <c r="S132" s="39"/>
      <c r="T132" s="35"/>
      <c r="U132" s="40">
        <f t="shared" si="7"/>
        <v>-1</v>
      </c>
    </row>
    <row r="133" spans="1:21" s="3" customFormat="1" ht="24.95" customHeight="1">
      <c r="A133" s="3" t="s">
        <v>969</v>
      </c>
      <c r="B133" s="3" t="s">
        <v>52</v>
      </c>
      <c r="D133" s="26" t="s">
        <v>970</v>
      </c>
      <c r="E133" s="63"/>
      <c r="F133" s="63"/>
      <c r="G133" s="63"/>
      <c r="H133" s="63"/>
      <c r="I133" s="63"/>
      <c r="J133" s="63"/>
      <c r="K133" s="63"/>
      <c r="L133" s="63"/>
      <c r="M133" s="63"/>
      <c r="N133" s="63"/>
      <c r="O133" s="63"/>
      <c r="P133" s="63"/>
      <c r="Q133" s="379">
        <f t="shared" si="5"/>
        <v>0</v>
      </c>
      <c r="R133" s="39">
        <f>Q133/Summary!$Q$16</f>
        <v>0</v>
      </c>
      <c r="S133" s="39"/>
      <c r="T133" s="35"/>
      <c r="U133" s="40">
        <f t="shared" si="7"/>
        <v>-1</v>
      </c>
    </row>
    <row r="134" spans="1:21" s="3" customFormat="1" ht="24.95" hidden="1" customHeight="1">
      <c r="A134" s="3" t="s">
        <v>971</v>
      </c>
      <c r="B134" s="3" t="s">
        <v>52</v>
      </c>
      <c r="D134" s="26" t="s">
        <v>972</v>
      </c>
      <c r="E134" s="63"/>
      <c r="F134" s="63"/>
      <c r="G134" s="63"/>
      <c r="H134" s="63"/>
      <c r="I134" s="63"/>
      <c r="J134" s="63"/>
      <c r="K134" s="63"/>
      <c r="L134" s="63"/>
      <c r="M134" s="63"/>
      <c r="N134" s="63"/>
      <c r="O134" s="63"/>
      <c r="P134" s="63"/>
      <c r="Q134" s="379">
        <f t="shared" si="5"/>
        <v>0</v>
      </c>
      <c r="R134" s="39">
        <f>Q134/Summary!$Q$16</f>
        <v>0</v>
      </c>
      <c r="S134" s="39"/>
      <c r="T134" s="35"/>
      <c r="U134" s="40">
        <f t="shared" si="7"/>
        <v>-1</v>
      </c>
    </row>
    <row r="135" spans="1:21" s="3" customFormat="1" ht="24.95" hidden="1" customHeight="1">
      <c r="A135" s="3" t="s">
        <v>973</v>
      </c>
      <c r="B135" s="3" t="s">
        <v>52</v>
      </c>
      <c r="D135" s="26" t="s">
        <v>974</v>
      </c>
      <c r="E135" s="63"/>
      <c r="F135" s="63"/>
      <c r="G135" s="63"/>
      <c r="H135" s="63"/>
      <c r="I135" s="63"/>
      <c r="J135" s="63"/>
      <c r="K135" s="63"/>
      <c r="L135" s="63"/>
      <c r="M135" s="63"/>
      <c r="N135" s="63"/>
      <c r="O135" s="63"/>
      <c r="P135" s="63"/>
      <c r="Q135" s="379">
        <f t="shared" si="5"/>
        <v>0</v>
      </c>
      <c r="R135" s="39">
        <f>Q135/Summary!$Q$16</f>
        <v>0</v>
      </c>
      <c r="S135" s="39"/>
      <c r="T135" s="35"/>
      <c r="U135" s="40">
        <f t="shared" si="7"/>
        <v>-1</v>
      </c>
    </row>
    <row r="136" spans="1:21" s="3" customFormat="1" ht="24.95" hidden="1" customHeight="1">
      <c r="A136" s="3" t="s">
        <v>975</v>
      </c>
      <c r="B136" s="3" t="s">
        <v>52</v>
      </c>
      <c r="D136" s="26" t="s">
        <v>976</v>
      </c>
      <c r="E136" s="63"/>
      <c r="F136" s="63"/>
      <c r="G136" s="63"/>
      <c r="H136" s="63"/>
      <c r="I136" s="63"/>
      <c r="J136" s="63"/>
      <c r="K136" s="63"/>
      <c r="L136" s="63"/>
      <c r="M136" s="63"/>
      <c r="N136" s="63"/>
      <c r="O136" s="63"/>
      <c r="P136" s="63"/>
      <c r="Q136" s="379">
        <f t="shared" si="5"/>
        <v>0</v>
      </c>
      <c r="R136" s="39">
        <f>Q136/Summary!$Q$16</f>
        <v>0</v>
      </c>
      <c r="S136" s="39"/>
      <c r="T136" s="35"/>
      <c r="U136" s="40">
        <f t="shared" si="7"/>
        <v>-1</v>
      </c>
    </row>
    <row r="137" spans="1:21" s="3" customFormat="1" ht="24.95" hidden="1" customHeight="1">
      <c r="A137" s="3" t="s">
        <v>977</v>
      </c>
      <c r="B137" s="3" t="s">
        <v>52</v>
      </c>
      <c r="D137" s="26" t="s">
        <v>978</v>
      </c>
      <c r="E137" s="63"/>
      <c r="F137" s="63"/>
      <c r="G137" s="63"/>
      <c r="H137" s="63"/>
      <c r="I137" s="63"/>
      <c r="J137" s="63"/>
      <c r="K137" s="63"/>
      <c r="L137" s="63"/>
      <c r="M137" s="63"/>
      <c r="N137" s="63"/>
      <c r="O137" s="63"/>
      <c r="P137" s="63"/>
      <c r="Q137" s="379">
        <f t="shared" si="5"/>
        <v>0</v>
      </c>
      <c r="R137" s="39">
        <f>Q137/Summary!$Q$16</f>
        <v>0</v>
      </c>
      <c r="S137" s="39"/>
      <c r="T137" s="35"/>
      <c r="U137" s="40">
        <f t="shared" si="7"/>
        <v>-1</v>
      </c>
    </row>
    <row r="138" spans="1:21" s="3" customFormat="1" ht="24.95" hidden="1" customHeight="1">
      <c r="A138" s="3" t="s">
        <v>979</v>
      </c>
      <c r="B138" s="3" t="s">
        <v>52</v>
      </c>
      <c r="D138" s="26" t="s">
        <v>980</v>
      </c>
      <c r="E138" s="63"/>
      <c r="F138" s="63"/>
      <c r="G138" s="63"/>
      <c r="H138" s="63"/>
      <c r="I138" s="63"/>
      <c r="J138" s="63"/>
      <c r="K138" s="63"/>
      <c r="L138" s="63"/>
      <c r="M138" s="63"/>
      <c r="N138" s="63"/>
      <c r="O138" s="63"/>
      <c r="P138" s="63"/>
      <c r="Q138" s="379">
        <f t="shared" si="5"/>
        <v>0</v>
      </c>
      <c r="R138" s="39">
        <f>Q138/Summary!$Q$16</f>
        <v>0</v>
      </c>
      <c r="S138" s="39"/>
      <c r="T138" s="35"/>
      <c r="U138" s="40">
        <f t="shared" si="7"/>
        <v>-1</v>
      </c>
    </row>
    <row r="139" spans="1:21" s="372" customFormat="1" ht="24.95" customHeight="1">
      <c r="A139" s="372" t="s">
        <v>981</v>
      </c>
      <c r="B139" s="372" t="s">
        <v>52</v>
      </c>
      <c r="D139" s="367" t="s">
        <v>982</v>
      </c>
      <c r="E139" s="63">
        <v>6000</v>
      </c>
      <c r="F139" s="63">
        <v>6000</v>
      </c>
      <c r="G139" s="63">
        <v>12500</v>
      </c>
      <c r="H139" s="63">
        <v>22500</v>
      </c>
      <c r="I139" s="63">
        <v>27500</v>
      </c>
      <c r="J139" s="63">
        <v>22500</v>
      </c>
      <c r="K139" s="63">
        <v>17500</v>
      </c>
      <c r="L139" s="63">
        <v>22000</v>
      </c>
      <c r="M139" s="63">
        <v>12000</v>
      </c>
      <c r="N139" s="63">
        <v>27000</v>
      </c>
      <c r="O139" s="63">
        <v>17000</v>
      </c>
      <c r="P139" s="63">
        <v>7000</v>
      </c>
      <c r="Q139" s="379">
        <f t="shared" si="5"/>
        <v>199500</v>
      </c>
      <c r="R139" s="39">
        <f>Q139/Summary!$Q$16</f>
        <v>5.9985944706826408E-3</v>
      </c>
      <c r="S139" s="39"/>
      <c r="T139" s="375"/>
      <c r="U139" s="360">
        <f t="shared" si="7"/>
        <v>-1</v>
      </c>
    </row>
    <row r="140" spans="1:21" s="3" customFormat="1" ht="24.95" hidden="1" customHeight="1">
      <c r="A140" s="3" t="s">
        <v>983</v>
      </c>
      <c r="B140" s="3" t="s">
        <v>52</v>
      </c>
      <c r="D140" s="26" t="s">
        <v>984</v>
      </c>
      <c r="E140" s="63"/>
      <c r="F140" s="63"/>
      <c r="G140" s="63"/>
      <c r="H140" s="63"/>
      <c r="I140" s="63"/>
      <c r="J140" s="63"/>
      <c r="K140" s="63"/>
      <c r="L140" s="63"/>
      <c r="M140" s="63"/>
      <c r="N140" s="63"/>
      <c r="O140" s="63"/>
      <c r="P140" s="63"/>
      <c r="Q140" s="379">
        <f t="shared" si="5"/>
        <v>0</v>
      </c>
      <c r="R140" s="39">
        <f>Q140/Summary!$Q$16</f>
        <v>0</v>
      </c>
      <c r="S140" s="39"/>
      <c r="T140" s="35"/>
      <c r="U140" s="40">
        <f t="shared" si="7"/>
        <v>-1</v>
      </c>
    </row>
    <row r="141" spans="1:21" s="3" customFormat="1" ht="24.95" hidden="1" customHeight="1">
      <c r="A141" s="3" t="s">
        <v>985</v>
      </c>
      <c r="B141" s="3" t="s">
        <v>52</v>
      </c>
      <c r="D141" s="26" t="s">
        <v>986</v>
      </c>
      <c r="E141" s="63"/>
      <c r="F141" s="63"/>
      <c r="G141" s="63"/>
      <c r="H141" s="63"/>
      <c r="I141" s="63"/>
      <c r="J141" s="63"/>
      <c r="K141" s="63"/>
      <c r="L141" s="63"/>
      <c r="M141" s="63"/>
      <c r="N141" s="63"/>
      <c r="O141" s="63"/>
      <c r="P141" s="63"/>
      <c r="Q141" s="379">
        <f t="shared" si="5"/>
        <v>0</v>
      </c>
      <c r="R141" s="39">
        <f>Q141/Summary!$Q$16</f>
        <v>0</v>
      </c>
      <c r="S141" s="39"/>
      <c r="T141" s="35"/>
      <c r="U141" s="40">
        <f t="shared" si="7"/>
        <v>-1</v>
      </c>
    </row>
    <row r="142" spans="1:21" s="3" customFormat="1" ht="24.95" hidden="1" customHeight="1">
      <c r="A142" s="3" t="s">
        <v>987</v>
      </c>
      <c r="B142" s="3" t="s">
        <v>52</v>
      </c>
      <c r="D142" s="26" t="s">
        <v>988</v>
      </c>
      <c r="E142" s="63"/>
      <c r="F142" s="63"/>
      <c r="G142" s="63"/>
      <c r="H142" s="63"/>
      <c r="I142" s="63"/>
      <c r="J142" s="63"/>
      <c r="K142" s="63"/>
      <c r="L142" s="63"/>
      <c r="M142" s="63"/>
      <c r="N142" s="63"/>
      <c r="O142" s="63"/>
      <c r="P142" s="63"/>
      <c r="Q142" s="379">
        <f t="shared" si="5"/>
        <v>0</v>
      </c>
      <c r="R142" s="39">
        <f>Q142/Summary!$Q$16</f>
        <v>0</v>
      </c>
      <c r="S142" s="39"/>
      <c r="T142" s="35"/>
      <c r="U142" s="40">
        <f t="shared" si="7"/>
        <v>-1</v>
      </c>
    </row>
    <row r="143" spans="1:21" s="3" customFormat="1" ht="24.95" hidden="1" customHeight="1">
      <c r="A143" s="3" t="s">
        <v>989</v>
      </c>
      <c r="B143" s="3" t="s">
        <v>52</v>
      </c>
      <c r="D143" s="26" t="s">
        <v>990</v>
      </c>
      <c r="E143" s="63"/>
      <c r="F143" s="63"/>
      <c r="G143" s="63"/>
      <c r="H143" s="63"/>
      <c r="Q143" s="379">
        <f t="shared" si="5"/>
        <v>0</v>
      </c>
      <c r="R143" s="39">
        <f>Q143/Summary!$Q$16</f>
        <v>0</v>
      </c>
      <c r="S143" s="39"/>
      <c r="T143" s="35"/>
      <c r="U143" s="40">
        <f t="shared" si="7"/>
        <v>-1</v>
      </c>
    </row>
    <row r="144" spans="1:21" s="3" customFormat="1" ht="24.95" customHeight="1">
      <c r="A144" s="3" t="s">
        <v>991</v>
      </c>
      <c r="B144" s="3" t="s">
        <v>52</v>
      </c>
      <c r="D144" s="26" t="s">
        <v>992</v>
      </c>
      <c r="E144" s="63"/>
      <c r="F144" s="63"/>
      <c r="G144" s="63"/>
      <c r="H144" s="63"/>
      <c r="I144" s="63"/>
      <c r="J144" s="63"/>
      <c r="K144" s="63"/>
      <c r="L144" s="63"/>
      <c r="M144" s="63"/>
      <c r="N144" s="63"/>
      <c r="O144" s="63"/>
      <c r="P144" s="63"/>
      <c r="Q144" s="379">
        <f t="shared" ref="Q144:Q156" si="8">SUM(E144:P144)</f>
        <v>0</v>
      </c>
      <c r="R144" s="39">
        <f>Q144/Summary!$Q$16</f>
        <v>0</v>
      </c>
      <c r="S144" s="39"/>
      <c r="T144" s="35"/>
      <c r="U144" s="40">
        <f t="shared" si="7"/>
        <v>-1</v>
      </c>
    </row>
    <row r="145" spans="1:21" s="3" customFormat="1" ht="24.95" customHeight="1">
      <c r="A145" s="3" t="s">
        <v>993</v>
      </c>
      <c r="B145" s="3" t="s">
        <v>52</v>
      </c>
      <c r="D145" s="26" t="s">
        <v>1100</v>
      </c>
      <c r="E145" s="63">
        <v>3000</v>
      </c>
      <c r="F145" s="63">
        <v>3000</v>
      </c>
      <c r="G145" s="63">
        <v>3000</v>
      </c>
      <c r="H145" s="63">
        <v>3000</v>
      </c>
      <c r="I145" s="63">
        <v>3000</v>
      </c>
      <c r="J145" s="63">
        <v>3000</v>
      </c>
      <c r="K145" s="63">
        <v>3000</v>
      </c>
      <c r="L145" s="63">
        <v>3000</v>
      </c>
      <c r="M145" s="63">
        <v>3000</v>
      </c>
      <c r="N145" s="63">
        <v>3000</v>
      </c>
      <c r="O145" s="63">
        <v>3000</v>
      </c>
      <c r="P145" s="63">
        <v>3000</v>
      </c>
      <c r="Q145" s="379">
        <f t="shared" si="8"/>
        <v>36000</v>
      </c>
      <c r="R145" s="39">
        <f>Q145/Summary!$Q$16</f>
        <v>1.0824531375667923E-3</v>
      </c>
      <c r="S145" s="39"/>
      <c r="T145" s="35"/>
      <c r="U145" s="40">
        <f t="shared" si="7"/>
        <v>-1</v>
      </c>
    </row>
    <row r="146" spans="1:21" s="3" customFormat="1" ht="26.1" customHeight="1">
      <c r="A146" s="3" t="s">
        <v>995</v>
      </c>
      <c r="B146" s="3" t="s">
        <v>52</v>
      </c>
      <c r="D146" s="26" t="s">
        <v>996</v>
      </c>
      <c r="E146" s="63"/>
      <c r="F146" s="63"/>
      <c r="G146" s="63"/>
      <c r="H146" s="63"/>
      <c r="I146" s="63"/>
      <c r="J146" s="63"/>
      <c r="K146" s="63"/>
      <c r="L146" s="63"/>
      <c r="M146" s="63"/>
      <c r="N146" s="63"/>
      <c r="O146" s="63"/>
      <c r="P146" s="63"/>
      <c r="Q146" s="379">
        <f t="shared" si="8"/>
        <v>0</v>
      </c>
      <c r="R146" s="39">
        <f>Q146/Summary!$Q$16</f>
        <v>0</v>
      </c>
      <c r="S146" s="39"/>
      <c r="T146" s="35"/>
      <c r="U146" s="40">
        <f t="shared" si="7"/>
        <v>-1</v>
      </c>
    </row>
    <row r="147" spans="1:21" s="3" customFormat="1" ht="24.95" customHeight="1">
      <c r="A147" s="3" t="s">
        <v>997</v>
      </c>
      <c r="B147" s="3" t="s">
        <v>52</v>
      </c>
      <c r="D147" s="26" t="s">
        <v>998</v>
      </c>
      <c r="E147" s="63"/>
      <c r="F147" s="63"/>
      <c r="G147" s="63"/>
      <c r="H147" s="63"/>
      <c r="I147" s="63">
        <v>68000</v>
      </c>
      <c r="J147" s="63">
        <v>9000</v>
      </c>
      <c r="K147" s="63"/>
      <c r="L147" s="63"/>
      <c r="M147" s="63"/>
      <c r="N147" s="63"/>
      <c r="O147" s="63"/>
      <c r="P147" s="63"/>
      <c r="Q147" s="379">
        <f>SUM(E147:P147)</f>
        <v>77000</v>
      </c>
      <c r="R147" s="39">
        <f>Q147/Summary!$Q$16</f>
        <v>2.3152469886845279E-3</v>
      </c>
      <c r="S147" s="39"/>
      <c r="T147" s="35"/>
      <c r="U147" s="40">
        <f t="shared" si="7"/>
        <v>-1</v>
      </c>
    </row>
    <row r="148" spans="1:21" s="3" customFormat="1" ht="23.1" customHeight="1">
      <c r="A148" s="3" t="s">
        <v>999</v>
      </c>
      <c r="B148" s="3" t="s">
        <v>52</v>
      </c>
      <c r="D148" s="26" t="s">
        <v>1000</v>
      </c>
      <c r="E148" s="63"/>
      <c r="F148" s="63"/>
      <c r="G148" s="63"/>
      <c r="H148" s="63"/>
      <c r="I148" s="63"/>
      <c r="J148" s="61"/>
      <c r="K148" s="61"/>
      <c r="L148" s="61"/>
      <c r="M148" s="27"/>
      <c r="N148" s="27"/>
      <c r="O148" s="27"/>
      <c r="P148" s="27"/>
      <c r="Q148" s="379">
        <f t="shared" si="8"/>
        <v>0</v>
      </c>
      <c r="R148" s="39">
        <f>Q148/Summary!$Q$16</f>
        <v>0</v>
      </c>
      <c r="S148" s="39"/>
      <c r="T148" s="35"/>
      <c r="U148" s="40">
        <f t="shared" si="7"/>
        <v>-1</v>
      </c>
    </row>
    <row r="149" spans="1:21" s="3" customFormat="1" ht="24.95" customHeight="1">
      <c r="A149" s="3" t="s">
        <v>1001</v>
      </c>
      <c r="B149" s="3" t="s">
        <v>52</v>
      </c>
      <c r="D149" s="26" t="s">
        <v>1177</v>
      </c>
      <c r="E149" s="63"/>
      <c r="F149" s="63"/>
      <c r="G149" s="63"/>
      <c r="H149" s="63"/>
      <c r="I149" s="63">
        <v>50000</v>
      </c>
      <c r="J149" s="61"/>
      <c r="K149" s="61"/>
      <c r="L149" s="61"/>
      <c r="M149" s="27"/>
      <c r="N149" s="27"/>
      <c r="O149" s="27"/>
      <c r="P149" s="27"/>
      <c r="Q149" s="379">
        <f t="shared" si="8"/>
        <v>50000</v>
      </c>
      <c r="R149" s="39">
        <f>Q149/Summary!$Q$16</f>
        <v>1.5034071355094338E-3</v>
      </c>
      <c r="S149" s="39"/>
      <c r="T149" s="35"/>
      <c r="U149" s="40">
        <f t="shared" ref="U149:U158" si="9">-IF(T149&lt;&gt;0,(Q149-T149)/T149,1)</f>
        <v>-1</v>
      </c>
    </row>
    <row r="150" spans="1:21" s="3" customFormat="1" ht="24.95" customHeight="1">
      <c r="A150" s="3" t="s">
        <v>1003</v>
      </c>
      <c r="B150" s="3" t="s">
        <v>52</v>
      </c>
      <c r="D150" s="26" t="s">
        <v>1004</v>
      </c>
      <c r="E150" s="27">
        <f>ROUND(Summary!E16*1.51%,2)</f>
        <v>34123.67</v>
      </c>
      <c r="F150" s="27">
        <f>ROUND(Summary!F16*1.51%,2)</f>
        <v>27426.799999999999</v>
      </c>
      <c r="G150" s="27">
        <f>ROUND(Summary!G16*1.51%,2)</f>
        <v>35348.5</v>
      </c>
      <c r="H150" s="27">
        <f>ROUND(Summary!H16*1.51%,2)</f>
        <v>41842.559999999998</v>
      </c>
      <c r="I150" s="27">
        <f>ROUND(Summary!I16*1.51%,2)</f>
        <v>46755.06</v>
      </c>
      <c r="J150" s="27">
        <f>ROUND(Summary!J16*1.51%,2)</f>
        <v>39544.22</v>
      </c>
      <c r="K150" s="27">
        <f>ROUND(Summary!K16*1.51%,2)</f>
        <v>44905.17</v>
      </c>
      <c r="L150" s="27">
        <f>ROUND(Summary!L16*1.51%,2)</f>
        <v>46011.09</v>
      </c>
      <c r="M150" s="27">
        <f>ROUND(Summary!M16*1.51%,2)</f>
        <v>46903.96</v>
      </c>
      <c r="N150" s="27">
        <f>ROUND(Summary!N16*1.51%,2)</f>
        <v>52368.53</v>
      </c>
      <c r="O150" s="27">
        <f>ROUND(Summary!O16*1.51%,2)</f>
        <v>44508.49</v>
      </c>
      <c r="P150" s="27">
        <f>ROUND(Summary!P16*1.51%,2)</f>
        <v>42454.59</v>
      </c>
      <c r="Q150" s="379">
        <f t="shared" si="8"/>
        <v>502192.6399999999</v>
      </c>
      <c r="R150" s="39">
        <f>Q150/Summary!$Q$16</f>
        <v>1.5099999967526402E-2</v>
      </c>
      <c r="S150" s="39"/>
      <c r="T150" s="35"/>
      <c r="U150" s="40">
        <f t="shared" si="9"/>
        <v>-1</v>
      </c>
    </row>
    <row r="151" spans="1:21" s="3" customFormat="1" ht="24.95" hidden="1" customHeight="1">
      <c r="A151" s="3" t="s">
        <v>1005</v>
      </c>
      <c r="B151" s="3" t="s">
        <v>52</v>
      </c>
      <c r="D151" s="26" t="s">
        <v>1006</v>
      </c>
      <c r="E151" s="63">
        <v>0</v>
      </c>
      <c r="F151" s="63"/>
      <c r="G151" s="63"/>
      <c r="H151" s="63"/>
      <c r="I151" s="63">
        <v>0</v>
      </c>
      <c r="J151" s="61">
        <v>0</v>
      </c>
      <c r="K151" s="61">
        <v>0</v>
      </c>
      <c r="L151" s="61">
        <v>0</v>
      </c>
      <c r="M151" s="27">
        <v>0</v>
      </c>
      <c r="N151" s="27">
        <v>0</v>
      </c>
      <c r="O151" s="27">
        <v>0</v>
      </c>
      <c r="P151" s="27">
        <v>0</v>
      </c>
      <c r="Q151" s="379">
        <f t="shared" si="8"/>
        <v>0</v>
      </c>
      <c r="R151" s="39">
        <f>Q151/Summary!$Q$16</f>
        <v>0</v>
      </c>
      <c r="S151" s="39"/>
      <c r="T151" s="35"/>
      <c r="U151" s="40">
        <f t="shared" si="9"/>
        <v>-1</v>
      </c>
    </row>
    <row r="152" spans="1:21" s="3" customFormat="1" ht="24.95" hidden="1" customHeight="1">
      <c r="A152" s="3" t="s">
        <v>1007</v>
      </c>
      <c r="B152" s="3" t="s">
        <v>52</v>
      </c>
      <c r="D152" s="26" t="s">
        <v>1008</v>
      </c>
      <c r="E152" s="63">
        <v>0</v>
      </c>
      <c r="F152" s="63"/>
      <c r="G152" s="63"/>
      <c r="H152" s="63"/>
      <c r="I152" s="63">
        <v>0</v>
      </c>
      <c r="J152" s="61">
        <v>0</v>
      </c>
      <c r="K152" s="61">
        <v>0</v>
      </c>
      <c r="L152" s="61">
        <v>0</v>
      </c>
      <c r="M152" s="27">
        <v>0</v>
      </c>
      <c r="N152" s="27">
        <v>0</v>
      </c>
      <c r="O152" s="27">
        <v>0</v>
      </c>
      <c r="P152" s="27">
        <v>0</v>
      </c>
      <c r="Q152" s="379">
        <f t="shared" si="8"/>
        <v>0</v>
      </c>
      <c r="R152" s="39">
        <f>Q152/Summary!$Q$16</f>
        <v>0</v>
      </c>
      <c r="S152" s="39"/>
      <c r="T152" s="35"/>
      <c r="U152" s="40">
        <f t="shared" si="9"/>
        <v>-1</v>
      </c>
    </row>
    <row r="153" spans="1:21" s="3" customFormat="1" ht="24.95" hidden="1" customHeight="1">
      <c r="A153" s="3" t="s">
        <v>1009</v>
      </c>
      <c r="B153" s="3" t="s">
        <v>52</v>
      </c>
      <c r="D153" s="26" t="s">
        <v>1010</v>
      </c>
      <c r="E153" s="63">
        <v>0</v>
      </c>
      <c r="F153" s="63">
        <v>0</v>
      </c>
      <c r="G153" s="63">
        <v>0</v>
      </c>
      <c r="H153" s="63">
        <v>0</v>
      </c>
      <c r="I153" s="63">
        <v>0</v>
      </c>
      <c r="J153" s="61">
        <v>0</v>
      </c>
      <c r="K153" s="61">
        <v>0</v>
      </c>
      <c r="L153" s="61">
        <v>0</v>
      </c>
      <c r="M153" s="27">
        <v>0</v>
      </c>
      <c r="N153" s="27">
        <v>0</v>
      </c>
      <c r="O153" s="27">
        <v>0</v>
      </c>
      <c r="P153" s="27">
        <v>0</v>
      </c>
      <c r="Q153" s="379">
        <f t="shared" si="8"/>
        <v>0</v>
      </c>
      <c r="R153" s="39">
        <f>Q153/Summary!$Q$16</f>
        <v>0</v>
      </c>
      <c r="S153" s="39"/>
      <c r="T153" s="35"/>
      <c r="U153" s="40">
        <f t="shared" si="9"/>
        <v>-1</v>
      </c>
    </row>
    <row r="154" spans="1:21" s="3" customFormat="1" ht="24.95" hidden="1" customHeight="1">
      <c r="A154" s="3" t="s">
        <v>1011</v>
      </c>
      <c r="B154" s="3" t="s">
        <v>52</v>
      </c>
      <c r="D154" s="26" t="s">
        <v>1012</v>
      </c>
      <c r="E154" s="63">
        <v>0</v>
      </c>
      <c r="F154" s="63">
        <v>0</v>
      </c>
      <c r="G154" s="63">
        <v>0</v>
      </c>
      <c r="H154" s="63">
        <v>0</v>
      </c>
      <c r="I154" s="63">
        <v>0</v>
      </c>
      <c r="J154" s="61">
        <v>0</v>
      </c>
      <c r="K154" s="61">
        <v>0</v>
      </c>
      <c r="L154" s="61">
        <v>0</v>
      </c>
      <c r="M154" s="27">
        <v>0</v>
      </c>
      <c r="N154" s="27">
        <v>0</v>
      </c>
      <c r="O154" s="27">
        <v>0</v>
      </c>
      <c r="P154" s="27">
        <v>0</v>
      </c>
      <c r="Q154" s="379">
        <f t="shared" si="8"/>
        <v>0</v>
      </c>
      <c r="R154" s="39">
        <f>Q154/Summary!$Q$16</f>
        <v>0</v>
      </c>
      <c r="S154" s="39"/>
      <c r="T154" s="35"/>
      <c r="U154" s="40">
        <f t="shared" si="9"/>
        <v>-1</v>
      </c>
    </row>
    <row r="155" spans="1:21" s="3" customFormat="1" ht="24.95" hidden="1" customHeight="1">
      <c r="A155" s="3" t="s">
        <v>1013</v>
      </c>
      <c r="B155" s="3" t="s">
        <v>52</v>
      </c>
      <c r="D155" s="26" t="s">
        <v>1014</v>
      </c>
      <c r="E155" s="63">
        <v>0</v>
      </c>
      <c r="F155" s="63">
        <v>0</v>
      </c>
      <c r="G155" s="63">
        <v>0</v>
      </c>
      <c r="H155" s="63">
        <v>0</v>
      </c>
      <c r="I155" s="63">
        <v>0</v>
      </c>
      <c r="J155" s="61">
        <v>0</v>
      </c>
      <c r="K155" s="61">
        <v>0</v>
      </c>
      <c r="L155" s="61">
        <v>0</v>
      </c>
      <c r="M155" s="27">
        <v>0</v>
      </c>
      <c r="N155" s="27">
        <v>0</v>
      </c>
      <c r="O155" s="27">
        <v>0</v>
      </c>
      <c r="P155" s="27">
        <v>0</v>
      </c>
      <c r="Q155" s="379">
        <f t="shared" si="8"/>
        <v>0</v>
      </c>
      <c r="R155" s="39">
        <f>Q155/Summary!$Q$16</f>
        <v>0</v>
      </c>
      <c r="S155" s="39"/>
      <c r="T155" s="35"/>
      <c r="U155" s="40">
        <f t="shared" si="9"/>
        <v>-1</v>
      </c>
    </row>
    <row r="156" spans="1:21" s="3" customFormat="1" ht="24.95" customHeight="1">
      <c r="A156" s="3" t="s">
        <v>611</v>
      </c>
      <c r="B156" s="3" t="s">
        <v>52</v>
      </c>
      <c r="D156" s="26" t="s">
        <v>612</v>
      </c>
      <c r="E156" s="63"/>
      <c r="F156" s="63"/>
      <c r="G156" s="63"/>
      <c r="H156" s="63"/>
      <c r="I156" s="63"/>
      <c r="J156" s="63"/>
      <c r="K156" s="63"/>
      <c r="L156" s="63"/>
      <c r="M156" s="63"/>
      <c r="N156" s="63"/>
      <c r="O156" s="63"/>
      <c r="P156" s="63"/>
      <c r="Q156" s="379">
        <f t="shared" si="8"/>
        <v>0</v>
      </c>
      <c r="R156" s="39">
        <f>Q156/Summary!$Q$16</f>
        <v>0</v>
      </c>
      <c r="S156" s="39"/>
      <c r="T156" s="35"/>
      <c r="U156" s="40">
        <f t="shared" si="9"/>
        <v>-1</v>
      </c>
    </row>
    <row r="157" spans="1:21" s="19" customFormat="1" ht="24.95" customHeight="1">
      <c r="D157" s="21" t="s">
        <v>613</v>
      </c>
      <c r="E157" s="45">
        <f>SUM(E15:E156)</f>
        <v>52861.86</v>
      </c>
      <c r="F157" s="45">
        <f t="shared" ref="F157:Q157" si="10">SUM(F15:F156)</f>
        <v>46323.770000000004</v>
      </c>
      <c r="G157" s="45">
        <f t="shared" si="10"/>
        <v>60580.82</v>
      </c>
      <c r="H157" s="45">
        <f t="shared" si="10"/>
        <v>85253.15</v>
      </c>
      <c r="I157" s="45">
        <f t="shared" si="10"/>
        <v>213187.62</v>
      </c>
      <c r="J157" s="45">
        <f t="shared" si="10"/>
        <v>86992.83</v>
      </c>
      <c r="K157" s="45">
        <f t="shared" si="10"/>
        <v>83336.09</v>
      </c>
      <c r="L157" s="45">
        <f t="shared" si="10"/>
        <v>88950.459999999992</v>
      </c>
      <c r="M157" s="45">
        <f t="shared" si="10"/>
        <v>79953.98000000001</v>
      </c>
      <c r="N157" s="45">
        <f t="shared" si="10"/>
        <v>100577.33</v>
      </c>
      <c r="O157" s="45">
        <f t="shared" si="10"/>
        <v>77374.329999999987</v>
      </c>
      <c r="P157" s="45">
        <f t="shared" si="10"/>
        <v>62288.319999999992</v>
      </c>
      <c r="Q157" s="45">
        <f t="shared" si="10"/>
        <v>1037680.5599999998</v>
      </c>
      <c r="R157" s="39">
        <f>Q157/Summary!$Q$16</f>
        <v>3.1201127165668495E-2</v>
      </c>
      <c r="S157" s="39"/>
      <c r="T157" s="35"/>
      <c r="U157" s="40">
        <f t="shared" si="9"/>
        <v>-1</v>
      </c>
    </row>
    <row r="158" spans="1:21" s="19" customFormat="1" ht="24.95" customHeight="1">
      <c r="D158" s="21" t="s">
        <v>614</v>
      </c>
      <c r="E158" s="45">
        <f>+E12+E157</f>
        <v>160311.17000000001</v>
      </c>
      <c r="F158" s="45">
        <f t="shared" ref="F158:Q158" si="11">+F12+F157</f>
        <v>154120.90000000002</v>
      </c>
      <c r="G158" s="45">
        <f t="shared" si="11"/>
        <v>167856.21</v>
      </c>
      <c r="H158" s="45">
        <f t="shared" si="11"/>
        <v>192702.46000000002</v>
      </c>
      <c r="I158" s="45">
        <f t="shared" si="11"/>
        <v>320636.93</v>
      </c>
      <c r="J158" s="45">
        <f t="shared" si="11"/>
        <v>194442.14</v>
      </c>
      <c r="K158" s="45">
        <f t="shared" si="11"/>
        <v>190611.47999999998</v>
      </c>
      <c r="L158" s="45">
        <f t="shared" si="11"/>
        <v>196225.84999999998</v>
      </c>
      <c r="M158" s="45">
        <f t="shared" si="11"/>
        <v>187403.29000000004</v>
      </c>
      <c r="N158" s="45">
        <f t="shared" si="11"/>
        <v>208374.46000000002</v>
      </c>
      <c r="O158" s="45">
        <f t="shared" si="11"/>
        <v>184649.71999999997</v>
      </c>
      <c r="P158" s="45">
        <f t="shared" si="11"/>
        <v>169563.71</v>
      </c>
      <c r="Q158" s="45">
        <f t="shared" si="11"/>
        <v>2326898.3199999998</v>
      </c>
      <c r="R158" s="391">
        <f>Q158/Summary!$Q$16</f>
        <v>6.9965510757858271E-2</v>
      </c>
      <c r="S158" s="39"/>
      <c r="T158" s="35"/>
      <c r="U158" s="40">
        <f t="shared" si="9"/>
        <v>-1</v>
      </c>
    </row>
    <row r="159" spans="1:21" s="3" customFormat="1" ht="24.95" hidden="1" customHeight="1">
      <c r="A159" s="3" t="s">
        <v>615</v>
      </c>
      <c r="B159" s="3" t="s">
        <v>52</v>
      </c>
      <c r="D159" s="42" t="s">
        <v>351</v>
      </c>
      <c r="E159" s="74">
        <v>374846.07</v>
      </c>
      <c r="F159" s="74">
        <v>336478.52</v>
      </c>
      <c r="G159" s="74">
        <v>500534.78</v>
      </c>
      <c r="H159" s="74">
        <v>459279.71</v>
      </c>
      <c r="I159" s="74">
        <v>368742.45</v>
      </c>
      <c r="J159" s="74">
        <v>417849.93</v>
      </c>
      <c r="K159" s="74">
        <v>418102.91</v>
      </c>
      <c r="L159" s="74">
        <v>488321.73</v>
      </c>
      <c r="M159" s="74">
        <f>+M158</f>
        <v>187403.29000000004</v>
      </c>
      <c r="N159" s="74">
        <f>+N158</f>
        <v>208374.46000000002</v>
      </c>
      <c r="O159" s="74">
        <f>+O158</f>
        <v>184649.71999999997</v>
      </c>
      <c r="P159" s="74">
        <f>+P158</f>
        <v>169563.71</v>
      </c>
      <c r="Q159" s="74">
        <f>+Q158</f>
        <v>2326898.3199999998</v>
      </c>
      <c r="T159" s="35"/>
      <c r="U159" s="40" t="e">
        <f>IF(Q159-T159=0,0,(Q159-T159)/T159)</f>
        <v>#DIV/0!</v>
      </c>
    </row>
    <row r="160" spans="1:21" s="42" customFormat="1" ht="24.95" customHeight="1">
      <c r="E160" s="47"/>
      <c r="F160" s="47"/>
      <c r="G160" s="47"/>
      <c r="H160" s="47"/>
      <c r="I160" s="47"/>
      <c r="J160" s="47"/>
      <c r="K160" s="47"/>
      <c r="L160" s="47"/>
      <c r="M160" s="47"/>
      <c r="N160" s="47"/>
      <c r="O160" s="47"/>
      <c r="P160" s="47"/>
      <c r="Q160" s="361"/>
      <c r="T160" s="35"/>
      <c r="U160" s="40"/>
    </row>
    <row r="161" spans="1:21" s="3" customFormat="1" ht="24.95" customHeight="1">
      <c r="D161" s="19" t="s">
        <v>618</v>
      </c>
      <c r="E161" s="48"/>
      <c r="F161" s="48"/>
      <c r="G161" s="48"/>
      <c r="H161" s="48"/>
      <c r="I161" s="48"/>
      <c r="T161" s="35"/>
      <c r="U161" s="40"/>
    </row>
    <row r="162" spans="1:21" s="3" customFormat="1" ht="24.95" customHeight="1">
      <c r="D162" s="19" t="s">
        <v>444</v>
      </c>
      <c r="E162" s="48"/>
      <c r="F162" s="48"/>
      <c r="G162" s="48"/>
      <c r="H162" s="48"/>
      <c r="I162" s="48"/>
      <c r="T162" s="35"/>
      <c r="U162" s="40"/>
    </row>
    <row r="163" spans="1:21" s="3" customFormat="1" ht="24.95" customHeight="1">
      <c r="A163" s="273" t="s">
        <v>295</v>
      </c>
      <c r="B163" s="51" t="s">
        <v>52</v>
      </c>
      <c r="D163" s="26" t="s">
        <v>297</v>
      </c>
      <c r="E163" s="63">
        <v>63330</v>
      </c>
      <c r="F163" s="63">
        <v>63330</v>
      </c>
      <c r="G163" s="63">
        <v>63330</v>
      </c>
      <c r="H163" s="63">
        <v>63330</v>
      </c>
      <c r="I163" s="63">
        <v>63330</v>
      </c>
      <c r="J163" s="63">
        <v>63330</v>
      </c>
      <c r="K163" s="63">
        <v>63330</v>
      </c>
      <c r="L163" s="63">
        <v>63330</v>
      </c>
      <c r="M163" s="63">
        <v>63330</v>
      </c>
      <c r="N163" s="63">
        <v>63330</v>
      </c>
      <c r="O163" s="63">
        <v>63330</v>
      </c>
      <c r="P163" s="63">
        <v>63330</v>
      </c>
      <c r="Q163" s="41">
        <f>SUM(E163:P163)</f>
        <v>759960</v>
      </c>
      <c r="R163" s="39">
        <f>Q163/Summary!$Q$16</f>
        <v>2.2850585734034985E-2</v>
      </c>
      <c r="S163" s="39"/>
      <c r="T163" s="35"/>
      <c r="U163" s="40" t="e">
        <f>-IF(Q163-T163=0,0,(Q163-T163)/T163)</f>
        <v>#DIV/0!</v>
      </c>
    </row>
    <row r="164" spans="1:21" s="3" customFormat="1" ht="24.95" customHeight="1">
      <c r="A164" s="50" t="s">
        <v>298</v>
      </c>
      <c r="B164" s="51" t="s">
        <v>52</v>
      </c>
      <c r="D164" s="26" t="s">
        <v>447</v>
      </c>
      <c r="E164" s="63">
        <v>3700</v>
      </c>
      <c r="F164" s="63">
        <v>3700</v>
      </c>
      <c r="G164" s="63">
        <v>3700</v>
      </c>
      <c r="H164" s="63">
        <v>3700</v>
      </c>
      <c r="I164" s="63">
        <v>3700</v>
      </c>
      <c r="J164" s="63">
        <v>3700</v>
      </c>
      <c r="K164" s="63">
        <v>3700</v>
      </c>
      <c r="L164" s="63">
        <v>3700</v>
      </c>
      <c r="M164" s="63">
        <v>3700</v>
      </c>
      <c r="N164" s="63">
        <v>3700</v>
      </c>
      <c r="O164" s="63">
        <v>3700</v>
      </c>
      <c r="P164" s="63">
        <v>3700</v>
      </c>
      <c r="Q164" s="41">
        <f>SUM(E164:P164)</f>
        <v>44400</v>
      </c>
      <c r="R164" s="39">
        <f>Q164/Summary!$Q$16</f>
        <v>1.3350255363323773E-3</v>
      </c>
      <c r="S164" s="39"/>
      <c r="T164" s="35"/>
      <c r="U164" s="40" t="e">
        <f>-IF(Q164-T164=0,0,(Q164-T164)/T164)</f>
        <v>#DIV/0!</v>
      </c>
    </row>
    <row r="165" spans="1:21" s="3" customFormat="1" ht="24.95" customHeight="1">
      <c r="B165" s="51"/>
      <c r="D165" s="21" t="s">
        <v>450</v>
      </c>
      <c r="E165" s="52">
        <f>SUM(E163:E164)</f>
        <v>67030</v>
      </c>
      <c r="F165" s="52">
        <f t="shared" ref="F165:P165" si="12">SUM(F163:F164)</f>
        <v>67030</v>
      </c>
      <c r="G165" s="52">
        <f t="shared" si="12"/>
        <v>67030</v>
      </c>
      <c r="H165" s="52">
        <f t="shared" si="12"/>
        <v>67030</v>
      </c>
      <c r="I165" s="52">
        <f t="shared" si="12"/>
        <v>67030</v>
      </c>
      <c r="J165" s="52">
        <f t="shared" si="12"/>
        <v>67030</v>
      </c>
      <c r="K165" s="52">
        <f t="shared" si="12"/>
        <v>67030</v>
      </c>
      <c r="L165" s="52">
        <f t="shared" si="12"/>
        <v>67030</v>
      </c>
      <c r="M165" s="52">
        <f t="shared" si="12"/>
        <v>67030</v>
      </c>
      <c r="N165" s="52">
        <f t="shared" si="12"/>
        <v>67030</v>
      </c>
      <c r="O165" s="52">
        <f t="shared" si="12"/>
        <v>67030</v>
      </c>
      <c r="P165" s="52">
        <f t="shared" si="12"/>
        <v>67030</v>
      </c>
      <c r="Q165" s="52">
        <f t="shared" ref="Q165" si="13">SUM(Q163:Q164)</f>
        <v>804360</v>
      </c>
      <c r="R165" s="39">
        <f>Q165/Summary!$Q$16</f>
        <v>2.4185611270367363E-2</v>
      </c>
      <c r="S165" s="39"/>
      <c r="T165" s="35"/>
      <c r="U165" s="40" t="e">
        <f>-IF(Q165-T165=0,0,(Q165-T165)/T165)</f>
        <v>#DIV/0!</v>
      </c>
    </row>
    <row r="166" spans="1:21" s="3" customFormat="1" ht="24.95" customHeight="1">
      <c r="B166" s="51"/>
      <c r="E166" s="82"/>
      <c r="F166" s="53"/>
      <c r="G166" s="53"/>
      <c r="H166" s="53"/>
      <c r="I166" s="53"/>
      <c r="J166" s="53"/>
      <c r="K166" s="53"/>
      <c r="L166" s="53"/>
      <c r="M166" s="53"/>
      <c r="N166" s="53"/>
      <c r="O166" s="53"/>
      <c r="P166" s="53"/>
      <c r="Q166" s="53"/>
      <c r="T166" s="35"/>
      <c r="U166" s="40"/>
    </row>
    <row r="167" spans="1:21" s="3" customFormat="1" ht="24.95" customHeight="1">
      <c r="A167" s="271" t="s">
        <v>619</v>
      </c>
      <c r="B167" s="51" t="s">
        <v>52</v>
      </c>
      <c r="D167" s="26" t="s">
        <v>307</v>
      </c>
      <c r="E167" s="63"/>
      <c r="F167" s="63"/>
      <c r="G167" s="63"/>
      <c r="H167" s="63"/>
      <c r="I167" s="63"/>
      <c r="J167" s="63"/>
      <c r="K167" s="63"/>
      <c r="L167" s="63"/>
      <c r="M167" s="63"/>
      <c r="N167" s="63"/>
      <c r="O167" s="63"/>
      <c r="P167" s="63"/>
      <c r="Q167" s="41">
        <f>SUM(E167:P167)</f>
        <v>0</v>
      </c>
      <c r="R167" s="39">
        <f>Q167/Summary!$Q$16</f>
        <v>0</v>
      </c>
      <c r="S167" s="39"/>
      <c r="T167" s="35"/>
      <c r="U167" s="40">
        <f t="shared" ref="U167:U174" si="14">-IF(Q167-T167=0,0,(Q167-T167)/T167)</f>
        <v>0</v>
      </c>
    </row>
    <row r="168" spans="1:21" s="3" customFormat="1" ht="24.95" customHeight="1">
      <c r="A168" s="54" t="s">
        <v>308</v>
      </c>
      <c r="B168" s="51" t="s">
        <v>52</v>
      </c>
      <c r="D168" s="26" t="s">
        <v>309</v>
      </c>
      <c r="E168" s="63">
        <f>ROUND(E165/12*1.5,2)</f>
        <v>8378.75</v>
      </c>
      <c r="F168" s="63">
        <f t="shared" ref="F168:P168" si="15">ROUND(F165/12*1.5,2)</f>
        <v>8378.75</v>
      </c>
      <c r="G168" s="63">
        <f t="shared" si="15"/>
        <v>8378.75</v>
      </c>
      <c r="H168" s="63">
        <f t="shared" si="15"/>
        <v>8378.75</v>
      </c>
      <c r="I168" s="63">
        <f t="shared" si="15"/>
        <v>8378.75</v>
      </c>
      <c r="J168" s="63">
        <f t="shared" si="15"/>
        <v>8378.75</v>
      </c>
      <c r="K168" s="63">
        <f t="shared" si="15"/>
        <v>8378.75</v>
      </c>
      <c r="L168" s="63">
        <f t="shared" si="15"/>
        <v>8378.75</v>
      </c>
      <c r="M168" s="63">
        <f t="shared" si="15"/>
        <v>8378.75</v>
      </c>
      <c r="N168" s="63">
        <f t="shared" si="15"/>
        <v>8378.75</v>
      </c>
      <c r="O168" s="63">
        <f t="shared" si="15"/>
        <v>8378.75</v>
      </c>
      <c r="P168" s="63">
        <f t="shared" si="15"/>
        <v>8378.75</v>
      </c>
      <c r="Q168" s="41">
        <f t="shared" ref="Q168:Q173" si="16">SUM(E168:P168)</f>
        <v>100545</v>
      </c>
      <c r="R168" s="39">
        <f>Q168/Summary!$Q$16</f>
        <v>3.0232014087959204E-3</v>
      </c>
      <c r="S168" s="39"/>
      <c r="T168" s="35"/>
      <c r="U168" s="40" t="e">
        <f t="shared" si="14"/>
        <v>#DIV/0!</v>
      </c>
    </row>
    <row r="169" spans="1:21" s="3" customFormat="1" ht="24.95" customHeight="1">
      <c r="A169" s="271" t="s">
        <v>620</v>
      </c>
      <c r="B169" s="51" t="s">
        <v>52</v>
      </c>
      <c r="D169" s="26" t="s">
        <v>311</v>
      </c>
      <c r="E169" s="63"/>
      <c r="F169" s="63"/>
      <c r="G169" s="63"/>
      <c r="H169" s="63"/>
      <c r="I169" s="63"/>
      <c r="J169" s="63"/>
      <c r="K169" s="63"/>
      <c r="L169" s="63"/>
      <c r="M169" s="63"/>
      <c r="N169" s="63"/>
      <c r="O169" s="63"/>
      <c r="P169" s="63"/>
      <c r="Q169" s="41">
        <f t="shared" si="16"/>
        <v>0</v>
      </c>
      <c r="R169" s="39">
        <f>Q169/Summary!$Q$16</f>
        <v>0</v>
      </c>
      <c r="S169" s="39"/>
      <c r="T169" s="35"/>
      <c r="U169" s="40">
        <f t="shared" si="14"/>
        <v>0</v>
      </c>
    </row>
    <row r="170" spans="1:21" s="3" customFormat="1" ht="24.95" customHeight="1">
      <c r="A170" s="271" t="s">
        <v>621</v>
      </c>
      <c r="B170" s="51" t="s">
        <v>52</v>
      </c>
      <c r="D170" s="26" t="s">
        <v>313</v>
      </c>
      <c r="E170" s="63"/>
      <c r="F170" s="63"/>
      <c r="G170" s="63"/>
      <c r="H170" s="63"/>
      <c r="I170" s="63"/>
      <c r="J170" s="63"/>
      <c r="K170" s="63"/>
      <c r="L170" s="63"/>
      <c r="M170" s="63"/>
      <c r="N170" s="63"/>
      <c r="O170" s="63"/>
      <c r="P170" s="63"/>
      <c r="Q170" s="41">
        <f t="shared" ref="Q170:Q171" si="17">SUM(E170:P170)</f>
        <v>0</v>
      </c>
      <c r="R170" s="39">
        <f>Q170/Summary!$Q$16</f>
        <v>0</v>
      </c>
      <c r="S170" s="39"/>
      <c r="T170" s="35"/>
      <c r="U170" s="40">
        <f t="shared" ref="U170:U171" si="18">-IF(Q170-T170=0,0,(Q170-T170)/T170)</f>
        <v>0</v>
      </c>
    </row>
    <row r="171" spans="1:21" s="3" customFormat="1" ht="24.95" customHeight="1">
      <c r="A171" s="271" t="s">
        <v>622</v>
      </c>
      <c r="B171" s="51" t="s">
        <v>52</v>
      </c>
      <c r="D171" s="26" t="s">
        <v>315</v>
      </c>
      <c r="E171" s="63"/>
      <c r="F171" s="63"/>
      <c r="G171" s="63"/>
      <c r="H171" s="63"/>
      <c r="I171" s="63"/>
      <c r="J171" s="63"/>
      <c r="K171" s="63"/>
      <c r="L171" s="63"/>
      <c r="M171" s="63"/>
      <c r="N171" s="63"/>
      <c r="O171" s="63"/>
      <c r="P171" s="63"/>
      <c r="Q171" s="41">
        <f t="shared" si="17"/>
        <v>0</v>
      </c>
      <c r="R171" s="39">
        <f>Q171/Summary!$Q$16</f>
        <v>0</v>
      </c>
      <c r="S171" s="39"/>
      <c r="T171" s="35"/>
      <c r="U171" s="40">
        <f t="shared" si="18"/>
        <v>0</v>
      </c>
    </row>
    <row r="172" spans="1:21" s="3" customFormat="1" ht="24.95" customHeight="1">
      <c r="A172" s="271" t="s">
        <v>1109</v>
      </c>
      <c r="B172" s="51" t="s">
        <v>52</v>
      </c>
      <c r="D172" s="26" t="s">
        <v>1113</v>
      </c>
      <c r="E172" s="63"/>
      <c r="F172" s="63"/>
      <c r="G172" s="63"/>
      <c r="H172" s="63"/>
      <c r="I172" s="63"/>
      <c r="J172" s="63"/>
      <c r="K172" s="63"/>
      <c r="L172" s="63"/>
      <c r="M172" s="63"/>
      <c r="N172" s="63"/>
      <c r="O172" s="63"/>
      <c r="P172" s="63"/>
      <c r="Q172" s="41">
        <f t="shared" si="16"/>
        <v>0</v>
      </c>
      <c r="R172" s="39">
        <f>Q172/Summary!$Q$16</f>
        <v>0</v>
      </c>
      <c r="S172" s="39"/>
      <c r="T172" s="35"/>
      <c r="U172" s="40">
        <f t="shared" si="14"/>
        <v>0</v>
      </c>
    </row>
    <row r="173" spans="1:21" s="3" customFormat="1" ht="24.95" customHeight="1">
      <c r="A173" s="271" t="s">
        <v>1109</v>
      </c>
      <c r="B173" s="51" t="s">
        <v>52</v>
      </c>
      <c r="D173" s="26" t="s">
        <v>1114</v>
      </c>
      <c r="E173" s="63"/>
      <c r="F173" s="63"/>
      <c r="G173" s="63"/>
      <c r="H173" s="63"/>
      <c r="I173" s="63"/>
      <c r="J173" s="63"/>
      <c r="K173" s="63"/>
      <c r="L173" s="63"/>
      <c r="M173" s="63"/>
      <c r="N173" s="63"/>
      <c r="O173" s="63"/>
      <c r="P173" s="63"/>
      <c r="Q173" s="41">
        <f t="shared" si="16"/>
        <v>0</v>
      </c>
      <c r="R173" s="39">
        <f>Q173/Summary!$Q$16</f>
        <v>0</v>
      </c>
      <c r="S173" s="39"/>
      <c r="T173" s="35"/>
      <c r="U173" s="40">
        <f t="shared" si="14"/>
        <v>0</v>
      </c>
    </row>
    <row r="174" spans="1:21" s="19" customFormat="1" ht="24.95" customHeight="1">
      <c r="A174" s="54"/>
      <c r="B174" s="51"/>
      <c r="D174" s="19" t="s">
        <v>316</v>
      </c>
      <c r="E174" s="52">
        <f>SUM(E167:E173)</f>
        <v>8378.75</v>
      </c>
      <c r="F174" s="52">
        <f t="shared" ref="F174:P174" si="19">SUM(F167:F173)</f>
        <v>8378.75</v>
      </c>
      <c r="G174" s="52">
        <f t="shared" si="19"/>
        <v>8378.75</v>
      </c>
      <c r="H174" s="52">
        <f t="shared" si="19"/>
        <v>8378.75</v>
      </c>
      <c r="I174" s="52">
        <f t="shared" si="19"/>
        <v>8378.75</v>
      </c>
      <c r="J174" s="52">
        <f t="shared" si="19"/>
        <v>8378.75</v>
      </c>
      <c r="K174" s="52">
        <f t="shared" si="19"/>
        <v>8378.75</v>
      </c>
      <c r="L174" s="52">
        <f t="shared" si="19"/>
        <v>8378.75</v>
      </c>
      <c r="M174" s="52">
        <f t="shared" si="19"/>
        <v>8378.75</v>
      </c>
      <c r="N174" s="52">
        <f t="shared" si="19"/>
        <v>8378.75</v>
      </c>
      <c r="O174" s="52">
        <f t="shared" si="19"/>
        <v>8378.75</v>
      </c>
      <c r="P174" s="52">
        <f t="shared" si="19"/>
        <v>8378.75</v>
      </c>
      <c r="Q174" s="52">
        <f t="shared" ref="Q174" si="20">SUM(Q167:Q173)</f>
        <v>100545</v>
      </c>
      <c r="R174" s="39">
        <f>Q174/Summary!$Q$16</f>
        <v>3.0232014087959204E-3</v>
      </c>
      <c r="S174" s="39"/>
      <c r="T174" s="35"/>
      <c r="U174" s="40" t="e">
        <f t="shared" si="14"/>
        <v>#DIV/0!</v>
      </c>
    </row>
    <row r="175" spans="1:21" s="3" customFormat="1" ht="24.95" customHeight="1">
      <c r="A175" s="50"/>
      <c r="D175" s="19"/>
      <c r="E175" s="53"/>
      <c r="F175" s="53"/>
      <c r="G175" s="53"/>
      <c r="H175" s="53"/>
      <c r="I175" s="53"/>
      <c r="J175" s="53"/>
      <c r="K175" s="53"/>
      <c r="L175" s="53"/>
      <c r="M175" s="53"/>
      <c r="N175" s="53"/>
      <c r="O175" s="53"/>
      <c r="P175" s="53"/>
      <c r="Q175" s="53"/>
      <c r="T175" s="35"/>
      <c r="U175" s="40"/>
    </row>
    <row r="176" spans="1:21" s="3" customFormat="1" ht="24.95" customHeight="1">
      <c r="A176" s="271" t="s">
        <v>625</v>
      </c>
      <c r="B176" s="51" t="s">
        <v>52</v>
      </c>
      <c r="D176" s="26" t="s">
        <v>318</v>
      </c>
      <c r="E176" s="63">
        <v>10563</v>
      </c>
      <c r="F176" s="63">
        <v>10563</v>
      </c>
      <c r="G176" s="63">
        <v>10563</v>
      </c>
      <c r="H176" s="63">
        <v>10563</v>
      </c>
      <c r="I176" s="63">
        <v>10563</v>
      </c>
      <c r="J176" s="63">
        <v>10563</v>
      </c>
      <c r="K176" s="63">
        <v>10563</v>
      </c>
      <c r="L176" s="63">
        <v>10563</v>
      </c>
      <c r="M176" s="63">
        <v>10563</v>
      </c>
      <c r="N176" s="63">
        <v>10563</v>
      </c>
      <c r="O176" s="63">
        <v>10563</v>
      </c>
      <c r="P176" s="63">
        <v>10563</v>
      </c>
      <c r="Q176" s="41">
        <f>SUM(E176:P176)</f>
        <v>126756</v>
      </c>
      <c r="R176" s="39">
        <f>Q176/Summary!$Q$16</f>
        <v>3.8113174973726759E-3</v>
      </c>
      <c r="S176" s="39"/>
      <c r="T176" s="35"/>
      <c r="U176" s="40" t="e">
        <f t="shared" ref="U176:U184" si="21">-IF(Q176-T176=0,0,(Q176-T176)/T176)</f>
        <v>#DIV/0!</v>
      </c>
    </row>
    <row r="177" spans="1:21" s="3" customFormat="1" ht="24.95" customHeight="1">
      <c r="A177" s="271" t="s">
        <v>626</v>
      </c>
      <c r="B177" s="51" t="s">
        <v>52</v>
      </c>
      <c r="D177" s="26" t="s">
        <v>320</v>
      </c>
      <c r="E177" s="63">
        <v>4621</v>
      </c>
      <c r="F177" s="63">
        <v>4621</v>
      </c>
      <c r="G177" s="63">
        <v>4621</v>
      </c>
      <c r="H177" s="63">
        <v>4621</v>
      </c>
      <c r="I177" s="63">
        <v>4621</v>
      </c>
      <c r="J177" s="63">
        <v>4621</v>
      </c>
      <c r="K177" s="63">
        <v>4621</v>
      </c>
      <c r="L177" s="63">
        <v>4621</v>
      </c>
      <c r="M177" s="63">
        <v>4621</v>
      </c>
      <c r="N177" s="63">
        <v>4621</v>
      </c>
      <c r="O177" s="63">
        <v>4621</v>
      </c>
      <c r="P177" s="63">
        <v>4621</v>
      </c>
      <c r="Q177" s="41">
        <f t="shared" ref="Q177:Q183" si="22">SUM(E177:P177)</f>
        <v>55452</v>
      </c>
      <c r="R177" s="39">
        <f>Q177/Summary!$Q$16</f>
        <v>1.6673386495653824E-3</v>
      </c>
      <c r="S177" s="39"/>
      <c r="T177" s="35"/>
      <c r="U177" s="40" t="e">
        <f t="shared" si="21"/>
        <v>#DIV/0!</v>
      </c>
    </row>
    <row r="178" spans="1:21" s="3" customFormat="1" ht="24.95" customHeight="1">
      <c r="A178" s="271" t="s">
        <v>627</v>
      </c>
      <c r="B178" s="51" t="s">
        <v>52</v>
      </c>
      <c r="D178" s="26" t="s">
        <v>322</v>
      </c>
      <c r="E178" s="63">
        <v>331</v>
      </c>
      <c r="F178" s="63">
        <v>331</v>
      </c>
      <c r="G178" s="63">
        <v>331</v>
      </c>
      <c r="H178" s="63">
        <v>331</v>
      </c>
      <c r="I178" s="63">
        <v>331</v>
      </c>
      <c r="J178" s="63">
        <v>331</v>
      </c>
      <c r="K178" s="63">
        <v>331</v>
      </c>
      <c r="L178" s="63">
        <v>331</v>
      </c>
      <c r="M178" s="63">
        <v>331</v>
      </c>
      <c r="N178" s="63">
        <v>331</v>
      </c>
      <c r="O178" s="63">
        <v>331</v>
      </c>
      <c r="P178" s="63">
        <v>331</v>
      </c>
      <c r="Q178" s="41">
        <f t="shared" si="22"/>
        <v>3972</v>
      </c>
      <c r="R178" s="39">
        <f>Q178/Summary!$Q$16</f>
        <v>1.1943066284486942E-4</v>
      </c>
      <c r="S178" s="39"/>
      <c r="T178" s="35"/>
      <c r="U178" s="40" t="e">
        <f t="shared" si="21"/>
        <v>#DIV/0!</v>
      </c>
    </row>
    <row r="179" spans="1:21" s="3" customFormat="1" ht="24.95" customHeight="1">
      <c r="A179" s="271" t="s">
        <v>628</v>
      </c>
      <c r="B179" s="51" t="s">
        <v>52</v>
      </c>
      <c r="D179" s="26" t="s">
        <v>324</v>
      </c>
      <c r="E179" s="63">
        <v>265</v>
      </c>
      <c r="F179" s="63">
        <v>265</v>
      </c>
      <c r="G179" s="63">
        <v>265</v>
      </c>
      <c r="H179" s="63">
        <v>265</v>
      </c>
      <c r="I179" s="63">
        <v>265</v>
      </c>
      <c r="J179" s="63">
        <v>265</v>
      </c>
      <c r="K179" s="63">
        <v>265</v>
      </c>
      <c r="L179" s="63">
        <v>265</v>
      </c>
      <c r="M179" s="63">
        <v>265</v>
      </c>
      <c r="N179" s="63">
        <v>265</v>
      </c>
      <c r="O179" s="63">
        <v>265</v>
      </c>
      <c r="P179" s="63">
        <v>265</v>
      </c>
      <c r="Q179" s="41">
        <f t="shared" si="22"/>
        <v>3180</v>
      </c>
      <c r="R179" s="39">
        <f>Q179/Summary!$Q$16</f>
        <v>9.5616693818399991E-5</v>
      </c>
      <c r="S179" s="39"/>
      <c r="T179" s="35"/>
      <c r="U179" s="40" t="e">
        <f t="shared" si="21"/>
        <v>#DIV/0!</v>
      </c>
    </row>
    <row r="180" spans="1:21" s="3" customFormat="1" ht="22.5" customHeight="1">
      <c r="A180" s="271" t="s">
        <v>629</v>
      </c>
      <c r="B180" s="51" t="s">
        <v>52</v>
      </c>
      <c r="D180" s="26" t="s">
        <v>326</v>
      </c>
      <c r="E180" s="63">
        <v>530</v>
      </c>
      <c r="F180" s="63">
        <v>530</v>
      </c>
      <c r="G180" s="63">
        <v>530</v>
      </c>
      <c r="H180" s="63">
        <v>530</v>
      </c>
      <c r="I180" s="63">
        <v>530</v>
      </c>
      <c r="J180" s="63">
        <v>530</v>
      </c>
      <c r="K180" s="63">
        <v>530</v>
      </c>
      <c r="L180" s="63">
        <v>530</v>
      </c>
      <c r="M180" s="63">
        <v>530</v>
      </c>
      <c r="N180" s="63">
        <v>530</v>
      </c>
      <c r="O180" s="63">
        <v>530</v>
      </c>
      <c r="P180" s="63">
        <v>530</v>
      </c>
      <c r="Q180" s="41">
        <f t="shared" si="22"/>
        <v>6360</v>
      </c>
      <c r="R180" s="39">
        <f>Q180/Summary!$Q$16</f>
        <v>1.9123338763679998E-4</v>
      </c>
      <c r="S180" s="39"/>
      <c r="T180" s="35"/>
      <c r="U180" s="40" t="e">
        <f t="shared" si="21"/>
        <v>#DIV/0!</v>
      </c>
    </row>
    <row r="181" spans="1:21" s="3" customFormat="1" ht="24.95" customHeight="1">
      <c r="A181" s="271" t="s">
        <v>630</v>
      </c>
      <c r="B181" s="51" t="s">
        <v>52</v>
      </c>
      <c r="D181" s="26" t="s">
        <v>328</v>
      </c>
      <c r="E181" s="63">
        <v>6703</v>
      </c>
      <c r="F181" s="63">
        <v>6703</v>
      </c>
      <c r="G181" s="63">
        <v>6703</v>
      </c>
      <c r="H181" s="63">
        <v>6703</v>
      </c>
      <c r="I181" s="63">
        <v>6703</v>
      </c>
      <c r="J181" s="63">
        <v>6703</v>
      </c>
      <c r="K181" s="63">
        <v>6703</v>
      </c>
      <c r="L181" s="63">
        <v>6703</v>
      </c>
      <c r="M181" s="63">
        <v>6703</v>
      </c>
      <c r="N181" s="63">
        <v>6703</v>
      </c>
      <c r="O181" s="63">
        <v>6703</v>
      </c>
      <c r="P181" s="63">
        <v>6703</v>
      </c>
      <c r="Q181" s="41">
        <f t="shared" si="22"/>
        <v>80436</v>
      </c>
      <c r="R181" s="39">
        <f>Q181/Summary!$Q$16</f>
        <v>2.4185611270367362E-3</v>
      </c>
      <c r="S181" s="39"/>
      <c r="T181" s="35"/>
      <c r="U181" s="40" t="e">
        <f t="shared" si="21"/>
        <v>#DIV/0!</v>
      </c>
    </row>
    <row r="182" spans="1:21" s="3" customFormat="1" ht="24.95" customHeight="1">
      <c r="A182" s="271" t="s">
        <v>631</v>
      </c>
      <c r="B182" s="51" t="s">
        <v>52</v>
      </c>
      <c r="D182" s="26" t="s">
        <v>330</v>
      </c>
      <c r="E182" s="63">
        <f>ROUND(E165*2%,2)</f>
        <v>1340.6</v>
      </c>
      <c r="F182" s="63">
        <f t="shared" ref="F182:P182" si="23">ROUND(F165*2%,2)</f>
        <v>1340.6</v>
      </c>
      <c r="G182" s="63">
        <f t="shared" si="23"/>
        <v>1340.6</v>
      </c>
      <c r="H182" s="63">
        <f t="shared" si="23"/>
        <v>1340.6</v>
      </c>
      <c r="I182" s="63">
        <f t="shared" si="23"/>
        <v>1340.6</v>
      </c>
      <c r="J182" s="63">
        <f t="shared" si="23"/>
        <v>1340.6</v>
      </c>
      <c r="K182" s="63">
        <f t="shared" si="23"/>
        <v>1340.6</v>
      </c>
      <c r="L182" s="63">
        <f t="shared" si="23"/>
        <v>1340.6</v>
      </c>
      <c r="M182" s="63">
        <f t="shared" si="23"/>
        <v>1340.6</v>
      </c>
      <c r="N182" s="63">
        <f t="shared" si="23"/>
        <v>1340.6</v>
      </c>
      <c r="O182" s="63">
        <f t="shared" si="23"/>
        <v>1340.6</v>
      </c>
      <c r="P182" s="63">
        <f t="shared" si="23"/>
        <v>1340.6</v>
      </c>
      <c r="Q182" s="41">
        <f t="shared" si="22"/>
        <v>16087.200000000003</v>
      </c>
      <c r="R182" s="39">
        <f>Q182/Summary!$Q$16</f>
        <v>4.8371222540734732E-4</v>
      </c>
      <c r="S182" s="39"/>
      <c r="T182" s="35"/>
      <c r="U182" s="40" t="e">
        <f t="shared" si="21"/>
        <v>#DIV/0!</v>
      </c>
    </row>
    <row r="183" spans="1:21" s="3" customFormat="1" ht="24.95" customHeight="1">
      <c r="A183" s="271" t="s">
        <v>632</v>
      </c>
      <c r="B183" s="51" t="s">
        <v>52</v>
      </c>
      <c r="D183" s="26" t="s">
        <v>332</v>
      </c>
      <c r="E183" s="63"/>
      <c r="F183" s="63"/>
      <c r="G183" s="63"/>
      <c r="H183" s="63"/>
      <c r="I183" s="63"/>
      <c r="J183" s="63"/>
      <c r="K183" s="63"/>
      <c r="L183" s="63"/>
      <c r="M183" s="63"/>
      <c r="N183" s="63"/>
      <c r="O183" s="63"/>
      <c r="P183" s="63"/>
      <c r="Q183" s="41">
        <f t="shared" si="22"/>
        <v>0</v>
      </c>
      <c r="R183" s="39">
        <f>Q183/Summary!$Q$16</f>
        <v>0</v>
      </c>
      <c r="S183" s="39"/>
      <c r="T183" s="35"/>
      <c r="U183" s="40">
        <f t="shared" si="21"/>
        <v>0</v>
      </c>
    </row>
    <row r="184" spans="1:21" s="19" customFormat="1" ht="24.95" customHeight="1">
      <c r="A184" s="54"/>
      <c r="B184" s="51"/>
      <c r="D184" s="19" t="s">
        <v>333</v>
      </c>
      <c r="E184" s="45">
        <f>SUM(E176:E183)</f>
        <v>24353.599999999999</v>
      </c>
      <c r="F184" s="45">
        <f t="shared" ref="F184:P184" si="24">SUM(F176:F183)</f>
        <v>24353.599999999999</v>
      </c>
      <c r="G184" s="45">
        <f t="shared" si="24"/>
        <v>24353.599999999999</v>
      </c>
      <c r="H184" s="45">
        <f t="shared" si="24"/>
        <v>24353.599999999999</v>
      </c>
      <c r="I184" s="45">
        <f t="shared" si="24"/>
        <v>24353.599999999999</v>
      </c>
      <c r="J184" s="45">
        <f t="shared" si="24"/>
        <v>24353.599999999999</v>
      </c>
      <c r="K184" s="45">
        <f t="shared" si="24"/>
        <v>24353.599999999999</v>
      </c>
      <c r="L184" s="45">
        <f t="shared" si="24"/>
        <v>24353.599999999999</v>
      </c>
      <c r="M184" s="45">
        <f t="shared" si="24"/>
        <v>24353.599999999999</v>
      </c>
      <c r="N184" s="45">
        <f t="shared" si="24"/>
        <v>24353.599999999999</v>
      </c>
      <c r="O184" s="45">
        <f t="shared" si="24"/>
        <v>24353.599999999999</v>
      </c>
      <c r="P184" s="45">
        <f t="shared" si="24"/>
        <v>24353.599999999999</v>
      </c>
      <c r="Q184" s="310">
        <f t="shared" ref="Q184" si="25">SUM(Q176:Q183)</f>
        <v>292243.20000000001</v>
      </c>
      <c r="R184" s="39">
        <f>Q184/Summary!$Q$16</f>
        <v>8.7872102436822117E-3</v>
      </c>
      <c r="S184" s="39"/>
      <c r="T184" s="35"/>
      <c r="U184" s="40" t="e">
        <f t="shared" si="21"/>
        <v>#DIV/0!</v>
      </c>
    </row>
    <row r="185" spans="1:21" s="19" customFormat="1" ht="24.95" customHeight="1">
      <c r="A185" s="54"/>
      <c r="B185" s="51"/>
      <c r="D185" s="21"/>
      <c r="E185" s="55"/>
      <c r="F185" s="55"/>
      <c r="G185" s="55"/>
      <c r="H185" s="55"/>
      <c r="I185" s="55"/>
      <c r="J185" s="55"/>
      <c r="K185" s="55"/>
      <c r="L185" s="55"/>
      <c r="M185" s="55"/>
      <c r="N185" s="55"/>
      <c r="O185" s="55"/>
      <c r="P185" s="55"/>
      <c r="Q185" s="55"/>
      <c r="T185" s="35"/>
      <c r="U185" s="40"/>
    </row>
    <row r="186" spans="1:21" s="3" customFormat="1" ht="24.95" hidden="1" customHeight="1">
      <c r="A186" s="271" t="s">
        <v>633</v>
      </c>
      <c r="B186" s="51" t="s">
        <v>52</v>
      </c>
      <c r="D186" s="26" t="s">
        <v>335</v>
      </c>
      <c r="E186" s="63">
        <v>0</v>
      </c>
      <c r="F186" s="63">
        <v>0</v>
      </c>
      <c r="G186" s="63">
        <v>0</v>
      </c>
      <c r="H186" s="63">
        <v>0</v>
      </c>
      <c r="I186" s="63">
        <v>0</v>
      </c>
      <c r="J186" s="63">
        <v>0</v>
      </c>
      <c r="K186" s="63">
        <v>0</v>
      </c>
      <c r="L186" s="63">
        <v>0</v>
      </c>
      <c r="M186" s="63">
        <v>0</v>
      </c>
      <c r="N186" s="63">
        <v>0</v>
      </c>
      <c r="O186" s="63">
        <v>0</v>
      </c>
      <c r="P186" s="63">
        <v>0</v>
      </c>
      <c r="Q186" s="41">
        <f>SUM(E186:P186)</f>
        <v>0</v>
      </c>
      <c r="T186" s="35"/>
      <c r="U186" s="40">
        <f t="shared" ref="U186:U194" si="26">-IF(Q186-T186=0,0,(Q186-T186)/T186)</f>
        <v>0</v>
      </c>
    </row>
    <row r="187" spans="1:21" s="3" customFormat="1" ht="24.95" hidden="1" customHeight="1">
      <c r="A187" s="271" t="s">
        <v>634</v>
      </c>
      <c r="B187" s="51" t="s">
        <v>52</v>
      </c>
      <c r="D187" s="3" t="s">
        <v>337</v>
      </c>
      <c r="E187" s="63">
        <v>0</v>
      </c>
      <c r="F187" s="63">
        <v>0</v>
      </c>
      <c r="G187" s="63">
        <v>0</v>
      </c>
      <c r="H187" s="63">
        <v>0</v>
      </c>
      <c r="I187" s="63">
        <v>0</v>
      </c>
      <c r="J187" s="63">
        <v>0</v>
      </c>
      <c r="K187" s="63">
        <v>0</v>
      </c>
      <c r="L187" s="63">
        <v>0</v>
      </c>
      <c r="M187" s="63">
        <v>0</v>
      </c>
      <c r="N187" s="63">
        <v>0</v>
      </c>
      <c r="O187" s="63">
        <v>0</v>
      </c>
      <c r="P187" s="63">
        <v>0</v>
      </c>
      <c r="Q187" s="41">
        <f t="shared" ref="Q187:Q192" si="27">SUM(E187:P187)</f>
        <v>0</v>
      </c>
      <c r="T187" s="35"/>
      <c r="U187" s="40">
        <f t="shared" si="26"/>
        <v>0</v>
      </c>
    </row>
    <row r="188" spans="1:21" s="3" customFormat="1" ht="24.95" hidden="1" customHeight="1">
      <c r="A188" s="271" t="s">
        <v>635</v>
      </c>
      <c r="B188" s="51" t="s">
        <v>52</v>
      </c>
      <c r="D188" s="26" t="s">
        <v>339</v>
      </c>
      <c r="E188" s="63">
        <v>0</v>
      </c>
      <c r="F188" s="63">
        <v>0</v>
      </c>
      <c r="G188" s="63">
        <v>0</v>
      </c>
      <c r="H188" s="63">
        <v>0</v>
      </c>
      <c r="I188" s="63">
        <v>0</v>
      </c>
      <c r="J188" s="63">
        <v>0</v>
      </c>
      <c r="K188" s="63">
        <v>0</v>
      </c>
      <c r="L188" s="63">
        <v>0</v>
      </c>
      <c r="M188" s="63">
        <v>0</v>
      </c>
      <c r="N188" s="63">
        <v>0</v>
      </c>
      <c r="O188" s="63">
        <v>0</v>
      </c>
      <c r="P188" s="63">
        <v>0</v>
      </c>
      <c r="Q188" s="41">
        <f t="shared" si="27"/>
        <v>0</v>
      </c>
      <c r="T188" s="35"/>
      <c r="U188" s="40">
        <f t="shared" si="26"/>
        <v>0</v>
      </c>
    </row>
    <row r="189" spans="1:21" s="3" customFormat="1" ht="24.95" hidden="1" customHeight="1">
      <c r="A189" s="271" t="s">
        <v>636</v>
      </c>
      <c r="B189" s="51" t="s">
        <v>52</v>
      </c>
      <c r="D189" s="26" t="s">
        <v>341</v>
      </c>
      <c r="E189" s="63">
        <v>0</v>
      </c>
      <c r="F189" s="63">
        <v>0</v>
      </c>
      <c r="G189" s="63">
        <v>0</v>
      </c>
      <c r="H189" s="63">
        <v>0</v>
      </c>
      <c r="I189" s="63">
        <v>0</v>
      </c>
      <c r="J189" s="63">
        <v>0</v>
      </c>
      <c r="K189" s="63">
        <v>0</v>
      </c>
      <c r="L189" s="63">
        <v>0</v>
      </c>
      <c r="M189" s="63">
        <v>0</v>
      </c>
      <c r="N189" s="63">
        <v>0</v>
      </c>
      <c r="O189" s="63">
        <v>0</v>
      </c>
      <c r="P189" s="63">
        <v>0</v>
      </c>
      <c r="Q189" s="41">
        <f t="shared" si="27"/>
        <v>0</v>
      </c>
      <c r="T189" s="35"/>
      <c r="U189" s="40">
        <f t="shared" si="26"/>
        <v>0</v>
      </c>
    </row>
    <row r="190" spans="1:21" s="3" customFormat="1" ht="24.95" customHeight="1">
      <c r="A190" s="271" t="s">
        <v>637</v>
      </c>
      <c r="B190" s="51" t="s">
        <v>52</v>
      </c>
      <c r="D190" s="26" t="s">
        <v>343</v>
      </c>
      <c r="E190" s="63"/>
      <c r="F190" s="63"/>
      <c r="G190" s="27"/>
      <c r="H190" s="63"/>
      <c r="I190" s="63"/>
      <c r="J190" s="63"/>
      <c r="K190" s="63"/>
      <c r="L190" s="63"/>
      <c r="M190" s="63"/>
      <c r="N190" s="63"/>
      <c r="O190" s="63"/>
      <c r="P190" s="63"/>
      <c r="Q190" s="41">
        <f t="shared" si="27"/>
        <v>0</v>
      </c>
      <c r="R190" s="39">
        <f>Q190/Summary!$Q$16</f>
        <v>0</v>
      </c>
      <c r="S190" s="39"/>
      <c r="T190" s="35"/>
      <c r="U190" s="40">
        <f t="shared" si="26"/>
        <v>0</v>
      </c>
    </row>
    <row r="191" spans="1:21" s="3" customFormat="1" ht="24.95" customHeight="1">
      <c r="A191" s="271" t="s">
        <v>344</v>
      </c>
      <c r="B191" s="51" t="s">
        <v>52</v>
      </c>
      <c r="D191" s="26" t="s">
        <v>345</v>
      </c>
      <c r="E191" s="63"/>
      <c r="F191" s="63"/>
      <c r="G191" s="63"/>
      <c r="H191" s="63"/>
      <c r="I191" s="63"/>
      <c r="J191" s="63"/>
      <c r="K191" s="63"/>
      <c r="L191" s="63"/>
      <c r="M191" s="63"/>
      <c r="N191" s="63"/>
      <c r="O191" s="63"/>
      <c r="P191" s="63"/>
      <c r="Q191" s="41">
        <f t="shared" si="27"/>
        <v>0</v>
      </c>
      <c r="R191" s="39">
        <f>Q191/Summary!$Q$16</f>
        <v>0</v>
      </c>
      <c r="S191" s="39"/>
      <c r="T191" s="35"/>
      <c r="U191" s="40">
        <f t="shared" si="26"/>
        <v>0</v>
      </c>
    </row>
    <row r="192" spans="1:21" s="3" customFormat="1" ht="24.95" customHeight="1">
      <c r="A192" s="3" t="s">
        <v>640</v>
      </c>
      <c r="B192" s="51" t="s">
        <v>52</v>
      </c>
      <c r="D192" s="26" t="s">
        <v>347</v>
      </c>
      <c r="E192" s="63">
        <f>'Staff Canteen'!E213</f>
        <v>7686.96</v>
      </c>
      <c r="F192" s="63">
        <f>'Staff Canteen'!F213</f>
        <v>8034.78</v>
      </c>
      <c r="G192" s="63">
        <f>'Staff Canteen'!G213</f>
        <v>7513.04</v>
      </c>
      <c r="H192" s="63">
        <f>'Staff Canteen'!H213</f>
        <v>7686.96</v>
      </c>
      <c r="I192" s="63">
        <f>'Staff Canteen'!I213</f>
        <v>7686.96</v>
      </c>
      <c r="J192" s="63">
        <f>'Staff Canteen'!J213</f>
        <v>7686.96</v>
      </c>
      <c r="K192" s="63">
        <f>'Staff Canteen'!K213</f>
        <v>7513.04</v>
      </c>
      <c r="L192" s="63">
        <f>'Staff Canteen'!L213</f>
        <v>7513.04</v>
      </c>
      <c r="M192" s="63">
        <f>'Staff Canteen'!M213</f>
        <v>7686.96</v>
      </c>
      <c r="N192" s="63">
        <f>'Staff Canteen'!N213</f>
        <v>8034.78</v>
      </c>
      <c r="O192" s="63">
        <f>'Staff Canteen'!O213</f>
        <v>7513.04</v>
      </c>
      <c r="P192" s="63">
        <f>'Staff Canteen'!P213</f>
        <v>7513.04</v>
      </c>
      <c r="Q192" s="41">
        <f t="shared" si="27"/>
        <v>92069.559999999983</v>
      </c>
      <c r="R192" s="39">
        <f>Q192/Summary!$Q$16</f>
        <v>2.7683606693442784E-3</v>
      </c>
      <c r="S192" s="39"/>
      <c r="T192" s="35"/>
      <c r="U192" s="40" t="e">
        <f t="shared" si="26"/>
        <v>#DIV/0!</v>
      </c>
    </row>
    <row r="193" spans="1:21" s="3" customFormat="1" ht="24.95" customHeight="1">
      <c r="A193" s="54"/>
      <c r="B193" s="51"/>
      <c r="D193" s="19" t="s">
        <v>348</v>
      </c>
      <c r="E193" s="52">
        <f>SUM(E186:E192)</f>
        <v>7686.96</v>
      </c>
      <c r="F193" s="52">
        <f t="shared" ref="F193:Q193" si="28">SUM(F186:F192)</f>
        <v>8034.78</v>
      </c>
      <c r="G193" s="52">
        <f t="shared" si="28"/>
        <v>7513.04</v>
      </c>
      <c r="H193" s="52">
        <f t="shared" si="28"/>
        <v>7686.96</v>
      </c>
      <c r="I193" s="52">
        <f t="shared" si="28"/>
        <v>7686.96</v>
      </c>
      <c r="J193" s="52">
        <f t="shared" si="28"/>
        <v>7686.96</v>
      </c>
      <c r="K193" s="52">
        <f t="shared" si="28"/>
        <v>7513.04</v>
      </c>
      <c r="L193" s="52">
        <f t="shared" si="28"/>
        <v>7513.04</v>
      </c>
      <c r="M193" s="52">
        <f t="shared" si="28"/>
        <v>7686.96</v>
      </c>
      <c r="N193" s="52">
        <f t="shared" si="28"/>
        <v>8034.78</v>
      </c>
      <c r="O193" s="52">
        <f t="shared" si="28"/>
        <v>7513.04</v>
      </c>
      <c r="P193" s="52">
        <f t="shared" si="28"/>
        <v>7513.04</v>
      </c>
      <c r="Q193" s="52">
        <f t="shared" si="28"/>
        <v>92069.559999999983</v>
      </c>
      <c r="R193" s="39">
        <f>Q193/Summary!$Q$16</f>
        <v>2.7683606693442784E-3</v>
      </c>
      <c r="S193" s="39"/>
      <c r="T193" s="35"/>
      <c r="U193" s="40" t="e">
        <f t="shared" si="26"/>
        <v>#DIV/0!</v>
      </c>
    </row>
    <row r="194" spans="1:21" s="3" customFormat="1" ht="24.95" customHeight="1">
      <c r="A194" s="54"/>
      <c r="B194" s="51"/>
      <c r="D194" s="19" t="s">
        <v>349</v>
      </c>
      <c r="E194" s="52">
        <f>E165+E174+E184+E193</f>
        <v>107449.31000000001</v>
      </c>
      <c r="F194" s="52">
        <f t="shared" ref="F194:Q194" si="29">F165+F174+F184+F193</f>
        <v>107797.13</v>
      </c>
      <c r="G194" s="52">
        <f t="shared" si="29"/>
        <v>107275.39</v>
      </c>
      <c r="H194" s="52">
        <f t="shared" si="29"/>
        <v>107449.31000000001</v>
      </c>
      <c r="I194" s="52">
        <f t="shared" si="29"/>
        <v>107449.31000000001</v>
      </c>
      <c r="J194" s="52">
        <f t="shared" si="29"/>
        <v>107449.31000000001</v>
      </c>
      <c r="K194" s="52">
        <f t="shared" si="29"/>
        <v>107275.39</v>
      </c>
      <c r="L194" s="52">
        <f t="shared" si="29"/>
        <v>107275.39</v>
      </c>
      <c r="M194" s="52">
        <f t="shared" si="29"/>
        <v>107449.31000000001</v>
      </c>
      <c r="N194" s="52">
        <f t="shared" si="29"/>
        <v>107797.13</v>
      </c>
      <c r="O194" s="52">
        <f t="shared" si="29"/>
        <v>107275.39</v>
      </c>
      <c r="P194" s="52">
        <f t="shared" si="29"/>
        <v>107275.39</v>
      </c>
      <c r="Q194" s="350">
        <f t="shared" si="29"/>
        <v>1289217.76</v>
      </c>
      <c r="R194" s="39">
        <f>Q194/Summary!$Q$16</f>
        <v>3.8764383592189776E-2</v>
      </c>
      <c r="S194" s="39"/>
      <c r="T194" s="35"/>
      <c r="U194" s="40" t="e">
        <f t="shared" si="26"/>
        <v>#DIV/0!</v>
      </c>
    </row>
    <row r="195" spans="1:21" s="3" customFormat="1" ht="24.95" customHeight="1">
      <c r="A195" s="54"/>
      <c r="B195" s="51"/>
      <c r="D195" s="21"/>
      <c r="E195" s="53"/>
      <c r="F195" s="53"/>
      <c r="G195" s="53"/>
      <c r="H195" s="57"/>
      <c r="I195" s="57"/>
      <c r="T195" s="35"/>
      <c r="U195" s="40"/>
    </row>
    <row r="196" spans="1:21" s="19" customFormat="1" ht="24.95" customHeight="1">
      <c r="A196" s="272" t="s">
        <v>105</v>
      </c>
      <c r="B196" s="75" t="s">
        <v>52</v>
      </c>
      <c r="D196" s="19" t="s">
        <v>352</v>
      </c>
      <c r="E196" s="302">
        <v>6</v>
      </c>
      <c r="F196" s="302">
        <v>6</v>
      </c>
      <c r="G196" s="302">
        <v>6</v>
      </c>
      <c r="H196" s="302">
        <v>6</v>
      </c>
      <c r="I196" s="302">
        <v>6</v>
      </c>
      <c r="J196" s="302">
        <v>6</v>
      </c>
      <c r="K196" s="302">
        <v>6</v>
      </c>
      <c r="L196" s="302">
        <v>6</v>
      </c>
      <c r="M196" s="302">
        <v>6</v>
      </c>
      <c r="N196" s="302">
        <v>6</v>
      </c>
      <c r="O196" s="302">
        <v>6</v>
      </c>
      <c r="P196" s="302">
        <v>6</v>
      </c>
      <c r="Q196" s="302">
        <v>6</v>
      </c>
      <c r="T196" s="35"/>
      <c r="U196" s="40" t="e">
        <f>-IF(Q196-T196=0,0,(Q196-T196)/T196)</f>
        <v>#DIV/0!</v>
      </c>
    </row>
    <row r="197" spans="1:21" ht="24.95" customHeight="1">
      <c r="B197" s="58"/>
      <c r="J197" s="7"/>
      <c r="K197" s="7"/>
      <c r="L197" s="7"/>
      <c r="M197" s="7"/>
      <c r="N197" s="7"/>
      <c r="O197" s="7"/>
      <c r="P197" s="7"/>
      <c r="T197" s="35"/>
      <c r="U197" s="40"/>
    </row>
    <row r="198" spans="1:21" ht="24.95" customHeight="1">
      <c r="A198" s="274" t="s">
        <v>1041</v>
      </c>
      <c r="B198" s="58"/>
      <c r="D198" s="59"/>
      <c r="E198" s="60"/>
      <c r="F198" s="60"/>
      <c r="G198" s="60"/>
      <c r="H198" s="60"/>
      <c r="I198" s="60"/>
      <c r="J198" s="60"/>
      <c r="K198" s="60"/>
      <c r="L198" s="60"/>
      <c r="M198" s="60"/>
      <c r="N198" s="60"/>
      <c r="O198" s="60"/>
      <c r="P198" s="60"/>
      <c r="Q198" s="60"/>
      <c r="T198" s="35"/>
      <c r="U198" s="40">
        <f>IF(Q198-T198=0,0,(Q198-T198)/T198)</f>
        <v>0</v>
      </c>
    </row>
  </sheetData>
  <phoneticPr fontId="57" type="noConversion"/>
  <dataValidations count="47">
    <dataValidation type="textLength" errorStyle="information" allowBlank="1" showInputMessage="1" showErrorMessage="1" error="XLBVal:6=170458.81_x000d__x000a_" sqref="E12:P12">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8000_x000d__x000a_" sqref="E49:P49">
      <formula1>0</formula1>
      <formula2>300</formula2>
    </dataValidation>
    <dataValidation type="textLength" errorStyle="information" allowBlank="1" showInputMessage="1" showErrorMessage="1" error="XLBVal:6=93_x000d__x000a_" sqref="E43:P43">
      <formula1>0</formula1>
      <formula2>300</formula2>
    </dataValidation>
    <dataValidation type="textLength" errorStyle="information" allowBlank="1" showInputMessage="1" showErrorMessage="1" error="XLBVal:6=6966993_x000d__x000a_" sqref="Q12">
      <formula1>0</formula1>
      <formula2>300</formula2>
    </dataValidation>
    <dataValidation type="textLength" errorStyle="information" allowBlank="1" showInputMessage="1" showErrorMessage="1" error="XLBVal:6=6532.68_x000d__x000a_" sqref="E26:P26">
      <formula1>0</formula1>
      <formula2>300</formula2>
    </dataValidation>
    <dataValidation type="textLength" errorStyle="information" allowBlank="1" showInputMessage="1" showErrorMessage="1" error="XLBVal:2=0_x000d__x000a_" sqref="E190:E191 E186:P189 E15:P20 Q15:Q156 Q163:Q164 Q186:Q192 I25:P25 E71:P71 E73:P73 E143:H143 E27:P42 E44:P47 E22:P24 E151:P155 E51:P67 E140:P142 E183:P183 F13 E76:P138 E144:P149 E167:P167 E169:P173">
      <formula1>0</formula1>
      <formula2>300</formula2>
    </dataValidation>
    <dataValidation type="textLength" errorStyle="information" allowBlank="1" showInputMessage="1" showErrorMessage="1" error="XLBVal:6=900_x000d__x000a_" sqref="E21:P21">
      <formula1>0</formula1>
      <formula2>300</formula2>
    </dataValidation>
    <dataValidation type="textLength" errorStyle="information" allowBlank="1" showInputMessage="1" showErrorMessage="1" error="XLBVal:6=112_x000d__x000a_" sqref="E156:P156">
      <formula1>0</formula1>
      <formula2>300</formula2>
    </dataValidation>
    <dataValidation type="textLength" errorStyle="information" allowBlank="1" showInputMessage="1" showErrorMessage="1" error="XLBVal:6=1200_x000d__x000a_" sqref="E25:H25">
      <formula1>0</formula1>
      <formula2>300</formula2>
    </dataValidation>
    <dataValidation type="textLength" errorStyle="information" allowBlank="1" showInputMessage="1" showErrorMessage="1" error="XLBVal:6=12822_x000d__x000a_" sqref="E48:P48">
      <formula1>0</formula1>
      <formula2>300</formula2>
    </dataValidation>
    <dataValidation type="textLength" errorStyle="information" allowBlank="1" showInputMessage="1" showErrorMessage="1" error="XLBVal:6=114.7_x000d__x000a_" sqref="E50:P50">
      <formula1>0</formula1>
      <formula2>300</formula2>
    </dataValidation>
    <dataValidation type="textLength" errorStyle="information" allowBlank="1" showInputMessage="1" showErrorMessage="1" error="XLBVal:6=562.4_x000d__x000a_" sqref="E68:P68">
      <formula1>0</formula1>
      <formula2>300</formula2>
    </dataValidation>
    <dataValidation type="textLength" errorStyle="information" allowBlank="1" showInputMessage="1" showErrorMessage="1" error="XLBVal:6=814.16_x000d__x000a_" sqref="E69:P69">
      <formula1>0</formula1>
      <formula2>300</formula2>
    </dataValidation>
    <dataValidation type="textLength" errorStyle="information" allowBlank="1" showInputMessage="1" showErrorMessage="1" error="XLBVal:6=1509.12_x000d__x000a_" sqref="E70:P70">
      <formula1>0</formula1>
      <formula2>300</formula2>
    </dataValidation>
    <dataValidation type="textLength" errorStyle="information" allowBlank="1" showInputMessage="1" showErrorMessage="1" error="XLBVal:6=2434.6_x000d__x000a_" sqref="E72:P72">
      <formula1>0</formula1>
      <formula2>300</formula2>
    </dataValidation>
    <dataValidation type="textLength" errorStyle="information" allowBlank="1" showInputMessage="1" showErrorMessage="1" sqref="F195:I195 F193:Q194 E193:E195 E160:G162 H161:I162 H160:P160">
      <formula1>0</formula1>
      <formula2>300</formula2>
    </dataValidation>
    <dataValidation type="textLength" errorStyle="information" allowBlank="1" showInputMessage="1" showErrorMessage="1" error="XLBVal:6=2565_x000d__x000a_" sqref="E74:P74">
      <formula1>0</formula1>
      <formula2>300</formula2>
    </dataValidation>
    <dataValidation type="textLength" errorStyle="information" allowBlank="1" showInputMessage="1" showErrorMessage="1" error="XLBVal:6=5035.9_x000d__x000a_" sqref="E75:P75">
      <formula1>0</formula1>
      <formula2>300</formula2>
    </dataValidation>
    <dataValidation type="textLength" errorStyle="information" allowBlank="1" showInputMessage="1" showErrorMessage="1" error="XLBVal:6=70738.71_x000d__x000a_" sqref="E139:P139">
      <formula1>0</formula1>
      <formula2>300</formula2>
    </dataValidation>
    <dataValidation type="textLength" errorStyle="information" allowBlank="1" showInputMessage="1" showErrorMessage="1" error="XLBVal:6=173997.36_x000d__x000a_" sqref="E150:P150">
      <formula1>0</formula1>
      <formula2>300</formula2>
    </dataValidation>
    <dataValidation type="textLength" errorStyle="information" allowBlank="1" showInputMessage="1" showErrorMessage="1" error="XLBVal:6=0_x000d__x000a_" sqref="E157:Q157">
      <formula1>0</formula1>
      <formula2>300</formula2>
    </dataValidation>
    <dataValidation type="textLength" errorStyle="information" allowBlank="1" showInputMessage="1" showErrorMessage="1" error="XLBVal:6=3239.86_x000d__x000a_" sqref="E158:Q158">
      <formula1>0</formula1>
      <formula2>300</formula2>
    </dataValidation>
    <dataValidation type="textLength" errorStyle="information" allowBlank="1" showInputMessage="1" showErrorMessage="1" error="XLBVal:6=374846.07_x000d__x000a_" sqref="E159:Q159">
      <formula1>0</formula1>
      <formula2>300</formula2>
    </dataValidation>
    <dataValidation type="textLength" errorStyle="information" allowBlank="1" showInputMessage="1" showErrorMessage="1" error="XLBVal:6=5472444.64_x000d__x000a_" sqref="E198:P198">
      <formula1>0</formula1>
      <formula2>300</formula2>
    </dataValidation>
    <dataValidation type="textLength" errorStyle="information" allowBlank="1" showInputMessage="1" showErrorMessage="1" error="XLBVal:6=376353552_x000d__x000a_" sqref="Q198">
      <formula1>0</formula1>
      <formula2>300</formula2>
    </dataValidation>
    <dataValidation type="textLength" errorStyle="information" allowBlank="1" showInputMessage="1" showErrorMessage="1" error="XLBVal:6=6688509.16_x000d__x000a_" sqref="E13:E14 F14:P14">
      <formula1>0</formula1>
      <formula2>300</formula2>
    </dataValidation>
    <dataValidation type="textLength" errorStyle="information" allowBlank="1" showInputMessage="1" showErrorMessage="1" error="XLBVal:6=6595485.04_x000d__x000a_" sqref="G13">
      <formula1>0</formula1>
      <formula2>300</formula2>
    </dataValidation>
    <dataValidation type="textLength" errorStyle="information" allowBlank="1" showInputMessage="1" showErrorMessage="1" error="XLBVal:5=-2586288.67_x000d__x000a_" sqref="H13">
      <formula1>0</formula1>
      <formula2>300</formula2>
    </dataValidation>
    <dataValidation type="textLength" errorStyle="information" allowBlank="1" showInputMessage="1" showErrorMessage="1" error="XLBVal:5=15426.66_x000d__x000a_" sqref="I13">
      <formula1>0</formula1>
      <formula2>300</formula2>
    </dataValidation>
    <dataValidation type="textLength" errorStyle="information" allowBlank="1" showInputMessage="1" showErrorMessage="1" error="XLBVal:6=13928_x000d__x000a_" sqref="Q167:Q173">
      <formula1>0</formula1>
      <formula2>300</formula2>
    </dataValidation>
    <dataValidation type="textLength" errorStyle="information" allowBlank="1" showInputMessage="1" showErrorMessage="1" error="XLBVal:6=550248_x000d__x000a_" sqref="Q176:Q183">
      <formula1>0</formula1>
      <formula2>300</formula2>
    </dataValidation>
    <dataValidation type="textLength" errorStyle="information" allowBlank="1" showInputMessage="1" showErrorMessage="1" error="XLBVal:6=962.02_x000d__x000a_" sqref="H190:P191 F190:F191 G191">
      <formula1>0</formula1>
      <formula2>300</formula2>
    </dataValidation>
    <dataValidation type="textLength" errorStyle="information" allowBlank="1" showInputMessage="1" showErrorMessage="1" error="XLBVal:6=3678_x000d__x000a_" sqref="E184:Q185">
      <formula1>0</formula1>
      <formula2>300</formula2>
    </dataValidation>
    <dataValidation type="textLength" errorStyle="information" allowBlank="1" showInputMessage="1" showErrorMessage="1" error="XLBVal:6=13973.8_x000d__x000a_" sqref="G190">
      <formula1>0</formula1>
      <formula2>300</formula2>
    </dataValidation>
    <dataValidation type="textLength" errorStyle="information" allowBlank="1" showInputMessage="1" showErrorMessage="1" error="XLBVal:6=1770_x000d__x000a_" sqref="E182:P182">
      <formula1>0</formula1>
      <formula2>300</formula2>
    </dataValidation>
    <dataValidation type="textLength" errorStyle="information" allowBlank="1" showInputMessage="1" showErrorMessage="1" error="XLBVal:6=662.57_x000d__x000a_" sqref="E180:P180">
      <formula1>0</formula1>
      <formula2>300</formula2>
    </dataValidation>
    <dataValidation type="textLength" errorStyle="information" allowBlank="1" showInputMessage="1" showErrorMessage="1" error="XLBVal:6=3024.97_x000d__x000a_" sqref="E192:P192">
      <formula1>0</formula1>
      <formula2>300</formula2>
    </dataValidation>
    <dataValidation type="textLength" errorStyle="information" allowBlank="1" showInputMessage="1" showErrorMessage="1" error="XLBVal:6=8_x000d__x000a_" sqref="E196:Q196">
      <formula1>0</formula1>
      <formula2>300</formula2>
    </dataValidation>
    <dataValidation type="textLength" errorStyle="information" allowBlank="1" showInputMessage="1" showErrorMessage="1" error="XLBVal:6=8854_x000d__x000a_" sqref="E181:P181">
      <formula1>0</formula1>
      <formula2>300</formula2>
    </dataValidation>
    <dataValidation type="textLength" errorStyle="information" allowBlank="1" showInputMessage="1" showErrorMessage="1" error="XLBVal:6=340.17_x000d__x000a_" sqref="E179:P179">
      <formula1>0</formula1>
      <formula2>300</formula2>
    </dataValidation>
    <dataValidation type="textLength" errorStyle="information" allowBlank="1" showInputMessage="1" showErrorMessage="1" error="XLBVal:6=425.21_x000d__x000a_" sqref="E178:P178">
      <formula1>0</formula1>
      <formula2>300</formula2>
    </dataValidation>
    <dataValidation type="textLength" errorStyle="information" allowBlank="1" showInputMessage="1" showErrorMessage="1" error="XLBVal:6=6625.6_x000d__x000a_" sqref="E177:P177">
      <formula1>0</formula1>
      <formula2>300</formula2>
    </dataValidation>
    <dataValidation type="textLength" errorStyle="information" allowBlank="1" showInputMessage="1" showErrorMessage="1" error="XLBVal:6=13606.56_x000d__x000a_" sqref="E176:P176">
      <formula1>0</formula1>
      <formula2>300</formula2>
    </dataValidation>
    <dataValidation type="textLength" errorStyle="information" allowBlank="1" showInputMessage="1" showErrorMessage="1" error="XLBVal:6=6000_x000d__x000a_" sqref="E164:P164">
      <formula1>0</formula1>
      <formula2>300</formula2>
    </dataValidation>
    <dataValidation type="textLength" errorStyle="information" allowBlank="1" showInputMessage="1" showErrorMessage="1" error="XLBVal:6=82500_x000d__x000a_" sqref="E163:P163">
      <formula1>0</formula1>
      <formula2>300</formula2>
    </dataValidation>
    <dataValidation type="textLength" errorStyle="information" allowBlank="1" showInputMessage="1" showErrorMessage="1" error="XLBVal:6=7375_x000d__x000a_" sqref="E168:P168">
      <formula1>0</formula1>
      <formula2>300</formula2>
    </dataValidation>
  </dataValidations>
  <printOptions horizontalCentered="1"/>
  <pageMargins left="0.118110236220472" right="0.118110236220472" top="0.59055118110236204" bottom="0.39370078740157499" header="0" footer="0"/>
  <pageSetup paperSize="9" scale="40" fitToHeight="0" orientation="landscape" r:id="rId1"/>
  <headerFooter>
    <oddFooter>&amp;L&amp;"微软雅黑,Regular"&amp;F&amp;C&amp;"微软雅黑,Regular"Page &amp;P of &amp;N&amp;R&amp;"微软雅黑,Regular"&amp;D</oddFooter>
  </headerFooter>
  <legacy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tabColor rgb="FF00B050"/>
  </sheetPr>
  <dimension ref="A1:V283"/>
  <sheetViews>
    <sheetView zoomScale="50" zoomScaleNormal="50" zoomScaleSheetLayoutView="55" workbookViewId="0">
      <pane xSplit="4" ySplit="10" topLeftCell="E11" activePane="bottomRight" state="frozen"/>
      <selection activeCell="L7" sqref="L7"/>
      <selection pane="topRight" activeCell="L7" sqref="L7"/>
      <selection pane="bottomLeft" activeCell="L7" sqref="L7"/>
      <selection pane="bottomRight" activeCell="F165" sqref="F165"/>
    </sheetView>
  </sheetViews>
  <sheetFormatPr defaultColWidth="8.875" defaultRowHeight="26.25" customHeight="1" outlineLevelRow="1" outlineLevelCol="1"/>
  <cols>
    <col min="1" max="2" width="15.5" style="5" hidden="1" customWidth="1" outlineLevel="1"/>
    <col min="3" max="3" width="21.625" style="5" hidden="1" customWidth="1" outlineLevel="1"/>
    <col min="4" max="4" width="70" style="6" customWidth="1" collapsed="1"/>
    <col min="5" max="5" width="24.875" style="7" customWidth="1"/>
    <col min="6" max="7" width="21.5" style="7" customWidth="1"/>
    <col min="8" max="8" width="22.5" style="7" customWidth="1"/>
    <col min="9" max="9" width="21" style="7" customWidth="1"/>
    <col min="10" max="15" width="24.5" style="5" customWidth="1"/>
    <col min="16" max="16" width="22.5" style="5" customWidth="1"/>
    <col min="17" max="17" width="25.5" style="5" customWidth="1"/>
    <col min="18" max="18" width="25.5" style="5" hidden="1" customWidth="1"/>
    <col min="19" max="19" width="12.5" style="5" hidden="1" customWidth="1"/>
    <col min="20" max="20" width="22.125" style="5" hidden="1" customWidth="1"/>
    <col min="21" max="21" width="22.5" style="8" hidden="1" customWidth="1"/>
    <col min="22" max="22" width="22.5" style="5" hidden="1" customWidth="1"/>
    <col min="23" max="16384" width="8.875" style="5"/>
  </cols>
  <sheetData>
    <row r="1" spans="1:22" s="1" customFormat="1" ht="15" customHeight="1" outlineLevel="1">
      <c r="E1" s="9"/>
      <c r="F1" s="9"/>
      <c r="G1" s="9"/>
      <c r="H1" s="9"/>
      <c r="I1" s="9"/>
      <c r="J1" s="9"/>
      <c r="K1" s="9"/>
      <c r="L1" s="9"/>
      <c r="M1" s="9"/>
      <c r="N1" s="9"/>
      <c r="O1" s="9"/>
      <c r="P1" s="9"/>
      <c r="Q1" s="9"/>
      <c r="R1" s="9" t="s">
        <v>14</v>
      </c>
      <c r="U1" s="32"/>
    </row>
    <row r="2" spans="1:22" s="1" customFormat="1" ht="15" customHeight="1" outlineLevel="1">
      <c r="E2" s="9"/>
      <c r="F2" s="9"/>
      <c r="G2" s="9"/>
      <c r="H2" s="9"/>
      <c r="I2" s="9"/>
      <c r="J2" s="9"/>
      <c r="K2" s="9"/>
      <c r="L2" s="9"/>
      <c r="M2" s="9"/>
      <c r="N2" s="9"/>
      <c r="O2" s="9"/>
      <c r="P2" s="9"/>
      <c r="Q2" s="9"/>
      <c r="R2" s="9" t="s">
        <v>15</v>
      </c>
      <c r="U2" s="32"/>
    </row>
    <row r="3" spans="1:22" s="1" customFormat="1" ht="15" customHeight="1" outlineLevel="1">
      <c r="E3" s="9"/>
      <c r="F3" s="9"/>
      <c r="G3" s="9"/>
      <c r="H3" s="9"/>
      <c r="I3" s="9"/>
      <c r="J3" s="9"/>
      <c r="K3" s="9"/>
      <c r="L3" s="9"/>
      <c r="M3" s="9"/>
      <c r="N3" s="9"/>
      <c r="O3" s="9"/>
      <c r="P3" s="9"/>
      <c r="Q3" s="9"/>
      <c r="R3" s="9" t="s">
        <v>375</v>
      </c>
      <c r="U3" s="32"/>
    </row>
    <row r="4" spans="1:22" s="2" customFormat="1" ht="24.95" customHeight="1">
      <c r="D4" s="10" t="str">
        <f>Summary!$D$4</f>
        <v>Hotel Budget Report</v>
      </c>
      <c r="E4" s="11"/>
      <c r="F4" s="11"/>
      <c r="G4" s="12"/>
      <c r="H4" s="13"/>
      <c r="I4" s="13"/>
      <c r="U4" s="33"/>
    </row>
    <row r="5" spans="1:22" s="2" customFormat="1" ht="24.95" customHeight="1">
      <c r="D5" s="10" t="str">
        <f>Summary!$D$5</f>
        <v>酒店预算报表</v>
      </c>
      <c r="E5" s="11"/>
      <c r="F5" s="11"/>
      <c r="G5" s="12"/>
      <c r="H5" s="13"/>
      <c r="I5" s="13"/>
      <c r="U5" s="33"/>
    </row>
    <row r="6" spans="1:22" s="2" customFormat="1" ht="24.95" customHeight="1">
      <c r="D6" s="14" t="s">
        <v>1048</v>
      </c>
      <c r="E6" s="13"/>
      <c r="F6" s="13"/>
      <c r="G6" s="13"/>
      <c r="H6" s="13"/>
      <c r="I6" s="13"/>
      <c r="U6" s="33"/>
    </row>
    <row r="7" spans="1:22" s="2" customFormat="1" ht="24.95" customHeight="1">
      <c r="D7" s="15" t="s">
        <v>1185</v>
      </c>
      <c r="E7" s="13"/>
      <c r="F7" s="13"/>
      <c r="G7" s="13"/>
      <c r="H7" s="13"/>
      <c r="I7" s="13"/>
      <c r="U7" s="33"/>
    </row>
    <row r="8" spans="1:22" ht="24.95" customHeight="1">
      <c r="D8" s="16"/>
    </row>
    <row r="9" spans="1:22" s="3" customFormat="1" ht="24.95" customHeight="1">
      <c r="D9" s="17"/>
      <c r="E9" s="18">
        <v>1</v>
      </c>
      <c r="F9" s="18">
        <v>2</v>
      </c>
      <c r="G9" s="18">
        <v>3</v>
      </c>
      <c r="H9" s="18">
        <v>4</v>
      </c>
      <c r="I9" s="18">
        <v>5</v>
      </c>
      <c r="J9" s="18">
        <v>6</v>
      </c>
      <c r="K9" s="18">
        <v>7</v>
      </c>
      <c r="L9" s="18">
        <v>8</v>
      </c>
      <c r="M9" s="18">
        <v>9</v>
      </c>
      <c r="N9" s="18">
        <v>10</v>
      </c>
      <c r="O9" s="18">
        <v>11</v>
      </c>
      <c r="P9" s="18">
        <v>12</v>
      </c>
      <c r="Q9" s="18">
        <v>2025</v>
      </c>
      <c r="R9" s="18">
        <v>2018</v>
      </c>
      <c r="T9" s="34" t="s">
        <v>24</v>
      </c>
      <c r="U9" s="35"/>
    </row>
    <row r="10" spans="1:22"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R10" s="20" t="s">
        <v>21</v>
      </c>
      <c r="U10" s="36" t="s">
        <v>24</v>
      </c>
      <c r="V10" s="37" t="s">
        <v>25</v>
      </c>
    </row>
    <row r="11" spans="1:22" s="3" customFormat="1" ht="24.95" customHeight="1">
      <c r="D11" s="21"/>
      <c r="E11" s="22"/>
      <c r="F11" s="22"/>
      <c r="G11" s="22"/>
      <c r="H11" s="23"/>
      <c r="I11" s="23"/>
      <c r="U11" s="35"/>
    </row>
    <row r="12" spans="1:22" s="3" customFormat="1" ht="24.95" customHeight="1">
      <c r="A12" s="3" t="s">
        <v>482</v>
      </c>
      <c r="B12" s="3" t="s">
        <v>1049</v>
      </c>
      <c r="D12" s="21" t="s">
        <v>137</v>
      </c>
      <c r="E12" s="43">
        <f>+E193</f>
        <v>35567.230000000003</v>
      </c>
      <c r="F12" s="43">
        <f t="shared" ref="F12:P12" si="0">+F193</f>
        <v>40365.020000000004</v>
      </c>
      <c r="G12" s="43">
        <f t="shared" si="0"/>
        <v>33168.33</v>
      </c>
      <c r="H12" s="43">
        <f t="shared" si="0"/>
        <v>35627.199999999997</v>
      </c>
      <c r="I12" s="43">
        <f t="shared" si="0"/>
        <v>35627.199999999997</v>
      </c>
      <c r="J12" s="43">
        <f t="shared" si="0"/>
        <v>37127.199999999997</v>
      </c>
      <c r="K12" s="43">
        <f t="shared" si="0"/>
        <v>34668.33</v>
      </c>
      <c r="L12" s="43">
        <f t="shared" si="0"/>
        <v>34668.33</v>
      </c>
      <c r="M12" s="43">
        <f t="shared" si="0"/>
        <v>37127.199999999997</v>
      </c>
      <c r="N12" s="43">
        <f t="shared" si="0"/>
        <v>40544.94</v>
      </c>
      <c r="O12" s="43">
        <f t="shared" si="0"/>
        <v>33168.33</v>
      </c>
      <c r="P12" s="43">
        <f t="shared" si="0"/>
        <v>33168.33</v>
      </c>
      <c r="Q12" s="43">
        <f>SUM(E12:P12)</f>
        <v>430827.64000000007</v>
      </c>
      <c r="R12" s="43">
        <v>2684249.12</v>
      </c>
      <c r="S12" s="39">
        <f>Q12/Summary!$Q$16</f>
        <v>1.2954186963013793E-2</v>
      </c>
      <c r="T12" s="61">
        <f>Q12+Q157</f>
        <v>707847.64000000013</v>
      </c>
      <c r="U12" s="35"/>
      <c r="V12" s="40"/>
    </row>
    <row r="13" spans="1:22" s="3" customFormat="1" ht="24.75" customHeight="1">
      <c r="D13" s="26"/>
      <c r="E13" s="24"/>
      <c r="F13" s="24"/>
      <c r="G13" s="24"/>
      <c r="H13" s="44"/>
      <c r="I13" s="44"/>
      <c r="U13" s="35"/>
      <c r="V13" s="40"/>
    </row>
    <row r="14" spans="1:22" s="3" customFormat="1" ht="24.95" customHeight="1">
      <c r="D14" s="21" t="s">
        <v>138</v>
      </c>
      <c r="E14" s="24"/>
      <c r="F14" s="24"/>
      <c r="G14" s="24"/>
      <c r="H14" s="24"/>
      <c r="I14" s="24"/>
      <c r="J14" s="24"/>
      <c r="K14" s="24"/>
      <c r="L14" s="24"/>
      <c r="M14" s="24"/>
      <c r="N14" s="24"/>
      <c r="O14" s="24"/>
      <c r="P14" s="24"/>
      <c r="U14" s="35"/>
      <c r="V14" s="40"/>
    </row>
    <row r="15" spans="1:22" s="3" customFormat="1" ht="24.95" hidden="1" customHeight="1">
      <c r="A15" s="3" t="s">
        <v>484</v>
      </c>
      <c r="B15" s="3" t="s">
        <v>1049</v>
      </c>
      <c r="D15" s="26" t="s">
        <v>485</v>
      </c>
      <c r="E15" s="27">
        <v>0</v>
      </c>
      <c r="F15" s="27">
        <v>0</v>
      </c>
      <c r="G15" s="27">
        <v>0</v>
      </c>
      <c r="H15" s="27">
        <v>0</v>
      </c>
      <c r="I15" s="27">
        <v>0</v>
      </c>
      <c r="J15" s="27">
        <v>0</v>
      </c>
      <c r="K15" s="27">
        <v>0</v>
      </c>
      <c r="L15" s="27">
        <v>0</v>
      </c>
      <c r="M15" s="27">
        <v>0</v>
      </c>
      <c r="N15" s="27">
        <v>0</v>
      </c>
      <c r="O15" s="27">
        <v>0</v>
      </c>
      <c r="P15" s="27">
        <v>0</v>
      </c>
      <c r="Q15" s="41">
        <f>SUM(E15:P15)</f>
        <v>0</v>
      </c>
      <c r="R15" s="61">
        <v>0</v>
      </c>
      <c r="U15" s="35"/>
      <c r="V15" s="40"/>
    </row>
    <row r="16" spans="1:22" s="3" customFormat="1" ht="24.95" hidden="1" customHeight="1">
      <c r="A16" s="3" t="s">
        <v>486</v>
      </c>
      <c r="B16" s="3" t="s">
        <v>1049</v>
      </c>
      <c r="D16" s="28" t="s">
        <v>487</v>
      </c>
      <c r="E16" s="27">
        <v>0</v>
      </c>
      <c r="F16" s="27">
        <v>0</v>
      </c>
      <c r="G16" s="27">
        <v>0</v>
      </c>
      <c r="H16" s="27">
        <v>0</v>
      </c>
      <c r="I16" s="27">
        <v>0</v>
      </c>
      <c r="J16" s="27">
        <v>0</v>
      </c>
      <c r="K16" s="27">
        <v>0</v>
      </c>
      <c r="L16" s="27">
        <v>0</v>
      </c>
      <c r="M16" s="27">
        <v>0</v>
      </c>
      <c r="N16" s="27">
        <v>0</v>
      </c>
      <c r="O16" s="27">
        <v>0</v>
      </c>
      <c r="P16" s="27">
        <v>0</v>
      </c>
      <c r="Q16" s="41">
        <f t="shared" ref="Q16:Q79" si="1">SUM(E16:P16)</f>
        <v>0</v>
      </c>
      <c r="R16" s="61">
        <v>0</v>
      </c>
      <c r="U16" s="35"/>
      <c r="V16" s="40"/>
    </row>
    <row r="17" spans="1:22" s="3" customFormat="1" ht="24.95" hidden="1" customHeight="1">
      <c r="A17" s="3" t="s">
        <v>488</v>
      </c>
      <c r="B17" s="3" t="s">
        <v>1049</v>
      </c>
      <c r="D17" s="26" t="s">
        <v>489</v>
      </c>
      <c r="E17" s="27">
        <v>0</v>
      </c>
      <c r="F17" s="27">
        <v>0</v>
      </c>
      <c r="G17" s="27">
        <v>0</v>
      </c>
      <c r="H17" s="27">
        <v>0</v>
      </c>
      <c r="I17" s="27">
        <v>0</v>
      </c>
      <c r="J17" s="27">
        <v>0</v>
      </c>
      <c r="K17" s="27">
        <v>0</v>
      </c>
      <c r="L17" s="27">
        <v>0</v>
      </c>
      <c r="M17" s="27">
        <v>0</v>
      </c>
      <c r="N17" s="27">
        <v>0</v>
      </c>
      <c r="O17" s="27">
        <v>0</v>
      </c>
      <c r="P17" s="27">
        <v>0</v>
      </c>
      <c r="Q17" s="41">
        <f t="shared" si="1"/>
        <v>0</v>
      </c>
      <c r="R17" s="61">
        <v>0</v>
      </c>
      <c r="U17" s="35"/>
      <c r="V17" s="40"/>
    </row>
    <row r="18" spans="1:22" s="3" customFormat="1" ht="24.95" hidden="1" customHeight="1">
      <c r="A18" s="3" t="s">
        <v>490</v>
      </c>
      <c r="B18" s="3" t="s">
        <v>1049</v>
      </c>
      <c r="D18" s="26" t="s">
        <v>491</v>
      </c>
      <c r="E18" s="27">
        <v>0</v>
      </c>
      <c r="F18" s="27">
        <v>0</v>
      </c>
      <c r="G18" s="27">
        <v>0</v>
      </c>
      <c r="H18" s="27">
        <v>0</v>
      </c>
      <c r="I18" s="27">
        <v>0</v>
      </c>
      <c r="J18" s="27">
        <v>0</v>
      </c>
      <c r="K18" s="27">
        <v>0</v>
      </c>
      <c r="L18" s="27">
        <v>0</v>
      </c>
      <c r="M18" s="27">
        <v>0</v>
      </c>
      <c r="N18" s="27">
        <v>0</v>
      </c>
      <c r="O18" s="27">
        <v>0</v>
      </c>
      <c r="P18" s="27">
        <v>0</v>
      </c>
      <c r="Q18" s="41">
        <f t="shared" si="1"/>
        <v>0</v>
      </c>
      <c r="R18" s="61">
        <v>0</v>
      </c>
      <c r="U18" s="35"/>
      <c r="V18" s="40"/>
    </row>
    <row r="19" spans="1:22" s="3" customFormat="1" ht="24.95" hidden="1" customHeight="1">
      <c r="A19" s="3" t="s">
        <v>492</v>
      </c>
      <c r="B19" s="3" t="s">
        <v>1049</v>
      </c>
      <c r="D19" s="29" t="s">
        <v>493</v>
      </c>
      <c r="E19" s="27">
        <v>0</v>
      </c>
      <c r="F19" s="27">
        <v>0</v>
      </c>
      <c r="G19" s="27">
        <v>0</v>
      </c>
      <c r="H19" s="27">
        <v>0</v>
      </c>
      <c r="I19" s="27">
        <v>0</v>
      </c>
      <c r="J19" s="27">
        <v>0</v>
      </c>
      <c r="K19" s="27">
        <v>0</v>
      </c>
      <c r="L19" s="27">
        <v>0</v>
      </c>
      <c r="M19" s="27">
        <v>0</v>
      </c>
      <c r="N19" s="27">
        <v>0</v>
      </c>
      <c r="O19" s="27">
        <v>0</v>
      </c>
      <c r="P19" s="27">
        <v>0</v>
      </c>
      <c r="Q19" s="41">
        <f t="shared" si="1"/>
        <v>0</v>
      </c>
      <c r="R19" s="61">
        <v>0</v>
      </c>
      <c r="U19" s="35"/>
      <c r="V19" s="40"/>
    </row>
    <row r="20" spans="1:22" s="3" customFormat="1" ht="24.95" hidden="1" customHeight="1">
      <c r="A20" s="3" t="s">
        <v>494</v>
      </c>
      <c r="B20" s="3" t="s">
        <v>1049</v>
      </c>
      <c r="D20" s="29" t="s">
        <v>495</v>
      </c>
      <c r="E20" s="27">
        <v>0</v>
      </c>
      <c r="F20" s="27">
        <v>0</v>
      </c>
      <c r="G20" s="27">
        <v>0</v>
      </c>
      <c r="H20" s="27">
        <v>0</v>
      </c>
      <c r="I20" s="27">
        <v>0</v>
      </c>
      <c r="J20" s="27">
        <v>0</v>
      </c>
      <c r="K20" s="27">
        <v>0</v>
      </c>
      <c r="L20" s="27">
        <v>0</v>
      </c>
      <c r="M20" s="27">
        <v>0</v>
      </c>
      <c r="N20" s="27">
        <v>0</v>
      </c>
      <c r="O20" s="27">
        <v>0</v>
      </c>
      <c r="P20" s="27">
        <v>0</v>
      </c>
      <c r="Q20" s="41">
        <f t="shared" si="1"/>
        <v>0</v>
      </c>
      <c r="R20" s="61">
        <v>0</v>
      </c>
      <c r="U20" s="35"/>
      <c r="V20" s="40"/>
    </row>
    <row r="21" spans="1:22" s="3" customFormat="1" ht="24.95" hidden="1" customHeight="1">
      <c r="A21" s="3" t="s">
        <v>496</v>
      </c>
      <c r="B21" s="3" t="s">
        <v>1049</v>
      </c>
      <c r="D21" s="26" t="s">
        <v>497</v>
      </c>
      <c r="E21" s="27">
        <v>0</v>
      </c>
      <c r="F21" s="27">
        <v>0</v>
      </c>
      <c r="G21" s="27">
        <v>0</v>
      </c>
      <c r="H21" s="27">
        <v>0</v>
      </c>
      <c r="I21" s="27">
        <v>0</v>
      </c>
      <c r="J21" s="27">
        <v>0</v>
      </c>
      <c r="K21" s="27">
        <v>0</v>
      </c>
      <c r="L21" s="27">
        <v>0</v>
      </c>
      <c r="M21" s="27">
        <v>0</v>
      </c>
      <c r="N21" s="27">
        <v>0</v>
      </c>
      <c r="O21" s="27">
        <v>0</v>
      </c>
      <c r="P21" s="27">
        <v>0</v>
      </c>
      <c r="Q21" s="41">
        <f t="shared" si="1"/>
        <v>0</v>
      </c>
      <c r="R21" s="61">
        <v>900</v>
      </c>
      <c r="U21" s="35"/>
      <c r="V21" s="40"/>
    </row>
    <row r="22" spans="1:22" s="372" customFormat="1" ht="24.95" customHeight="1">
      <c r="A22" s="372" t="s">
        <v>498</v>
      </c>
      <c r="B22" s="372" t="s">
        <v>1049</v>
      </c>
      <c r="D22" s="411" t="s">
        <v>499</v>
      </c>
      <c r="E22" s="27">
        <v>10520</v>
      </c>
      <c r="F22" s="27">
        <v>9480</v>
      </c>
      <c r="G22" s="27">
        <v>12780</v>
      </c>
      <c r="H22" s="27">
        <v>14540</v>
      </c>
      <c r="I22" s="27">
        <v>15060</v>
      </c>
      <c r="J22" s="27">
        <v>13940</v>
      </c>
      <c r="K22" s="27">
        <v>15980</v>
      </c>
      <c r="L22" s="27">
        <v>16180</v>
      </c>
      <c r="M22" s="27">
        <v>16340</v>
      </c>
      <c r="N22" s="27">
        <v>16680</v>
      </c>
      <c r="O22" s="27">
        <v>15940</v>
      </c>
      <c r="P22" s="27">
        <v>15180</v>
      </c>
      <c r="Q22" s="41">
        <f t="shared" si="1"/>
        <v>172620</v>
      </c>
      <c r="R22" s="61">
        <v>0</v>
      </c>
      <c r="U22" s="375"/>
      <c r="V22" s="360"/>
    </row>
    <row r="23" spans="1:22" s="3" customFormat="1" ht="24.95" customHeight="1">
      <c r="A23" s="3" t="s">
        <v>500</v>
      </c>
      <c r="B23" s="3" t="s">
        <v>1049</v>
      </c>
      <c r="D23" s="26" t="s">
        <v>501</v>
      </c>
      <c r="E23" s="27"/>
      <c r="F23" s="27"/>
      <c r="G23" s="27"/>
      <c r="H23" s="27"/>
      <c r="I23" s="27"/>
      <c r="J23" s="27"/>
      <c r="K23" s="27"/>
      <c r="L23" s="27"/>
      <c r="M23" s="27"/>
      <c r="N23" s="27"/>
      <c r="O23" s="27"/>
      <c r="P23" s="27"/>
      <c r="Q23" s="41">
        <f t="shared" si="1"/>
        <v>0</v>
      </c>
      <c r="R23" s="61">
        <v>0</v>
      </c>
      <c r="U23" s="35"/>
      <c r="V23" s="40"/>
    </row>
    <row r="24" spans="1:22" s="3" customFormat="1" ht="24.95" hidden="1" customHeight="1">
      <c r="A24" s="3" t="s">
        <v>502</v>
      </c>
      <c r="B24" s="3" t="s">
        <v>1049</v>
      </c>
      <c r="D24" s="26" t="s">
        <v>503</v>
      </c>
      <c r="E24" s="27"/>
      <c r="F24" s="27"/>
      <c r="G24" s="27"/>
      <c r="H24" s="27"/>
      <c r="I24" s="27"/>
      <c r="J24" s="27"/>
      <c r="K24" s="27"/>
      <c r="L24" s="27"/>
      <c r="M24" s="27"/>
      <c r="N24" s="27"/>
      <c r="O24" s="27"/>
      <c r="P24" s="27"/>
      <c r="Q24" s="41">
        <f t="shared" si="1"/>
        <v>0</v>
      </c>
      <c r="R24" s="61">
        <v>0</v>
      </c>
      <c r="U24" s="35"/>
      <c r="V24" s="40"/>
    </row>
    <row r="25" spans="1:22" s="3" customFormat="1" ht="24.95" hidden="1" customHeight="1">
      <c r="A25" s="3" t="s">
        <v>504</v>
      </c>
      <c r="B25" s="3" t="s">
        <v>1049</v>
      </c>
      <c r="D25" s="26" t="s">
        <v>505</v>
      </c>
      <c r="E25" s="27"/>
      <c r="F25" s="27"/>
      <c r="G25" s="27"/>
      <c r="H25" s="27"/>
      <c r="I25" s="27"/>
      <c r="J25" s="27"/>
      <c r="K25" s="27"/>
      <c r="L25" s="27"/>
      <c r="M25" s="27"/>
      <c r="N25" s="27"/>
      <c r="O25" s="27"/>
      <c r="P25" s="27"/>
      <c r="Q25" s="41">
        <f t="shared" si="1"/>
        <v>0</v>
      </c>
      <c r="R25" s="61">
        <v>1200</v>
      </c>
      <c r="U25" s="35"/>
      <c r="V25" s="40"/>
    </row>
    <row r="26" spans="1:22" s="3" customFormat="1" ht="24.95" hidden="1" customHeight="1">
      <c r="A26" s="3" t="s">
        <v>506</v>
      </c>
      <c r="B26" s="3" t="s">
        <v>1049</v>
      </c>
      <c r="D26" s="26" t="s">
        <v>507</v>
      </c>
      <c r="E26" s="27"/>
      <c r="F26" s="27"/>
      <c r="G26" s="27"/>
      <c r="H26" s="27"/>
      <c r="I26" s="27"/>
      <c r="J26" s="27"/>
      <c r="K26" s="27"/>
      <c r="L26" s="27"/>
      <c r="M26" s="27"/>
      <c r="N26" s="27"/>
      <c r="O26" s="27"/>
      <c r="P26" s="27"/>
      <c r="Q26" s="41">
        <f t="shared" si="1"/>
        <v>0</v>
      </c>
      <c r="R26" s="61">
        <v>235347.93</v>
      </c>
      <c r="U26" s="35"/>
      <c r="V26" s="40"/>
    </row>
    <row r="27" spans="1:22" s="3" customFormat="1" ht="24.95" hidden="1" customHeight="1">
      <c r="A27" s="3" t="s">
        <v>508</v>
      </c>
      <c r="B27" s="3" t="s">
        <v>1049</v>
      </c>
      <c r="D27" s="26" t="s">
        <v>509</v>
      </c>
      <c r="E27" s="27"/>
      <c r="F27" s="27"/>
      <c r="G27" s="27"/>
      <c r="H27" s="27"/>
      <c r="I27" s="27"/>
      <c r="J27" s="27"/>
      <c r="K27" s="27"/>
      <c r="L27" s="27"/>
      <c r="M27" s="27"/>
      <c r="N27" s="27"/>
      <c r="O27" s="27"/>
      <c r="P27" s="27"/>
      <c r="Q27" s="41">
        <f t="shared" si="1"/>
        <v>0</v>
      </c>
      <c r="R27" s="61">
        <v>0</v>
      </c>
      <c r="U27" s="35"/>
      <c r="V27" s="40"/>
    </row>
    <row r="28" spans="1:22" s="3" customFormat="1" ht="24.95" hidden="1" customHeight="1">
      <c r="A28" s="3" t="s">
        <v>510</v>
      </c>
      <c r="B28" s="3" t="s">
        <v>1049</v>
      </c>
      <c r="D28" s="26" t="s">
        <v>511</v>
      </c>
      <c r="E28" s="27"/>
      <c r="F28" s="27"/>
      <c r="G28" s="27"/>
      <c r="H28" s="27"/>
      <c r="I28" s="27"/>
      <c r="J28" s="27"/>
      <c r="K28" s="27"/>
      <c r="L28" s="27"/>
      <c r="M28" s="27"/>
      <c r="N28" s="27"/>
      <c r="O28" s="27"/>
      <c r="P28" s="27"/>
      <c r="Q28" s="41">
        <f t="shared" si="1"/>
        <v>0</v>
      </c>
      <c r="R28" s="61">
        <v>0</v>
      </c>
      <c r="U28" s="35"/>
      <c r="V28" s="40"/>
    </row>
    <row r="29" spans="1:22" s="3" customFormat="1" ht="24.95" hidden="1" customHeight="1">
      <c r="A29" s="3" t="s">
        <v>512</v>
      </c>
      <c r="B29" s="3" t="s">
        <v>1049</v>
      </c>
      <c r="D29" s="26" t="s">
        <v>169</v>
      </c>
      <c r="E29" s="27"/>
      <c r="F29" s="27"/>
      <c r="G29" s="27"/>
      <c r="H29" s="27"/>
      <c r="I29" s="27"/>
      <c r="J29" s="27"/>
      <c r="K29" s="27"/>
      <c r="L29" s="27"/>
      <c r="M29" s="27"/>
      <c r="N29" s="27"/>
      <c r="O29" s="27"/>
      <c r="P29" s="27"/>
      <c r="Q29" s="41">
        <f t="shared" si="1"/>
        <v>0</v>
      </c>
      <c r="R29" s="61">
        <v>0</v>
      </c>
      <c r="U29" s="35"/>
      <c r="V29" s="40"/>
    </row>
    <row r="30" spans="1:22" s="3" customFormat="1" ht="24.95" hidden="1" customHeight="1">
      <c r="A30" s="3" t="s">
        <v>513</v>
      </c>
      <c r="B30" s="3" t="s">
        <v>1049</v>
      </c>
      <c r="D30" s="26" t="s">
        <v>171</v>
      </c>
      <c r="E30" s="27"/>
      <c r="F30" s="27"/>
      <c r="G30" s="27"/>
      <c r="H30" s="27"/>
      <c r="I30" s="27"/>
      <c r="J30" s="27"/>
      <c r="K30" s="27"/>
      <c r="L30" s="27"/>
      <c r="M30" s="27"/>
      <c r="N30" s="27"/>
      <c r="O30" s="27"/>
      <c r="P30" s="27"/>
      <c r="Q30" s="41">
        <f t="shared" si="1"/>
        <v>0</v>
      </c>
      <c r="R30" s="61">
        <v>0</v>
      </c>
      <c r="U30" s="35"/>
      <c r="V30" s="40"/>
    </row>
    <row r="31" spans="1:22" s="3" customFormat="1" ht="24.95" hidden="1" customHeight="1">
      <c r="A31" s="3" t="s">
        <v>514</v>
      </c>
      <c r="B31" s="3" t="s">
        <v>1049</v>
      </c>
      <c r="D31" s="26" t="s">
        <v>515</v>
      </c>
      <c r="E31" s="27"/>
      <c r="F31" s="27"/>
      <c r="G31" s="27"/>
      <c r="H31" s="27"/>
      <c r="I31" s="27"/>
      <c r="J31" s="27"/>
      <c r="K31" s="27"/>
      <c r="L31" s="27"/>
      <c r="M31" s="27"/>
      <c r="N31" s="27"/>
      <c r="O31" s="27"/>
      <c r="P31" s="27"/>
      <c r="Q31" s="41">
        <f t="shared" si="1"/>
        <v>0</v>
      </c>
      <c r="R31" s="61">
        <v>0</v>
      </c>
      <c r="U31" s="35"/>
      <c r="V31" s="40"/>
    </row>
    <row r="32" spans="1:22" s="3" customFormat="1" ht="24.95" hidden="1" customHeight="1">
      <c r="A32" s="3" t="s">
        <v>516</v>
      </c>
      <c r="B32" s="3" t="s">
        <v>1049</v>
      </c>
      <c r="D32" s="26" t="s">
        <v>517</v>
      </c>
      <c r="E32" s="27"/>
      <c r="F32" s="27"/>
      <c r="G32" s="27"/>
      <c r="H32" s="27"/>
      <c r="I32" s="27"/>
      <c r="J32" s="27"/>
      <c r="K32" s="27"/>
      <c r="L32" s="27"/>
      <c r="M32" s="27"/>
      <c r="N32" s="27"/>
      <c r="O32" s="27"/>
      <c r="P32" s="27"/>
      <c r="Q32" s="41">
        <f t="shared" si="1"/>
        <v>0</v>
      </c>
      <c r="R32" s="61">
        <v>0</v>
      </c>
      <c r="U32" s="35"/>
      <c r="V32" s="40"/>
    </row>
    <row r="33" spans="1:22" s="3" customFormat="1" ht="24.95" hidden="1" customHeight="1">
      <c r="A33" s="3" t="s">
        <v>518</v>
      </c>
      <c r="B33" s="3" t="s">
        <v>1049</v>
      </c>
      <c r="D33" s="26" t="s">
        <v>519</v>
      </c>
      <c r="E33" s="27"/>
      <c r="F33" s="27"/>
      <c r="G33" s="27"/>
      <c r="H33" s="27"/>
      <c r="I33" s="27"/>
      <c r="J33" s="27"/>
      <c r="K33" s="27"/>
      <c r="L33" s="27"/>
      <c r="M33" s="27"/>
      <c r="N33" s="27"/>
      <c r="O33" s="27"/>
      <c r="P33" s="27"/>
      <c r="Q33" s="41">
        <f t="shared" si="1"/>
        <v>0</v>
      </c>
      <c r="R33" s="61">
        <v>0</v>
      </c>
      <c r="U33" s="35"/>
      <c r="V33" s="40"/>
    </row>
    <row r="34" spans="1:22" s="3" customFormat="1" ht="24.95" hidden="1" customHeight="1">
      <c r="A34" s="3" t="s">
        <v>520</v>
      </c>
      <c r="B34" s="3" t="s">
        <v>1049</v>
      </c>
      <c r="D34" s="26" t="s">
        <v>521</v>
      </c>
      <c r="E34" s="27"/>
      <c r="F34" s="27"/>
      <c r="G34" s="27"/>
      <c r="H34" s="27"/>
      <c r="I34" s="27"/>
      <c r="J34" s="27"/>
      <c r="K34" s="27"/>
      <c r="L34" s="27"/>
      <c r="M34" s="27"/>
      <c r="N34" s="27"/>
      <c r="O34" s="27"/>
      <c r="P34" s="27"/>
      <c r="Q34" s="41">
        <f t="shared" si="1"/>
        <v>0</v>
      </c>
      <c r="R34" s="61">
        <v>0</v>
      </c>
      <c r="U34" s="35"/>
      <c r="V34" s="40"/>
    </row>
    <row r="35" spans="1:22" s="3" customFormat="1" ht="24.95" customHeight="1">
      <c r="A35" s="3" t="s">
        <v>522</v>
      </c>
      <c r="B35" s="3" t="s">
        <v>1049</v>
      </c>
      <c r="D35" s="26" t="s">
        <v>523</v>
      </c>
      <c r="E35" s="27">
        <v>2200</v>
      </c>
      <c r="F35" s="27">
        <v>2200</v>
      </c>
      <c r="G35" s="27">
        <v>2200</v>
      </c>
      <c r="H35" s="27">
        <v>2200</v>
      </c>
      <c r="I35" s="27">
        <v>2200</v>
      </c>
      <c r="J35" s="27">
        <v>2200</v>
      </c>
      <c r="K35" s="27">
        <v>2200</v>
      </c>
      <c r="L35" s="27">
        <v>2200</v>
      </c>
      <c r="M35" s="27">
        <v>2200</v>
      </c>
      <c r="N35" s="27">
        <v>2200</v>
      </c>
      <c r="O35" s="27">
        <v>2200</v>
      </c>
      <c r="P35" s="27">
        <v>2200</v>
      </c>
      <c r="Q35" s="41">
        <f t="shared" si="1"/>
        <v>26400</v>
      </c>
      <c r="R35" s="61">
        <v>0</v>
      </c>
      <c r="S35" s="39"/>
      <c r="T35" s="39"/>
      <c r="U35" s="35"/>
      <c r="V35" s="40"/>
    </row>
    <row r="36" spans="1:22" s="3" customFormat="1" ht="24.95" hidden="1" customHeight="1">
      <c r="A36" s="3" t="s">
        <v>524</v>
      </c>
      <c r="B36" s="3" t="s">
        <v>1049</v>
      </c>
      <c r="D36" s="26" t="s">
        <v>525</v>
      </c>
      <c r="E36" s="27"/>
      <c r="F36" s="27"/>
      <c r="G36" s="27"/>
      <c r="H36" s="27"/>
      <c r="I36" s="27"/>
      <c r="J36" s="27"/>
      <c r="K36" s="27"/>
      <c r="L36" s="27"/>
      <c r="M36" s="27"/>
      <c r="N36" s="27"/>
      <c r="O36" s="27"/>
      <c r="P36" s="27"/>
      <c r="Q36" s="41">
        <f t="shared" si="1"/>
        <v>0</v>
      </c>
      <c r="R36" s="61">
        <v>0</v>
      </c>
      <c r="S36" s="39"/>
      <c r="T36" s="39"/>
      <c r="U36" s="35"/>
      <c r="V36" s="40"/>
    </row>
    <row r="37" spans="1:22" s="3" customFormat="1" ht="24.95" hidden="1" customHeight="1">
      <c r="A37" s="3" t="s">
        <v>526</v>
      </c>
      <c r="B37" s="3" t="s">
        <v>1049</v>
      </c>
      <c r="D37" s="26" t="s">
        <v>527</v>
      </c>
      <c r="E37" s="27"/>
      <c r="F37" s="27"/>
      <c r="G37" s="27"/>
      <c r="H37" s="27"/>
      <c r="I37" s="27"/>
      <c r="J37" s="27"/>
      <c r="K37" s="27"/>
      <c r="L37" s="27"/>
      <c r="M37" s="27"/>
      <c r="N37" s="27"/>
      <c r="O37" s="27"/>
      <c r="P37" s="27"/>
      <c r="Q37" s="41">
        <f t="shared" si="1"/>
        <v>0</v>
      </c>
      <c r="R37" s="61">
        <v>0</v>
      </c>
      <c r="S37" s="39"/>
      <c r="T37" s="39"/>
      <c r="U37" s="35"/>
      <c r="V37" s="40"/>
    </row>
    <row r="38" spans="1:22" s="3" customFormat="1" ht="24.95" hidden="1" customHeight="1">
      <c r="A38" s="3" t="s">
        <v>528</v>
      </c>
      <c r="B38" s="3" t="s">
        <v>1049</v>
      </c>
      <c r="D38" s="26" t="s">
        <v>529</v>
      </c>
      <c r="E38" s="27"/>
      <c r="F38" s="27"/>
      <c r="G38" s="27"/>
      <c r="H38" s="27"/>
      <c r="I38" s="27"/>
      <c r="J38" s="27"/>
      <c r="K38" s="27"/>
      <c r="L38" s="27"/>
      <c r="M38" s="27"/>
      <c r="N38" s="27"/>
      <c r="O38" s="27"/>
      <c r="P38" s="27"/>
      <c r="Q38" s="41">
        <f t="shared" si="1"/>
        <v>0</v>
      </c>
      <c r="R38" s="61">
        <v>0</v>
      </c>
      <c r="S38" s="39"/>
      <c r="T38" s="39"/>
      <c r="U38" s="35"/>
      <c r="V38" s="40"/>
    </row>
    <row r="39" spans="1:22" s="3" customFormat="1" ht="24.95" hidden="1" customHeight="1">
      <c r="A39" s="3" t="s">
        <v>530</v>
      </c>
      <c r="B39" s="3" t="s">
        <v>1049</v>
      </c>
      <c r="D39" s="26" t="s">
        <v>531</v>
      </c>
      <c r="E39" s="27"/>
      <c r="F39" s="27"/>
      <c r="G39" s="27"/>
      <c r="H39" s="27"/>
      <c r="I39" s="27"/>
      <c r="J39" s="27"/>
      <c r="K39" s="27"/>
      <c r="L39" s="27"/>
      <c r="M39" s="27"/>
      <c r="N39" s="27"/>
      <c r="O39" s="27"/>
      <c r="P39" s="27"/>
      <c r="Q39" s="41">
        <f t="shared" si="1"/>
        <v>0</v>
      </c>
      <c r="R39" s="61">
        <v>0</v>
      </c>
      <c r="S39" s="39"/>
      <c r="T39" s="39"/>
      <c r="U39" s="35"/>
      <c r="V39" s="40"/>
    </row>
    <row r="40" spans="1:22" s="3" customFormat="1" ht="24.95" hidden="1" customHeight="1">
      <c r="A40" s="3" t="s">
        <v>532</v>
      </c>
      <c r="B40" s="3" t="s">
        <v>1049</v>
      </c>
      <c r="D40" s="26" t="s">
        <v>1182</v>
      </c>
      <c r="E40" s="27"/>
      <c r="F40" s="27"/>
      <c r="G40" s="27"/>
      <c r="H40" s="27"/>
      <c r="I40" s="27"/>
      <c r="J40" s="27"/>
      <c r="K40" s="27"/>
      <c r="L40" s="27"/>
      <c r="M40" s="27"/>
      <c r="N40" s="27"/>
      <c r="O40" s="27"/>
      <c r="P40" s="27"/>
      <c r="Q40" s="41">
        <f t="shared" si="1"/>
        <v>0</v>
      </c>
      <c r="R40" s="61">
        <v>0</v>
      </c>
      <c r="S40" s="39"/>
      <c r="T40" s="39"/>
      <c r="U40" s="35"/>
      <c r="V40" s="40"/>
    </row>
    <row r="41" spans="1:22" s="3" customFormat="1" ht="24.95" hidden="1" customHeight="1">
      <c r="A41" s="3" t="s">
        <v>534</v>
      </c>
      <c r="B41" s="3" t="s">
        <v>1049</v>
      </c>
      <c r="D41" s="26" t="s">
        <v>535</v>
      </c>
      <c r="E41" s="27"/>
      <c r="F41" s="27"/>
      <c r="G41" s="27"/>
      <c r="H41" s="27"/>
      <c r="I41" s="27"/>
      <c r="J41" s="27"/>
      <c r="K41" s="27"/>
      <c r="L41" s="27"/>
      <c r="M41" s="27"/>
      <c r="N41" s="27"/>
      <c r="O41" s="27"/>
      <c r="P41" s="27"/>
      <c r="Q41" s="41">
        <f t="shared" si="1"/>
        <v>0</v>
      </c>
      <c r="R41" s="61">
        <v>0</v>
      </c>
      <c r="S41" s="39"/>
      <c r="T41" s="39"/>
      <c r="U41" s="35"/>
      <c r="V41" s="40"/>
    </row>
    <row r="42" spans="1:22" s="3" customFormat="1" ht="24.95" hidden="1" customHeight="1">
      <c r="A42" s="3" t="s">
        <v>536</v>
      </c>
      <c r="B42" s="3" t="s">
        <v>1049</v>
      </c>
      <c r="D42" s="26" t="s">
        <v>537</v>
      </c>
      <c r="E42" s="27"/>
      <c r="F42" s="27"/>
      <c r="G42" s="27"/>
      <c r="H42" s="27"/>
      <c r="I42" s="27"/>
      <c r="J42" s="27"/>
      <c r="K42" s="27"/>
      <c r="L42" s="27"/>
      <c r="M42" s="27"/>
      <c r="N42" s="27"/>
      <c r="O42" s="27"/>
      <c r="P42" s="27"/>
      <c r="Q42" s="41">
        <f t="shared" si="1"/>
        <v>0</v>
      </c>
      <c r="R42" s="61">
        <v>0</v>
      </c>
      <c r="S42" s="39"/>
      <c r="T42" s="39"/>
      <c r="U42" s="35"/>
      <c r="V42" s="40"/>
    </row>
    <row r="43" spans="1:22" s="3" customFormat="1" ht="24.95" customHeight="1">
      <c r="A43" s="3" t="s">
        <v>538</v>
      </c>
      <c r="B43" s="3" t="s">
        <v>1049</v>
      </c>
      <c r="D43" s="26" t="s">
        <v>539</v>
      </c>
      <c r="E43" s="27">
        <v>33500</v>
      </c>
      <c r="F43" s="27">
        <v>3500</v>
      </c>
      <c r="G43" s="27">
        <v>3500</v>
      </c>
      <c r="H43" s="27">
        <v>3500</v>
      </c>
      <c r="I43" s="27">
        <v>3500</v>
      </c>
      <c r="J43" s="27">
        <v>3500</v>
      </c>
      <c r="K43" s="27">
        <v>3500</v>
      </c>
      <c r="L43" s="27">
        <v>3500</v>
      </c>
      <c r="M43" s="27">
        <v>3500</v>
      </c>
      <c r="N43" s="27">
        <v>3500</v>
      </c>
      <c r="O43" s="27">
        <v>3500</v>
      </c>
      <c r="P43" s="27">
        <v>3500</v>
      </c>
      <c r="Q43" s="41">
        <f t="shared" si="1"/>
        <v>72000</v>
      </c>
      <c r="R43" s="61">
        <v>3654.05</v>
      </c>
      <c r="S43" s="39"/>
      <c r="T43" s="39"/>
      <c r="U43" s="35"/>
      <c r="V43" s="40"/>
    </row>
    <row r="44" spans="1:22" s="3" customFormat="1" ht="24.95" customHeight="1">
      <c r="A44" s="3" t="s">
        <v>540</v>
      </c>
      <c r="B44" s="3" t="s">
        <v>1049</v>
      </c>
      <c r="D44" s="26" t="s">
        <v>541</v>
      </c>
      <c r="E44" s="27">
        <v>500</v>
      </c>
      <c r="F44" s="27">
        <v>500</v>
      </c>
      <c r="G44" s="27">
        <v>500</v>
      </c>
      <c r="H44" s="27">
        <v>500</v>
      </c>
      <c r="I44" s="27">
        <v>500</v>
      </c>
      <c r="J44" s="27">
        <v>500</v>
      </c>
      <c r="K44" s="27">
        <v>500</v>
      </c>
      <c r="L44" s="27">
        <v>500</v>
      </c>
      <c r="M44" s="27">
        <v>500</v>
      </c>
      <c r="N44" s="27">
        <v>500</v>
      </c>
      <c r="O44" s="27">
        <v>500</v>
      </c>
      <c r="P44" s="27">
        <v>500</v>
      </c>
      <c r="Q44" s="41">
        <f t="shared" si="1"/>
        <v>6000</v>
      </c>
      <c r="R44" s="61">
        <v>0</v>
      </c>
      <c r="S44" s="39"/>
      <c r="T44" s="39"/>
      <c r="U44" s="35"/>
      <c r="V44" s="40"/>
    </row>
    <row r="45" spans="1:22" s="3" customFormat="1" ht="24.95" hidden="1" customHeight="1">
      <c r="A45" s="3" t="s">
        <v>542</v>
      </c>
      <c r="B45" s="3" t="s">
        <v>1049</v>
      </c>
      <c r="D45" s="26" t="s">
        <v>543</v>
      </c>
      <c r="E45" s="27"/>
      <c r="F45" s="27"/>
      <c r="G45" s="27"/>
      <c r="H45" s="27"/>
      <c r="I45" s="27"/>
      <c r="J45" s="27"/>
      <c r="K45" s="27"/>
      <c r="L45" s="27"/>
      <c r="M45" s="27"/>
      <c r="N45" s="27"/>
      <c r="O45" s="27"/>
      <c r="P45" s="27"/>
      <c r="Q45" s="41">
        <f t="shared" si="1"/>
        <v>0</v>
      </c>
      <c r="R45" s="61">
        <v>0</v>
      </c>
      <c r="S45" s="39"/>
      <c r="T45" s="39"/>
      <c r="U45" s="35"/>
      <c r="V45" s="40"/>
    </row>
    <row r="46" spans="1:22" s="3" customFormat="1" ht="24.95" hidden="1" customHeight="1">
      <c r="A46" s="3" t="s">
        <v>544</v>
      </c>
      <c r="B46" s="3" t="s">
        <v>1049</v>
      </c>
      <c r="D46" s="29" t="s">
        <v>545</v>
      </c>
      <c r="E46" s="27"/>
      <c r="F46" s="27"/>
      <c r="G46" s="27"/>
      <c r="H46" s="27"/>
      <c r="I46" s="27"/>
      <c r="J46" s="27"/>
      <c r="K46" s="27"/>
      <c r="L46" s="27"/>
      <c r="M46" s="27"/>
      <c r="N46" s="27"/>
      <c r="O46" s="27"/>
      <c r="P46" s="27"/>
      <c r="Q46" s="41">
        <f t="shared" si="1"/>
        <v>0</v>
      </c>
      <c r="R46" s="61">
        <v>0</v>
      </c>
      <c r="S46" s="39"/>
      <c r="T46" s="39"/>
      <c r="U46" s="35"/>
      <c r="V46" s="40"/>
    </row>
    <row r="47" spans="1:22" s="3" customFormat="1" ht="24.95" hidden="1" customHeight="1">
      <c r="A47" s="3" t="s">
        <v>546</v>
      </c>
      <c r="B47" s="3" t="s">
        <v>1049</v>
      </c>
      <c r="D47" s="26" t="s">
        <v>547</v>
      </c>
      <c r="E47" s="27"/>
      <c r="F47" s="27"/>
      <c r="G47" s="27"/>
      <c r="H47" s="27"/>
      <c r="I47" s="27"/>
      <c r="J47" s="27"/>
      <c r="K47" s="27"/>
      <c r="L47" s="27"/>
      <c r="M47" s="27"/>
      <c r="N47" s="27"/>
      <c r="O47" s="27"/>
      <c r="P47" s="27"/>
      <c r="Q47" s="41">
        <f t="shared" si="1"/>
        <v>0</v>
      </c>
      <c r="R47" s="61">
        <v>0</v>
      </c>
      <c r="S47" s="39"/>
      <c r="T47" s="39"/>
      <c r="U47" s="35"/>
      <c r="V47" s="40"/>
    </row>
    <row r="48" spans="1:22" s="3" customFormat="1" ht="24.95" hidden="1" customHeight="1">
      <c r="A48" s="3" t="s">
        <v>548</v>
      </c>
      <c r="B48" s="3" t="s">
        <v>1049</v>
      </c>
      <c r="D48" s="26" t="s">
        <v>549</v>
      </c>
      <c r="E48" s="27"/>
      <c r="F48" s="27"/>
      <c r="G48" s="27"/>
      <c r="H48" s="27"/>
      <c r="I48" s="27"/>
      <c r="J48" s="27"/>
      <c r="K48" s="27"/>
      <c r="L48" s="27"/>
      <c r="M48" s="27"/>
      <c r="N48" s="27"/>
      <c r="O48" s="27"/>
      <c r="P48" s="27"/>
      <c r="Q48" s="41">
        <f t="shared" si="1"/>
        <v>0</v>
      </c>
      <c r="R48" s="61">
        <v>123614.78</v>
      </c>
      <c r="S48" s="39"/>
      <c r="T48" s="39"/>
      <c r="U48" s="35"/>
      <c r="V48" s="40"/>
    </row>
    <row r="49" spans="1:22" s="3" customFormat="1" ht="24.95" hidden="1" customHeight="1">
      <c r="A49" s="3" t="s">
        <v>550</v>
      </c>
      <c r="B49" s="3" t="s">
        <v>1049</v>
      </c>
      <c r="D49" s="26" t="s">
        <v>551</v>
      </c>
      <c r="E49" s="27"/>
      <c r="F49" s="27"/>
      <c r="G49" s="27"/>
      <c r="H49" s="27"/>
      <c r="I49" s="27"/>
      <c r="J49" s="27"/>
      <c r="K49" s="27"/>
      <c r="L49" s="27"/>
      <c r="M49" s="27"/>
      <c r="N49" s="27"/>
      <c r="O49" s="27"/>
      <c r="P49" s="27"/>
      <c r="Q49" s="41">
        <f t="shared" si="1"/>
        <v>0</v>
      </c>
      <c r="R49" s="61">
        <v>133649.73000000001</v>
      </c>
      <c r="S49" s="39"/>
      <c r="T49" s="39"/>
      <c r="U49" s="35"/>
      <c r="V49" s="40"/>
    </row>
    <row r="50" spans="1:22" s="3" customFormat="1" ht="24.95" hidden="1" customHeight="1">
      <c r="A50" s="3" t="s">
        <v>552</v>
      </c>
      <c r="B50" s="3" t="s">
        <v>1049</v>
      </c>
      <c r="D50" s="26" t="s">
        <v>553</v>
      </c>
      <c r="E50" s="27"/>
      <c r="F50" s="27"/>
      <c r="G50" s="27"/>
      <c r="H50" s="27"/>
      <c r="I50" s="27"/>
      <c r="J50" s="27"/>
      <c r="K50" s="27"/>
      <c r="L50" s="27"/>
      <c r="M50" s="27"/>
      <c r="N50" s="27"/>
      <c r="O50" s="27"/>
      <c r="P50" s="27"/>
      <c r="Q50" s="41">
        <f t="shared" si="1"/>
        <v>0</v>
      </c>
      <c r="R50" s="61">
        <v>1445.38</v>
      </c>
      <c r="S50" s="39"/>
      <c r="T50" s="39"/>
      <c r="U50" s="35"/>
      <c r="V50" s="40"/>
    </row>
    <row r="51" spans="1:22" s="3" customFormat="1" ht="24.95" hidden="1" customHeight="1">
      <c r="A51" s="3" t="s">
        <v>554</v>
      </c>
      <c r="B51" s="3" t="s">
        <v>1049</v>
      </c>
      <c r="D51" s="26" t="s">
        <v>555</v>
      </c>
      <c r="E51" s="27"/>
      <c r="F51" s="27"/>
      <c r="G51" s="27"/>
      <c r="H51" s="27"/>
      <c r="I51" s="27"/>
      <c r="J51" s="27"/>
      <c r="K51" s="27"/>
      <c r="L51" s="27"/>
      <c r="M51" s="27"/>
      <c r="N51" s="27"/>
      <c r="O51" s="27"/>
      <c r="P51" s="27"/>
      <c r="Q51" s="41">
        <f t="shared" si="1"/>
        <v>0</v>
      </c>
      <c r="R51" s="61">
        <v>0</v>
      </c>
      <c r="S51" s="39"/>
      <c r="T51" s="39"/>
      <c r="U51" s="35"/>
      <c r="V51" s="40"/>
    </row>
    <row r="52" spans="1:22" s="3" customFormat="1" ht="24.95" hidden="1" customHeight="1">
      <c r="A52" s="3" t="s">
        <v>556</v>
      </c>
      <c r="B52" s="3" t="s">
        <v>1049</v>
      </c>
      <c r="D52" s="26" t="s">
        <v>557</v>
      </c>
      <c r="E52" s="27"/>
      <c r="F52" s="27"/>
      <c r="G52" s="27"/>
      <c r="H52" s="27"/>
      <c r="I52" s="27"/>
      <c r="J52" s="27"/>
      <c r="K52" s="27"/>
      <c r="L52" s="27"/>
      <c r="M52" s="27"/>
      <c r="N52" s="27"/>
      <c r="O52" s="27"/>
      <c r="P52" s="27"/>
      <c r="Q52" s="41">
        <f t="shared" si="1"/>
        <v>0</v>
      </c>
      <c r="R52" s="61">
        <v>0</v>
      </c>
      <c r="S52" s="39"/>
      <c r="T52" s="39"/>
      <c r="U52" s="35"/>
      <c r="V52" s="40"/>
    </row>
    <row r="53" spans="1:22" s="3" customFormat="1" ht="24.95" hidden="1" customHeight="1">
      <c r="A53" s="3" t="s">
        <v>558</v>
      </c>
      <c r="B53" s="3" t="s">
        <v>1049</v>
      </c>
      <c r="D53" s="29" t="s">
        <v>559</v>
      </c>
      <c r="E53" s="27"/>
      <c r="F53" s="27"/>
      <c r="G53" s="27"/>
      <c r="H53" s="27"/>
      <c r="I53" s="27"/>
      <c r="J53" s="27"/>
      <c r="K53" s="27"/>
      <c r="L53" s="27"/>
      <c r="M53" s="27"/>
      <c r="N53" s="27"/>
      <c r="O53" s="27"/>
      <c r="P53" s="27"/>
      <c r="Q53" s="41">
        <f t="shared" si="1"/>
        <v>0</v>
      </c>
      <c r="R53" s="61">
        <v>0</v>
      </c>
      <c r="S53" s="39"/>
      <c r="T53" s="39"/>
      <c r="U53" s="35"/>
      <c r="V53" s="40"/>
    </row>
    <row r="54" spans="1:22" s="3" customFormat="1" ht="24.95" hidden="1" customHeight="1">
      <c r="A54" s="3" t="s">
        <v>560</v>
      </c>
      <c r="B54" s="3" t="s">
        <v>1049</v>
      </c>
      <c r="D54" s="26" t="s">
        <v>561</v>
      </c>
      <c r="E54" s="27"/>
      <c r="F54" s="27"/>
      <c r="G54" s="27"/>
      <c r="H54" s="27"/>
      <c r="I54" s="27"/>
      <c r="J54" s="27"/>
      <c r="K54" s="27"/>
      <c r="L54" s="27"/>
      <c r="M54" s="27"/>
      <c r="N54" s="27"/>
      <c r="O54" s="27"/>
      <c r="P54" s="27"/>
      <c r="Q54" s="41">
        <f t="shared" si="1"/>
        <v>0</v>
      </c>
      <c r="R54" s="61">
        <v>0</v>
      </c>
      <c r="S54" s="39"/>
      <c r="T54" s="39"/>
      <c r="U54" s="35"/>
      <c r="V54" s="40"/>
    </row>
    <row r="55" spans="1:22" s="3" customFormat="1" ht="24.95" hidden="1" customHeight="1">
      <c r="A55" s="3" t="s">
        <v>562</v>
      </c>
      <c r="B55" s="3" t="s">
        <v>1049</v>
      </c>
      <c r="D55" s="29" t="s">
        <v>563</v>
      </c>
      <c r="E55" s="27"/>
      <c r="F55" s="27"/>
      <c r="G55" s="27"/>
      <c r="H55" s="27"/>
      <c r="I55" s="27"/>
      <c r="J55" s="27"/>
      <c r="K55" s="27"/>
      <c r="L55" s="27"/>
      <c r="M55" s="27"/>
      <c r="N55" s="27"/>
      <c r="O55" s="27"/>
      <c r="P55" s="27"/>
      <c r="Q55" s="41">
        <f t="shared" si="1"/>
        <v>0</v>
      </c>
      <c r="R55" s="61">
        <v>0</v>
      </c>
      <c r="S55" s="39"/>
      <c r="T55" s="39"/>
      <c r="U55" s="35"/>
      <c r="V55" s="40"/>
    </row>
    <row r="56" spans="1:22" s="3" customFormat="1" ht="24.95" hidden="1" customHeight="1">
      <c r="A56" s="3" t="s">
        <v>564</v>
      </c>
      <c r="B56" s="3" t="s">
        <v>1049</v>
      </c>
      <c r="D56" s="26" t="s">
        <v>565</v>
      </c>
      <c r="E56" s="27"/>
      <c r="F56" s="27"/>
      <c r="G56" s="27"/>
      <c r="H56" s="27"/>
      <c r="I56" s="27"/>
      <c r="J56" s="27"/>
      <c r="K56" s="27"/>
      <c r="L56" s="27"/>
      <c r="M56" s="27"/>
      <c r="N56" s="27"/>
      <c r="O56" s="27"/>
      <c r="P56" s="27"/>
      <c r="Q56" s="41">
        <f t="shared" si="1"/>
        <v>0</v>
      </c>
      <c r="R56" s="61">
        <v>0</v>
      </c>
      <c r="S56" s="39"/>
      <c r="T56" s="39"/>
      <c r="U56" s="35"/>
      <c r="V56" s="40"/>
    </row>
    <row r="57" spans="1:22" s="3" customFormat="1" ht="24.95" hidden="1" customHeight="1">
      <c r="A57" s="3" t="s">
        <v>566</v>
      </c>
      <c r="B57" s="3" t="s">
        <v>1049</v>
      </c>
      <c r="D57" s="26" t="s">
        <v>567</v>
      </c>
      <c r="E57" s="27"/>
      <c r="F57" s="27"/>
      <c r="G57" s="27"/>
      <c r="H57" s="27"/>
      <c r="I57" s="27"/>
      <c r="J57" s="27"/>
      <c r="K57" s="27"/>
      <c r="L57" s="27"/>
      <c r="M57" s="27"/>
      <c r="N57" s="27"/>
      <c r="O57" s="27"/>
      <c r="P57" s="27"/>
      <c r="Q57" s="41">
        <f t="shared" si="1"/>
        <v>0</v>
      </c>
      <c r="R57" s="61">
        <v>0</v>
      </c>
      <c r="S57" s="39"/>
      <c r="T57" s="39"/>
      <c r="U57" s="35"/>
      <c r="V57" s="40"/>
    </row>
    <row r="58" spans="1:22" s="3" customFormat="1" ht="24.95" hidden="1" customHeight="1">
      <c r="A58" s="3" t="s">
        <v>568</v>
      </c>
      <c r="B58" s="3" t="s">
        <v>1049</v>
      </c>
      <c r="D58" s="26" t="s">
        <v>569</v>
      </c>
      <c r="E58" s="27"/>
      <c r="F58" s="27"/>
      <c r="G58" s="27"/>
      <c r="H58" s="27"/>
      <c r="I58" s="27"/>
      <c r="J58" s="27"/>
      <c r="K58" s="27"/>
      <c r="L58" s="27"/>
      <c r="M58" s="27"/>
      <c r="N58" s="27"/>
      <c r="O58" s="27"/>
      <c r="P58" s="27"/>
      <c r="Q58" s="41">
        <f t="shared" si="1"/>
        <v>0</v>
      </c>
      <c r="R58" s="61">
        <v>0</v>
      </c>
      <c r="S58" s="39"/>
      <c r="T58" s="39"/>
      <c r="U58" s="35"/>
      <c r="V58" s="40"/>
    </row>
    <row r="59" spans="1:22" s="3" customFormat="1" ht="24.95" hidden="1" customHeight="1">
      <c r="A59" s="3" t="s">
        <v>570</v>
      </c>
      <c r="B59" s="3" t="s">
        <v>1049</v>
      </c>
      <c r="D59" s="26" t="s">
        <v>571</v>
      </c>
      <c r="E59" s="27"/>
      <c r="F59" s="27"/>
      <c r="G59" s="27"/>
      <c r="H59" s="27"/>
      <c r="I59" s="27"/>
      <c r="J59" s="27"/>
      <c r="K59" s="27"/>
      <c r="L59" s="27"/>
      <c r="M59" s="27"/>
      <c r="N59" s="27"/>
      <c r="O59" s="27"/>
      <c r="P59" s="27"/>
      <c r="Q59" s="41">
        <f t="shared" si="1"/>
        <v>0</v>
      </c>
      <c r="R59" s="61">
        <v>0</v>
      </c>
      <c r="S59" s="39"/>
      <c r="T59" s="39"/>
      <c r="U59" s="35"/>
      <c r="V59" s="40"/>
    </row>
    <row r="60" spans="1:22" s="3" customFormat="1" ht="24.95" hidden="1" customHeight="1">
      <c r="A60" s="3" t="s">
        <v>572</v>
      </c>
      <c r="B60" s="3" t="s">
        <v>1049</v>
      </c>
      <c r="D60" s="26" t="s">
        <v>573</v>
      </c>
      <c r="E60" s="27"/>
      <c r="F60" s="27"/>
      <c r="G60" s="27"/>
      <c r="H60" s="27"/>
      <c r="I60" s="27"/>
      <c r="J60" s="27"/>
      <c r="K60" s="27"/>
      <c r="L60" s="27"/>
      <c r="M60" s="27"/>
      <c r="N60" s="27"/>
      <c r="O60" s="27"/>
      <c r="P60" s="27"/>
      <c r="Q60" s="41">
        <f t="shared" si="1"/>
        <v>0</v>
      </c>
      <c r="R60" s="61">
        <v>0</v>
      </c>
      <c r="S60" s="39"/>
      <c r="T60" s="39"/>
      <c r="U60" s="35"/>
      <c r="V60" s="40"/>
    </row>
    <row r="61" spans="1:22" s="3" customFormat="1" ht="24.95" hidden="1" customHeight="1">
      <c r="A61" s="3" t="s">
        <v>574</v>
      </c>
      <c r="B61" s="3" t="s">
        <v>1049</v>
      </c>
      <c r="D61" s="26" t="s">
        <v>575</v>
      </c>
      <c r="E61" s="27"/>
      <c r="F61" s="27"/>
      <c r="G61" s="27"/>
      <c r="H61" s="27"/>
      <c r="I61" s="27"/>
      <c r="J61" s="27"/>
      <c r="K61" s="27"/>
      <c r="L61" s="27"/>
      <c r="M61" s="27"/>
      <c r="N61" s="27"/>
      <c r="O61" s="27"/>
      <c r="P61" s="27"/>
      <c r="Q61" s="41">
        <f t="shared" si="1"/>
        <v>0</v>
      </c>
      <c r="R61" s="61">
        <v>0</v>
      </c>
      <c r="S61" s="39"/>
      <c r="T61" s="39"/>
      <c r="U61" s="35"/>
      <c r="V61" s="40"/>
    </row>
    <row r="62" spans="1:22" s="3" customFormat="1" ht="24.95" hidden="1" customHeight="1">
      <c r="A62" s="3" t="s">
        <v>576</v>
      </c>
      <c r="B62" s="3" t="s">
        <v>1049</v>
      </c>
      <c r="D62" s="26" t="s">
        <v>577</v>
      </c>
      <c r="E62" s="27"/>
      <c r="F62" s="27"/>
      <c r="G62" s="27"/>
      <c r="H62" s="27"/>
      <c r="I62" s="27"/>
      <c r="J62" s="27"/>
      <c r="K62" s="27"/>
      <c r="L62" s="27"/>
      <c r="M62" s="27"/>
      <c r="N62" s="27"/>
      <c r="O62" s="27"/>
      <c r="P62" s="27"/>
      <c r="Q62" s="41">
        <f t="shared" si="1"/>
        <v>0</v>
      </c>
      <c r="R62" s="61">
        <v>0</v>
      </c>
      <c r="S62" s="39"/>
      <c r="T62" s="39"/>
      <c r="U62" s="35"/>
      <c r="V62" s="40"/>
    </row>
    <row r="63" spans="1:22" s="3" customFormat="1" ht="24.95" hidden="1" customHeight="1">
      <c r="A63" s="3" t="s">
        <v>578</v>
      </c>
      <c r="B63" s="3" t="s">
        <v>1049</v>
      </c>
      <c r="D63" s="26" t="s">
        <v>579</v>
      </c>
      <c r="E63" s="27"/>
      <c r="F63" s="27"/>
      <c r="G63" s="27"/>
      <c r="H63" s="27"/>
      <c r="I63" s="27"/>
      <c r="J63" s="27"/>
      <c r="K63" s="27"/>
      <c r="L63" s="27"/>
      <c r="M63" s="27"/>
      <c r="N63" s="27"/>
      <c r="O63" s="27"/>
      <c r="P63" s="27"/>
      <c r="Q63" s="41">
        <f t="shared" si="1"/>
        <v>0</v>
      </c>
      <c r="R63" s="61">
        <v>0</v>
      </c>
      <c r="S63" s="39"/>
      <c r="T63" s="39"/>
      <c r="U63" s="35"/>
      <c r="V63" s="40"/>
    </row>
    <row r="64" spans="1:22" s="3" customFormat="1" ht="24.95" hidden="1" customHeight="1">
      <c r="A64" s="3" t="s">
        <v>580</v>
      </c>
      <c r="B64" s="3" t="s">
        <v>1049</v>
      </c>
      <c r="D64" s="26" t="s">
        <v>581</v>
      </c>
      <c r="E64" s="27"/>
      <c r="F64" s="27"/>
      <c r="G64" s="27"/>
      <c r="H64" s="27"/>
      <c r="I64" s="27"/>
      <c r="J64" s="27"/>
      <c r="K64" s="27"/>
      <c r="L64" s="27"/>
      <c r="M64" s="27"/>
      <c r="N64" s="27"/>
      <c r="O64" s="27"/>
      <c r="P64" s="27"/>
      <c r="Q64" s="41">
        <f t="shared" si="1"/>
        <v>0</v>
      </c>
      <c r="R64" s="61">
        <v>0</v>
      </c>
      <c r="S64" s="39"/>
      <c r="T64" s="39"/>
      <c r="U64" s="35"/>
      <c r="V64" s="40"/>
    </row>
    <row r="65" spans="1:22" s="3" customFormat="1" ht="24.95" hidden="1" customHeight="1">
      <c r="A65" s="3" t="s">
        <v>582</v>
      </c>
      <c r="B65" s="3" t="s">
        <v>1049</v>
      </c>
      <c r="D65" s="26" t="s">
        <v>583</v>
      </c>
      <c r="E65" s="27"/>
      <c r="F65" s="27"/>
      <c r="G65" s="27"/>
      <c r="H65" s="27"/>
      <c r="I65" s="27"/>
      <c r="J65" s="27"/>
      <c r="K65" s="27"/>
      <c r="L65" s="27"/>
      <c r="M65" s="27"/>
      <c r="N65" s="27"/>
      <c r="O65" s="27"/>
      <c r="P65" s="27"/>
      <c r="Q65" s="41">
        <f t="shared" si="1"/>
        <v>0</v>
      </c>
      <c r="R65" s="61">
        <v>0</v>
      </c>
      <c r="S65" s="39"/>
      <c r="T65" s="39"/>
      <c r="U65" s="35"/>
      <c r="V65" s="40"/>
    </row>
    <row r="66" spans="1:22" s="3" customFormat="1" ht="24.95" hidden="1" customHeight="1">
      <c r="A66" s="3" t="s">
        <v>584</v>
      </c>
      <c r="B66" s="3" t="s">
        <v>1049</v>
      </c>
      <c r="D66" s="26" t="s">
        <v>585</v>
      </c>
      <c r="E66" s="27"/>
      <c r="F66" s="27"/>
      <c r="G66" s="27"/>
      <c r="H66" s="27"/>
      <c r="I66" s="27"/>
      <c r="J66" s="27"/>
      <c r="K66" s="27"/>
      <c r="L66" s="27"/>
      <c r="M66" s="27"/>
      <c r="N66" s="27"/>
      <c r="O66" s="27"/>
      <c r="P66" s="27"/>
      <c r="Q66" s="41">
        <f t="shared" si="1"/>
        <v>0</v>
      </c>
      <c r="R66" s="61">
        <v>0</v>
      </c>
      <c r="S66" s="39"/>
      <c r="T66" s="39"/>
      <c r="U66" s="35"/>
      <c r="V66" s="40"/>
    </row>
    <row r="67" spans="1:22" s="3" customFormat="1" ht="24.95" hidden="1" customHeight="1">
      <c r="A67" s="3" t="s">
        <v>586</v>
      </c>
      <c r="B67" s="3" t="s">
        <v>1049</v>
      </c>
      <c r="D67" s="26" t="s">
        <v>587</v>
      </c>
      <c r="E67" s="27"/>
      <c r="F67" s="27"/>
      <c r="G67" s="27"/>
      <c r="H67" s="27"/>
      <c r="I67" s="27"/>
      <c r="J67" s="27"/>
      <c r="K67" s="27"/>
      <c r="L67" s="27"/>
      <c r="M67" s="27"/>
      <c r="N67" s="27"/>
      <c r="O67" s="27"/>
      <c r="P67" s="27"/>
      <c r="Q67" s="41">
        <f t="shared" si="1"/>
        <v>0</v>
      </c>
      <c r="R67" s="61">
        <v>0</v>
      </c>
      <c r="S67" s="39"/>
      <c r="T67" s="39"/>
      <c r="U67" s="35"/>
      <c r="V67" s="40"/>
    </row>
    <row r="68" spans="1:22" s="3" customFormat="1" ht="24.95" hidden="1" customHeight="1">
      <c r="A68" s="3" t="s">
        <v>588</v>
      </c>
      <c r="B68" s="3" t="s">
        <v>1049</v>
      </c>
      <c r="D68" s="26" t="s">
        <v>589</v>
      </c>
      <c r="E68" s="27"/>
      <c r="F68" s="27"/>
      <c r="G68" s="27"/>
      <c r="H68" s="27"/>
      <c r="I68" s="27"/>
      <c r="J68" s="27"/>
      <c r="K68" s="27"/>
      <c r="L68" s="27"/>
      <c r="M68" s="27"/>
      <c r="N68" s="27"/>
      <c r="O68" s="27"/>
      <c r="P68" s="27"/>
      <c r="Q68" s="41">
        <f t="shared" si="1"/>
        <v>0</v>
      </c>
      <c r="R68" s="61">
        <v>3444.02</v>
      </c>
      <c r="S68" s="39"/>
      <c r="T68" s="39"/>
      <c r="U68" s="35"/>
      <c r="V68" s="40"/>
    </row>
    <row r="69" spans="1:22" s="3" customFormat="1" ht="24.95" hidden="1" customHeight="1">
      <c r="A69" s="3" t="s">
        <v>590</v>
      </c>
      <c r="B69" s="3" t="s">
        <v>1049</v>
      </c>
      <c r="D69" s="26" t="s">
        <v>591</v>
      </c>
      <c r="E69" s="27"/>
      <c r="F69" s="27"/>
      <c r="G69" s="27"/>
      <c r="H69" s="27"/>
      <c r="I69" s="27"/>
      <c r="J69" s="27"/>
      <c r="K69" s="27"/>
      <c r="L69" s="27"/>
      <c r="M69" s="27"/>
      <c r="N69" s="27"/>
      <c r="O69" s="27"/>
      <c r="P69" s="27"/>
      <c r="Q69" s="41">
        <f t="shared" si="1"/>
        <v>0</v>
      </c>
      <c r="R69" s="61">
        <v>55055.42</v>
      </c>
      <c r="S69" s="39"/>
      <c r="T69" s="39"/>
      <c r="U69" s="35"/>
      <c r="V69" s="40"/>
    </row>
    <row r="70" spans="1:22" s="3" customFormat="1" ht="24.95" hidden="1" customHeight="1">
      <c r="A70" s="3" t="s">
        <v>592</v>
      </c>
      <c r="B70" s="3" t="s">
        <v>1049</v>
      </c>
      <c r="D70" s="26" t="s">
        <v>593</v>
      </c>
      <c r="E70" s="27"/>
      <c r="F70" s="27"/>
      <c r="G70" s="27"/>
      <c r="H70" s="27"/>
      <c r="I70" s="27"/>
      <c r="J70" s="27"/>
      <c r="K70" s="27"/>
      <c r="L70" s="27"/>
      <c r="M70" s="27"/>
      <c r="N70" s="27"/>
      <c r="O70" s="27"/>
      <c r="P70" s="27"/>
      <c r="Q70" s="41">
        <f t="shared" si="1"/>
        <v>0</v>
      </c>
      <c r="R70" s="61">
        <v>8200.33</v>
      </c>
      <c r="S70" s="39"/>
      <c r="T70" s="39"/>
      <c r="U70" s="35"/>
      <c r="V70" s="40"/>
    </row>
    <row r="71" spans="1:22" s="3" customFormat="1" ht="24.95" hidden="1" customHeight="1">
      <c r="A71" s="3" t="s">
        <v>594</v>
      </c>
      <c r="B71" s="3" t="s">
        <v>1049</v>
      </c>
      <c r="D71" s="26" t="s">
        <v>595</v>
      </c>
      <c r="E71" s="27"/>
      <c r="F71" s="27"/>
      <c r="G71" s="27"/>
      <c r="H71" s="27"/>
      <c r="I71" s="27"/>
      <c r="J71" s="27"/>
      <c r="K71" s="27"/>
      <c r="L71" s="27"/>
      <c r="M71" s="27"/>
      <c r="N71" s="27"/>
      <c r="O71" s="27"/>
      <c r="P71" s="27"/>
      <c r="Q71" s="41">
        <f t="shared" si="1"/>
        <v>0</v>
      </c>
      <c r="R71" s="61">
        <v>524.45000000000005</v>
      </c>
      <c r="S71" s="39"/>
      <c r="T71" s="39"/>
      <c r="U71" s="35"/>
      <c r="V71" s="40"/>
    </row>
    <row r="72" spans="1:22" s="3" customFormat="1" ht="24.95" hidden="1" customHeight="1">
      <c r="A72" s="3" t="s">
        <v>596</v>
      </c>
      <c r="B72" s="3" t="s">
        <v>1049</v>
      </c>
      <c r="D72" s="26" t="s">
        <v>597</v>
      </c>
      <c r="E72" s="27"/>
      <c r="F72" s="27"/>
      <c r="G72" s="27"/>
      <c r="H72" s="27"/>
      <c r="I72" s="27"/>
      <c r="J72" s="27"/>
      <c r="K72" s="27"/>
      <c r="L72" s="27"/>
      <c r="M72" s="27"/>
      <c r="N72" s="27"/>
      <c r="O72" s="27"/>
      <c r="P72" s="27"/>
      <c r="Q72" s="41">
        <f t="shared" si="1"/>
        <v>0</v>
      </c>
      <c r="R72" s="61">
        <v>42093.9</v>
      </c>
      <c r="S72" s="39"/>
      <c r="T72" s="39"/>
      <c r="U72" s="35"/>
      <c r="V72" s="40"/>
    </row>
    <row r="73" spans="1:22" s="3" customFormat="1" ht="24.95" hidden="1" customHeight="1">
      <c r="A73" s="3" t="s">
        <v>598</v>
      </c>
      <c r="B73" s="3" t="s">
        <v>1049</v>
      </c>
      <c r="D73" s="26" t="s">
        <v>599</v>
      </c>
      <c r="E73" s="27"/>
      <c r="F73" s="27"/>
      <c r="G73" s="27"/>
      <c r="H73" s="27"/>
      <c r="I73" s="27"/>
      <c r="J73" s="27"/>
      <c r="K73" s="27"/>
      <c r="L73" s="27"/>
      <c r="M73" s="27"/>
      <c r="N73" s="27"/>
      <c r="O73" s="27"/>
      <c r="P73" s="27"/>
      <c r="Q73" s="41">
        <f t="shared" si="1"/>
        <v>0</v>
      </c>
      <c r="R73" s="61">
        <v>0</v>
      </c>
      <c r="S73" s="39"/>
      <c r="T73" s="39"/>
      <c r="U73" s="35"/>
      <c r="V73" s="40"/>
    </row>
    <row r="74" spans="1:22" s="3" customFormat="1" ht="24.95" hidden="1" customHeight="1">
      <c r="A74" s="3" t="s">
        <v>600</v>
      </c>
      <c r="B74" s="3" t="s">
        <v>1049</v>
      </c>
      <c r="D74" s="26" t="s">
        <v>601</v>
      </c>
      <c r="E74" s="27"/>
      <c r="F74" s="27"/>
      <c r="G74" s="27"/>
      <c r="H74" s="27"/>
      <c r="I74" s="27"/>
      <c r="J74" s="27"/>
      <c r="K74" s="27"/>
      <c r="L74" s="27"/>
      <c r="M74" s="27"/>
      <c r="N74" s="27"/>
      <c r="O74" s="27"/>
      <c r="P74" s="27"/>
      <c r="Q74" s="41">
        <f t="shared" si="1"/>
        <v>0</v>
      </c>
      <c r="R74" s="61">
        <v>10480</v>
      </c>
      <c r="S74" s="39"/>
      <c r="T74" s="39"/>
      <c r="U74" s="35"/>
      <c r="V74" s="40"/>
    </row>
    <row r="75" spans="1:22" s="3" customFormat="1" ht="24.95" hidden="1" customHeight="1">
      <c r="A75" s="3" t="s">
        <v>602</v>
      </c>
      <c r="B75" s="3" t="s">
        <v>1049</v>
      </c>
      <c r="D75" s="26" t="s">
        <v>603</v>
      </c>
      <c r="E75" s="27"/>
      <c r="F75" s="27"/>
      <c r="G75" s="27"/>
      <c r="H75" s="27"/>
      <c r="I75" s="27"/>
      <c r="J75" s="27"/>
      <c r="K75" s="27"/>
      <c r="L75" s="27"/>
      <c r="M75" s="27"/>
      <c r="N75" s="27"/>
      <c r="O75" s="27"/>
      <c r="P75" s="27"/>
      <c r="Q75" s="41">
        <f t="shared" si="1"/>
        <v>0</v>
      </c>
      <c r="R75" s="61">
        <v>254898.44</v>
      </c>
      <c r="S75" s="39"/>
      <c r="T75" s="39"/>
      <c r="U75" s="35"/>
      <c r="V75" s="40"/>
    </row>
    <row r="76" spans="1:22" s="3" customFormat="1" ht="24.95" hidden="1" customHeight="1">
      <c r="A76" s="3" t="s">
        <v>604</v>
      </c>
      <c r="B76" s="3" t="s">
        <v>1049</v>
      </c>
      <c r="D76" s="26" t="s">
        <v>605</v>
      </c>
      <c r="E76" s="27"/>
      <c r="F76" s="27"/>
      <c r="G76" s="27"/>
      <c r="H76" s="27"/>
      <c r="I76" s="27"/>
      <c r="J76" s="27"/>
      <c r="K76" s="27"/>
      <c r="L76" s="27"/>
      <c r="M76" s="27"/>
      <c r="N76" s="27"/>
      <c r="O76" s="27"/>
      <c r="P76" s="27"/>
      <c r="Q76" s="41">
        <f t="shared" si="1"/>
        <v>0</v>
      </c>
      <c r="R76" s="61">
        <v>0</v>
      </c>
      <c r="S76" s="39"/>
      <c r="T76" s="39"/>
      <c r="U76" s="35"/>
      <c r="V76" s="40"/>
    </row>
    <row r="77" spans="1:22" s="3" customFormat="1" ht="24.95" hidden="1" customHeight="1">
      <c r="A77" s="3" t="s">
        <v>606</v>
      </c>
      <c r="B77" s="3" t="s">
        <v>1049</v>
      </c>
      <c r="D77" s="26" t="s">
        <v>607</v>
      </c>
      <c r="E77" s="27"/>
      <c r="F77" s="27"/>
      <c r="G77" s="27"/>
      <c r="H77" s="27"/>
      <c r="I77" s="27"/>
      <c r="J77" s="27"/>
      <c r="K77" s="27"/>
      <c r="L77" s="27"/>
      <c r="M77" s="27"/>
      <c r="N77" s="27"/>
      <c r="O77" s="27"/>
      <c r="P77" s="27"/>
      <c r="Q77" s="41">
        <f t="shared" si="1"/>
        <v>0</v>
      </c>
      <c r="R77" s="61">
        <v>0</v>
      </c>
      <c r="S77" s="39"/>
      <c r="T77" s="39"/>
      <c r="U77" s="35"/>
      <c r="V77" s="40"/>
    </row>
    <row r="78" spans="1:22" s="3" customFormat="1" ht="24.95" hidden="1" customHeight="1">
      <c r="A78" s="3" t="s">
        <v>608</v>
      </c>
      <c r="B78" s="3" t="s">
        <v>1049</v>
      </c>
      <c r="D78" s="26" t="s">
        <v>609</v>
      </c>
      <c r="E78" s="27"/>
      <c r="F78" s="27"/>
      <c r="G78" s="27"/>
      <c r="H78" s="27"/>
      <c r="I78" s="27"/>
      <c r="J78" s="27"/>
      <c r="K78" s="27"/>
      <c r="L78" s="27"/>
      <c r="M78" s="27"/>
      <c r="N78" s="27"/>
      <c r="O78" s="27"/>
      <c r="P78" s="27"/>
      <c r="Q78" s="41">
        <f t="shared" si="1"/>
        <v>0</v>
      </c>
      <c r="R78" s="61">
        <v>0</v>
      </c>
      <c r="S78" s="39"/>
      <c r="T78" s="39"/>
      <c r="U78" s="35"/>
      <c r="V78" s="40"/>
    </row>
    <row r="79" spans="1:22" s="3" customFormat="1" ht="24.95" hidden="1" customHeight="1">
      <c r="A79" s="3" t="s">
        <v>865</v>
      </c>
      <c r="B79" s="3" t="s">
        <v>1049</v>
      </c>
      <c r="D79" s="26" t="s">
        <v>866</v>
      </c>
      <c r="E79" s="27"/>
      <c r="F79" s="27"/>
      <c r="G79" s="27"/>
      <c r="H79" s="27"/>
      <c r="I79" s="27"/>
      <c r="J79" s="27"/>
      <c r="K79" s="27"/>
      <c r="L79" s="27"/>
      <c r="M79" s="27"/>
      <c r="N79" s="27"/>
      <c r="O79" s="27"/>
      <c r="P79" s="27"/>
      <c r="Q79" s="41">
        <f t="shared" si="1"/>
        <v>0</v>
      </c>
      <c r="R79" s="61">
        <v>0</v>
      </c>
      <c r="S79" s="39"/>
      <c r="T79" s="39"/>
      <c r="U79" s="35"/>
      <c r="V79" s="40"/>
    </row>
    <row r="80" spans="1:22" s="3" customFormat="1" ht="24.95" hidden="1" customHeight="1">
      <c r="A80" s="3" t="s">
        <v>867</v>
      </c>
      <c r="B80" s="3" t="s">
        <v>1049</v>
      </c>
      <c r="D80" s="26" t="s">
        <v>868</v>
      </c>
      <c r="E80" s="27"/>
      <c r="F80" s="27"/>
      <c r="G80" s="27"/>
      <c r="H80" s="27"/>
      <c r="I80" s="27"/>
      <c r="J80" s="27"/>
      <c r="K80" s="27"/>
      <c r="L80" s="27"/>
      <c r="M80" s="27"/>
      <c r="N80" s="27"/>
      <c r="O80" s="27"/>
      <c r="P80" s="27"/>
      <c r="Q80" s="41">
        <f t="shared" ref="Q80:Q143" si="2">SUM(E80:P80)</f>
        <v>0</v>
      </c>
      <c r="R80" s="61">
        <v>0</v>
      </c>
      <c r="S80" s="39"/>
      <c r="T80" s="39"/>
      <c r="U80" s="35"/>
      <c r="V80" s="40"/>
    </row>
    <row r="81" spans="1:22" s="3" customFormat="1" ht="24.95" hidden="1" customHeight="1">
      <c r="A81" s="3" t="s">
        <v>869</v>
      </c>
      <c r="B81" s="3" t="s">
        <v>1049</v>
      </c>
      <c r="D81" s="26" t="s">
        <v>870</v>
      </c>
      <c r="E81" s="27"/>
      <c r="F81" s="27"/>
      <c r="G81" s="27"/>
      <c r="H81" s="27"/>
      <c r="I81" s="27"/>
      <c r="J81" s="27"/>
      <c r="K81" s="27"/>
      <c r="L81" s="27"/>
      <c r="M81" s="27"/>
      <c r="N81" s="27"/>
      <c r="O81" s="27"/>
      <c r="P81" s="27"/>
      <c r="Q81" s="41">
        <f t="shared" si="2"/>
        <v>0</v>
      </c>
      <c r="R81" s="61">
        <v>0</v>
      </c>
      <c r="S81" s="39"/>
      <c r="T81" s="39"/>
      <c r="U81" s="35"/>
      <c r="V81" s="40"/>
    </row>
    <row r="82" spans="1:22" s="3" customFormat="1" ht="24.95" hidden="1" customHeight="1">
      <c r="A82" s="3" t="s">
        <v>871</v>
      </c>
      <c r="B82" s="3" t="s">
        <v>1049</v>
      </c>
      <c r="D82" s="26" t="s">
        <v>872</v>
      </c>
      <c r="E82" s="27"/>
      <c r="F82" s="27"/>
      <c r="G82" s="27"/>
      <c r="H82" s="27"/>
      <c r="I82" s="27"/>
      <c r="J82" s="27"/>
      <c r="K82" s="27"/>
      <c r="L82" s="27"/>
      <c r="M82" s="27"/>
      <c r="N82" s="27"/>
      <c r="O82" s="27"/>
      <c r="P82" s="27"/>
      <c r="Q82" s="41">
        <f t="shared" si="2"/>
        <v>0</v>
      </c>
      <c r="R82" s="61">
        <v>0</v>
      </c>
      <c r="S82" s="39"/>
      <c r="T82" s="39"/>
      <c r="U82" s="35"/>
      <c r="V82" s="40"/>
    </row>
    <row r="83" spans="1:22" s="3" customFormat="1" ht="24.95" hidden="1" customHeight="1">
      <c r="A83" s="3" t="s">
        <v>873</v>
      </c>
      <c r="B83" s="3" t="s">
        <v>1049</v>
      </c>
      <c r="D83" s="26" t="s">
        <v>874</v>
      </c>
      <c r="E83" s="27"/>
      <c r="F83" s="27"/>
      <c r="G83" s="27"/>
      <c r="H83" s="27"/>
      <c r="I83" s="27"/>
      <c r="J83" s="27"/>
      <c r="K83" s="27"/>
      <c r="L83" s="27"/>
      <c r="M83" s="27"/>
      <c r="N83" s="27"/>
      <c r="O83" s="27"/>
      <c r="P83" s="27"/>
      <c r="Q83" s="41">
        <f t="shared" si="2"/>
        <v>0</v>
      </c>
      <c r="R83" s="61">
        <v>0</v>
      </c>
      <c r="S83" s="39"/>
      <c r="T83" s="39"/>
      <c r="U83" s="35"/>
      <c r="V83" s="40"/>
    </row>
    <row r="84" spans="1:22" s="3" customFormat="1" ht="24.95" hidden="1" customHeight="1">
      <c r="A84" s="3" t="s">
        <v>875</v>
      </c>
      <c r="B84" s="3" t="s">
        <v>1049</v>
      </c>
      <c r="D84" s="26" t="s">
        <v>876</v>
      </c>
      <c r="E84" s="27"/>
      <c r="F84" s="27"/>
      <c r="G84" s="27"/>
      <c r="H84" s="27"/>
      <c r="I84" s="27"/>
      <c r="J84" s="27"/>
      <c r="K84" s="27"/>
      <c r="L84" s="27"/>
      <c r="M84" s="27"/>
      <c r="N84" s="27"/>
      <c r="O84" s="27"/>
      <c r="P84" s="27"/>
      <c r="Q84" s="41">
        <f t="shared" si="2"/>
        <v>0</v>
      </c>
      <c r="R84" s="61">
        <v>0</v>
      </c>
      <c r="S84" s="39"/>
      <c r="T84" s="39"/>
      <c r="U84" s="35"/>
      <c r="V84" s="40"/>
    </row>
    <row r="85" spans="1:22" s="3" customFormat="1" ht="24.95" hidden="1" customHeight="1">
      <c r="A85" s="3" t="s">
        <v>877</v>
      </c>
      <c r="B85" s="3" t="s">
        <v>1049</v>
      </c>
      <c r="D85" s="26" t="s">
        <v>878</v>
      </c>
      <c r="E85" s="27"/>
      <c r="F85" s="27"/>
      <c r="G85" s="27"/>
      <c r="H85" s="27"/>
      <c r="I85" s="27"/>
      <c r="J85" s="27"/>
      <c r="K85" s="27"/>
      <c r="L85" s="27"/>
      <c r="M85" s="27"/>
      <c r="N85" s="27"/>
      <c r="O85" s="27"/>
      <c r="P85" s="27"/>
      <c r="Q85" s="41">
        <f t="shared" si="2"/>
        <v>0</v>
      </c>
      <c r="R85" s="61">
        <v>0</v>
      </c>
      <c r="S85" s="39"/>
      <c r="T85" s="39"/>
      <c r="U85" s="35"/>
      <c r="V85" s="40"/>
    </row>
    <row r="86" spans="1:22" s="3" customFormat="1" ht="24.95" hidden="1" customHeight="1">
      <c r="A86" s="3" t="s">
        <v>879</v>
      </c>
      <c r="B86" s="3" t="s">
        <v>1049</v>
      </c>
      <c r="D86" s="26" t="s">
        <v>880</v>
      </c>
      <c r="E86" s="27"/>
      <c r="F86" s="27"/>
      <c r="G86" s="27"/>
      <c r="H86" s="27"/>
      <c r="I86" s="27"/>
      <c r="J86" s="27"/>
      <c r="K86" s="27"/>
      <c r="L86" s="27"/>
      <c r="M86" s="27"/>
      <c r="N86" s="27"/>
      <c r="O86" s="27"/>
      <c r="P86" s="27"/>
      <c r="Q86" s="41">
        <f t="shared" si="2"/>
        <v>0</v>
      </c>
      <c r="R86" s="61">
        <v>0</v>
      </c>
      <c r="S86" s="39"/>
      <c r="T86" s="39"/>
      <c r="U86" s="35"/>
      <c r="V86" s="40"/>
    </row>
    <row r="87" spans="1:22" s="3" customFormat="1" ht="24.95" hidden="1" customHeight="1">
      <c r="A87" s="3" t="s">
        <v>881</v>
      </c>
      <c r="B87" s="3" t="s">
        <v>1049</v>
      </c>
      <c r="D87" s="26" t="s">
        <v>882</v>
      </c>
      <c r="E87" s="27"/>
      <c r="F87" s="27"/>
      <c r="G87" s="27"/>
      <c r="H87" s="27"/>
      <c r="I87" s="27"/>
      <c r="J87" s="27"/>
      <c r="K87" s="27"/>
      <c r="L87" s="27"/>
      <c r="M87" s="27"/>
      <c r="N87" s="27"/>
      <c r="O87" s="27"/>
      <c r="P87" s="27"/>
      <c r="Q87" s="41">
        <f t="shared" si="2"/>
        <v>0</v>
      </c>
      <c r="R87" s="61">
        <v>0</v>
      </c>
      <c r="S87" s="39"/>
      <c r="T87" s="39"/>
      <c r="U87" s="35"/>
      <c r="V87" s="40"/>
    </row>
    <row r="88" spans="1:22" s="3" customFormat="1" ht="24.95" hidden="1" customHeight="1">
      <c r="A88" s="3" t="s">
        <v>268</v>
      </c>
      <c r="B88" s="3" t="s">
        <v>1049</v>
      </c>
      <c r="D88" s="26" t="s">
        <v>269</v>
      </c>
      <c r="E88" s="27"/>
      <c r="F88" s="27"/>
      <c r="G88" s="27"/>
      <c r="H88" s="27"/>
      <c r="I88" s="27"/>
      <c r="J88" s="27"/>
      <c r="K88" s="27"/>
      <c r="L88" s="27"/>
      <c r="M88" s="27"/>
      <c r="N88" s="27"/>
      <c r="O88" s="27"/>
      <c r="P88" s="27"/>
      <c r="Q88" s="41">
        <f t="shared" si="2"/>
        <v>0</v>
      </c>
      <c r="R88" s="61">
        <v>0</v>
      </c>
      <c r="S88" s="39"/>
      <c r="T88" s="39"/>
      <c r="U88" s="35"/>
      <c r="V88" s="40"/>
    </row>
    <row r="89" spans="1:22" s="3" customFormat="1" ht="24.95" hidden="1" customHeight="1">
      <c r="A89" s="3" t="s">
        <v>883</v>
      </c>
      <c r="B89" s="3" t="s">
        <v>1049</v>
      </c>
      <c r="D89" s="26" t="s">
        <v>884</v>
      </c>
      <c r="E89" s="27"/>
      <c r="F89" s="27"/>
      <c r="G89" s="27"/>
      <c r="H89" s="27"/>
      <c r="I89" s="27"/>
      <c r="J89" s="27"/>
      <c r="K89" s="27"/>
      <c r="L89" s="27"/>
      <c r="M89" s="27"/>
      <c r="N89" s="27"/>
      <c r="O89" s="27"/>
      <c r="P89" s="27"/>
      <c r="Q89" s="41">
        <f t="shared" si="2"/>
        <v>0</v>
      </c>
      <c r="R89" s="61">
        <v>0</v>
      </c>
      <c r="S89" s="39"/>
      <c r="T89" s="39"/>
      <c r="U89" s="35"/>
      <c r="V89" s="40"/>
    </row>
    <row r="90" spans="1:22" s="3" customFormat="1" ht="24.95" hidden="1" customHeight="1">
      <c r="A90" s="3" t="s">
        <v>270</v>
      </c>
      <c r="B90" s="3" t="s">
        <v>1049</v>
      </c>
      <c r="D90" s="26" t="s">
        <v>271</v>
      </c>
      <c r="E90" s="27"/>
      <c r="F90" s="27"/>
      <c r="G90" s="27"/>
      <c r="H90" s="27"/>
      <c r="I90" s="27"/>
      <c r="J90" s="27"/>
      <c r="K90" s="27"/>
      <c r="L90" s="27"/>
      <c r="M90" s="27"/>
      <c r="N90" s="27"/>
      <c r="O90" s="27"/>
      <c r="P90" s="27"/>
      <c r="Q90" s="41">
        <f t="shared" si="2"/>
        <v>0</v>
      </c>
      <c r="R90" s="61">
        <v>0</v>
      </c>
      <c r="S90" s="39"/>
      <c r="T90" s="39"/>
      <c r="U90" s="35"/>
      <c r="V90" s="40"/>
    </row>
    <row r="91" spans="1:22" s="3" customFormat="1" ht="24.95" hidden="1" customHeight="1">
      <c r="A91" s="3" t="s">
        <v>885</v>
      </c>
      <c r="B91" s="3" t="s">
        <v>1049</v>
      </c>
      <c r="D91" s="26" t="s">
        <v>886</v>
      </c>
      <c r="E91" s="27"/>
      <c r="F91" s="27"/>
      <c r="G91" s="27"/>
      <c r="H91" s="27"/>
      <c r="I91" s="27"/>
      <c r="J91" s="27"/>
      <c r="K91" s="27"/>
      <c r="L91" s="27"/>
      <c r="M91" s="27"/>
      <c r="N91" s="27"/>
      <c r="O91" s="27"/>
      <c r="P91" s="27"/>
      <c r="Q91" s="41">
        <f t="shared" si="2"/>
        <v>0</v>
      </c>
      <c r="R91" s="61">
        <v>0</v>
      </c>
      <c r="S91" s="39"/>
      <c r="T91" s="39"/>
      <c r="U91" s="35"/>
      <c r="V91" s="40"/>
    </row>
    <row r="92" spans="1:22" s="3" customFormat="1" ht="24.95" hidden="1" customHeight="1">
      <c r="A92" s="3" t="s">
        <v>887</v>
      </c>
      <c r="B92" s="3" t="s">
        <v>1049</v>
      </c>
      <c r="D92" s="26" t="s">
        <v>888</v>
      </c>
      <c r="E92" s="27"/>
      <c r="F92" s="27"/>
      <c r="G92" s="27"/>
      <c r="H92" s="27"/>
      <c r="I92" s="27"/>
      <c r="J92" s="27"/>
      <c r="K92" s="27"/>
      <c r="L92" s="27"/>
      <c r="M92" s="27"/>
      <c r="N92" s="27"/>
      <c r="O92" s="27"/>
      <c r="P92" s="27"/>
      <c r="Q92" s="41">
        <f t="shared" si="2"/>
        <v>0</v>
      </c>
      <c r="R92" s="61">
        <v>0</v>
      </c>
      <c r="S92" s="39"/>
      <c r="T92" s="39"/>
      <c r="U92" s="35"/>
      <c r="V92" s="40"/>
    </row>
    <row r="93" spans="1:22" s="3" customFormat="1" ht="24.95" hidden="1" customHeight="1">
      <c r="A93" s="3" t="s">
        <v>889</v>
      </c>
      <c r="B93" s="3" t="s">
        <v>1049</v>
      </c>
      <c r="D93" s="26" t="s">
        <v>890</v>
      </c>
      <c r="E93" s="27"/>
      <c r="F93" s="27"/>
      <c r="G93" s="27"/>
      <c r="H93" s="27"/>
      <c r="I93" s="27"/>
      <c r="J93" s="27"/>
      <c r="K93" s="27"/>
      <c r="L93" s="27"/>
      <c r="M93" s="27"/>
      <c r="N93" s="27"/>
      <c r="O93" s="27"/>
      <c r="P93" s="27"/>
      <c r="Q93" s="41">
        <f t="shared" si="2"/>
        <v>0</v>
      </c>
      <c r="R93" s="61">
        <v>0</v>
      </c>
      <c r="S93" s="39"/>
      <c r="T93" s="39"/>
      <c r="U93" s="35"/>
      <c r="V93" s="40"/>
    </row>
    <row r="94" spans="1:22" s="3" customFormat="1" ht="24.95" hidden="1" customHeight="1">
      <c r="A94" s="3" t="s">
        <v>891</v>
      </c>
      <c r="B94" s="3" t="s">
        <v>1049</v>
      </c>
      <c r="D94" s="26" t="s">
        <v>892</v>
      </c>
      <c r="E94" s="27"/>
      <c r="F94" s="27"/>
      <c r="G94" s="27"/>
      <c r="H94" s="27"/>
      <c r="I94" s="27"/>
      <c r="J94" s="27"/>
      <c r="K94" s="27"/>
      <c r="L94" s="27"/>
      <c r="M94" s="27"/>
      <c r="N94" s="27"/>
      <c r="O94" s="27"/>
      <c r="P94" s="27"/>
      <c r="Q94" s="41">
        <f t="shared" si="2"/>
        <v>0</v>
      </c>
      <c r="R94" s="61">
        <v>0</v>
      </c>
      <c r="S94" s="39"/>
      <c r="T94" s="39"/>
      <c r="U94" s="35"/>
      <c r="V94" s="40"/>
    </row>
    <row r="95" spans="1:22" s="3" customFormat="1" ht="24.95" hidden="1" customHeight="1">
      <c r="A95" s="3" t="s">
        <v>893</v>
      </c>
      <c r="B95" s="3" t="s">
        <v>1049</v>
      </c>
      <c r="D95" s="26" t="s">
        <v>894</v>
      </c>
      <c r="E95" s="27"/>
      <c r="F95" s="27"/>
      <c r="G95" s="27"/>
      <c r="H95" s="27"/>
      <c r="I95" s="27"/>
      <c r="J95" s="27"/>
      <c r="K95" s="27"/>
      <c r="L95" s="27"/>
      <c r="M95" s="27"/>
      <c r="N95" s="27"/>
      <c r="O95" s="27"/>
      <c r="P95" s="27"/>
      <c r="Q95" s="41">
        <f t="shared" si="2"/>
        <v>0</v>
      </c>
      <c r="R95" s="61">
        <v>0</v>
      </c>
      <c r="S95" s="39"/>
      <c r="T95" s="39"/>
      <c r="U95" s="35"/>
      <c r="V95" s="40"/>
    </row>
    <row r="96" spans="1:22" s="3" customFormat="1" ht="24.95" hidden="1" customHeight="1">
      <c r="A96" s="3" t="s">
        <v>895</v>
      </c>
      <c r="B96" s="3" t="s">
        <v>1049</v>
      </c>
      <c r="D96" s="26" t="s">
        <v>896</v>
      </c>
      <c r="E96" s="27"/>
      <c r="F96" s="27"/>
      <c r="G96" s="27"/>
      <c r="H96" s="27"/>
      <c r="I96" s="27"/>
      <c r="J96" s="27"/>
      <c r="K96" s="27"/>
      <c r="L96" s="27"/>
      <c r="M96" s="27"/>
      <c r="N96" s="27"/>
      <c r="O96" s="27"/>
      <c r="P96" s="27"/>
      <c r="Q96" s="41">
        <f t="shared" si="2"/>
        <v>0</v>
      </c>
      <c r="R96" s="61">
        <v>0</v>
      </c>
      <c r="S96" s="39"/>
      <c r="T96" s="39"/>
      <c r="U96" s="35"/>
      <c r="V96" s="40"/>
    </row>
    <row r="97" spans="1:22" s="3" customFormat="1" ht="24.95" hidden="1" customHeight="1">
      <c r="A97" s="3" t="s">
        <v>897</v>
      </c>
      <c r="B97" s="3" t="s">
        <v>1049</v>
      </c>
      <c r="D97" s="26" t="s">
        <v>898</v>
      </c>
      <c r="E97" s="27"/>
      <c r="F97" s="27"/>
      <c r="G97" s="27"/>
      <c r="H97" s="27"/>
      <c r="I97" s="27"/>
      <c r="J97" s="27"/>
      <c r="K97" s="27"/>
      <c r="L97" s="27"/>
      <c r="M97" s="27"/>
      <c r="N97" s="27"/>
      <c r="O97" s="27"/>
      <c r="P97" s="27"/>
      <c r="Q97" s="41">
        <f t="shared" si="2"/>
        <v>0</v>
      </c>
      <c r="R97" s="61">
        <v>0</v>
      </c>
      <c r="S97" s="39"/>
      <c r="T97" s="39"/>
      <c r="U97" s="35"/>
      <c r="V97" s="40"/>
    </row>
    <row r="98" spans="1:22" s="3" customFormat="1" ht="24.95" hidden="1" customHeight="1">
      <c r="A98" s="3" t="s">
        <v>899</v>
      </c>
      <c r="B98" s="3" t="s">
        <v>1049</v>
      </c>
      <c r="D98" s="26" t="s">
        <v>900</v>
      </c>
      <c r="E98" s="27"/>
      <c r="F98" s="27"/>
      <c r="G98" s="27"/>
      <c r="H98" s="27"/>
      <c r="I98" s="27"/>
      <c r="J98" s="27"/>
      <c r="K98" s="27"/>
      <c r="L98" s="27"/>
      <c r="M98" s="27"/>
      <c r="N98" s="27"/>
      <c r="O98" s="27"/>
      <c r="P98" s="27"/>
      <c r="Q98" s="41">
        <f t="shared" si="2"/>
        <v>0</v>
      </c>
      <c r="R98" s="61">
        <v>0</v>
      </c>
      <c r="S98" s="39"/>
      <c r="T98" s="39"/>
      <c r="U98" s="35"/>
      <c r="V98" s="40"/>
    </row>
    <row r="99" spans="1:22" s="3" customFormat="1" ht="24.95" hidden="1" customHeight="1">
      <c r="A99" s="3" t="s">
        <v>901</v>
      </c>
      <c r="B99" s="3" t="s">
        <v>1049</v>
      </c>
      <c r="D99" s="26" t="s">
        <v>902</v>
      </c>
      <c r="E99" s="27"/>
      <c r="F99" s="27"/>
      <c r="G99" s="27"/>
      <c r="H99" s="27"/>
      <c r="I99" s="27"/>
      <c r="J99" s="27"/>
      <c r="K99" s="27"/>
      <c r="L99" s="27"/>
      <c r="M99" s="27"/>
      <c r="N99" s="27"/>
      <c r="O99" s="27"/>
      <c r="P99" s="27"/>
      <c r="Q99" s="41">
        <f t="shared" si="2"/>
        <v>0</v>
      </c>
      <c r="R99" s="61">
        <v>0</v>
      </c>
      <c r="S99" s="39"/>
      <c r="T99" s="39"/>
      <c r="U99" s="35"/>
      <c r="V99" s="40"/>
    </row>
    <row r="100" spans="1:22" s="3" customFormat="1" ht="24.95" hidden="1" customHeight="1">
      <c r="A100" s="3" t="s">
        <v>903</v>
      </c>
      <c r="B100" s="3" t="s">
        <v>1049</v>
      </c>
      <c r="D100" s="26" t="s">
        <v>904</v>
      </c>
      <c r="E100" s="27"/>
      <c r="F100" s="27"/>
      <c r="G100" s="27"/>
      <c r="H100" s="27"/>
      <c r="I100" s="27"/>
      <c r="J100" s="27"/>
      <c r="K100" s="27"/>
      <c r="L100" s="27"/>
      <c r="M100" s="27"/>
      <c r="N100" s="27"/>
      <c r="O100" s="27"/>
      <c r="P100" s="27"/>
      <c r="Q100" s="41">
        <f t="shared" si="2"/>
        <v>0</v>
      </c>
      <c r="R100" s="61">
        <v>0</v>
      </c>
      <c r="S100" s="39"/>
      <c r="T100" s="39"/>
      <c r="U100" s="35"/>
      <c r="V100" s="40"/>
    </row>
    <row r="101" spans="1:22" s="3" customFormat="1" ht="24.95" hidden="1" customHeight="1">
      <c r="A101" s="3" t="s">
        <v>905</v>
      </c>
      <c r="B101" s="3" t="s">
        <v>1049</v>
      </c>
      <c r="D101" s="26" t="s">
        <v>906</v>
      </c>
      <c r="E101" s="27"/>
      <c r="F101" s="27"/>
      <c r="G101" s="27"/>
      <c r="H101" s="27"/>
      <c r="I101" s="27"/>
      <c r="J101" s="27"/>
      <c r="K101" s="27"/>
      <c r="L101" s="27"/>
      <c r="M101" s="27"/>
      <c r="N101" s="27"/>
      <c r="O101" s="27"/>
      <c r="P101" s="27"/>
      <c r="Q101" s="41">
        <f t="shared" si="2"/>
        <v>0</v>
      </c>
      <c r="R101" s="61">
        <v>0</v>
      </c>
      <c r="S101" s="39"/>
      <c r="T101" s="39"/>
      <c r="U101" s="35"/>
      <c r="V101" s="40"/>
    </row>
    <row r="102" spans="1:22" s="3" customFormat="1" ht="24.95" hidden="1" customHeight="1">
      <c r="A102" s="3" t="s">
        <v>907</v>
      </c>
      <c r="B102" s="3" t="s">
        <v>1049</v>
      </c>
      <c r="D102" s="26" t="s">
        <v>908</v>
      </c>
      <c r="E102" s="27"/>
      <c r="F102" s="27"/>
      <c r="G102" s="27"/>
      <c r="H102" s="27"/>
      <c r="I102" s="27"/>
      <c r="J102" s="27"/>
      <c r="K102" s="27"/>
      <c r="L102" s="27"/>
      <c r="M102" s="27"/>
      <c r="N102" s="27"/>
      <c r="O102" s="27"/>
      <c r="P102" s="27"/>
      <c r="Q102" s="41">
        <f t="shared" si="2"/>
        <v>0</v>
      </c>
      <c r="R102" s="61">
        <v>0</v>
      </c>
      <c r="S102" s="39"/>
      <c r="T102" s="39"/>
      <c r="U102" s="35"/>
      <c r="V102" s="40"/>
    </row>
    <row r="103" spans="1:22" s="3" customFormat="1" ht="24.95" hidden="1" customHeight="1">
      <c r="A103" s="3" t="s">
        <v>909</v>
      </c>
      <c r="B103" s="3" t="s">
        <v>1049</v>
      </c>
      <c r="D103" s="26" t="s">
        <v>910</v>
      </c>
      <c r="E103" s="27"/>
      <c r="F103" s="27"/>
      <c r="G103" s="27"/>
      <c r="H103" s="27"/>
      <c r="I103" s="27"/>
      <c r="J103" s="27"/>
      <c r="K103" s="27"/>
      <c r="L103" s="27"/>
      <c r="M103" s="27"/>
      <c r="N103" s="27"/>
      <c r="O103" s="27"/>
      <c r="P103" s="27"/>
      <c r="Q103" s="41">
        <f t="shared" si="2"/>
        <v>0</v>
      </c>
      <c r="R103" s="61">
        <v>0</v>
      </c>
      <c r="S103" s="39"/>
      <c r="T103" s="39"/>
      <c r="U103" s="35"/>
      <c r="V103" s="40"/>
    </row>
    <row r="104" spans="1:22" s="3" customFormat="1" ht="24.95" hidden="1" customHeight="1">
      <c r="A104" s="3" t="s">
        <v>911</v>
      </c>
      <c r="B104" s="3" t="s">
        <v>1049</v>
      </c>
      <c r="D104" s="26" t="s">
        <v>912</v>
      </c>
      <c r="E104" s="27"/>
      <c r="F104" s="27"/>
      <c r="G104" s="27"/>
      <c r="H104" s="27"/>
      <c r="I104" s="27"/>
      <c r="J104" s="27"/>
      <c r="K104" s="27"/>
      <c r="L104" s="27"/>
      <c r="M104" s="27"/>
      <c r="N104" s="27"/>
      <c r="O104" s="27"/>
      <c r="P104" s="27"/>
      <c r="Q104" s="41">
        <f t="shared" si="2"/>
        <v>0</v>
      </c>
      <c r="R104" s="61">
        <v>0</v>
      </c>
      <c r="S104" s="39"/>
      <c r="T104" s="39"/>
      <c r="U104" s="35"/>
      <c r="V104" s="40"/>
    </row>
    <row r="105" spans="1:22" s="3" customFormat="1" ht="24.95" hidden="1" customHeight="1">
      <c r="A105" s="3" t="s">
        <v>913</v>
      </c>
      <c r="B105" s="3" t="s">
        <v>1049</v>
      </c>
      <c r="D105" s="26" t="s">
        <v>914</v>
      </c>
      <c r="E105" s="27"/>
      <c r="F105" s="27"/>
      <c r="G105" s="27"/>
      <c r="H105" s="27"/>
      <c r="I105" s="27"/>
      <c r="J105" s="27"/>
      <c r="K105" s="27"/>
      <c r="L105" s="27"/>
      <c r="M105" s="27"/>
      <c r="N105" s="27"/>
      <c r="O105" s="27"/>
      <c r="P105" s="27"/>
      <c r="Q105" s="41">
        <f t="shared" si="2"/>
        <v>0</v>
      </c>
      <c r="R105" s="61">
        <v>0</v>
      </c>
      <c r="S105" s="39"/>
      <c r="T105" s="39"/>
      <c r="U105" s="35"/>
      <c r="V105" s="40"/>
    </row>
    <row r="106" spans="1:22" s="3" customFormat="1" ht="24.95" hidden="1" customHeight="1">
      <c r="A106" s="3" t="s">
        <v>915</v>
      </c>
      <c r="B106" s="3" t="s">
        <v>1049</v>
      </c>
      <c r="D106" s="26" t="s">
        <v>916</v>
      </c>
      <c r="E106" s="27"/>
      <c r="F106" s="27"/>
      <c r="G106" s="27"/>
      <c r="H106" s="27"/>
      <c r="I106" s="27"/>
      <c r="J106" s="27"/>
      <c r="K106" s="27"/>
      <c r="L106" s="27"/>
      <c r="M106" s="27"/>
      <c r="N106" s="27"/>
      <c r="O106" s="27"/>
      <c r="P106" s="27"/>
      <c r="Q106" s="41">
        <f t="shared" si="2"/>
        <v>0</v>
      </c>
      <c r="R106" s="61">
        <v>0</v>
      </c>
      <c r="S106" s="39"/>
      <c r="T106" s="39"/>
      <c r="U106" s="35"/>
      <c r="V106" s="40"/>
    </row>
    <row r="107" spans="1:22" s="3" customFormat="1" ht="24.95" hidden="1" customHeight="1">
      <c r="A107" s="3" t="s">
        <v>917</v>
      </c>
      <c r="B107" s="3" t="s">
        <v>1049</v>
      </c>
      <c r="D107" s="26" t="s">
        <v>918</v>
      </c>
      <c r="E107" s="27"/>
      <c r="F107" s="27"/>
      <c r="G107" s="27"/>
      <c r="H107" s="27"/>
      <c r="I107" s="27"/>
      <c r="J107" s="27"/>
      <c r="K107" s="27"/>
      <c r="L107" s="27"/>
      <c r="M107" s="27"/>
      <c r="N107" s="27"/>
      <c r="O107" s="27"/>
      <c r="P107" s="27"/>
      <c r="Q107" s="41">
        <f t="shared" si="2"/>
        <v>0</v>
      </c>
      <c r="R107" s="61">
        <v>0</v>
      </c>
      <c r="S107" s="39"/>
      <c r="T107" s="39"/>
      <c r="U107" s="35"/>
      <c r="V107" s="40"/>
    </row>
    <row r="108" spans="1:22" s="3" customFormat="1" ht="24.95" hidden="1" customHeight="1">
      <c r="A108" s="3" t="s">
        <v>919</v>
      </c>
      <c r="B108" s="3" t="s">
        <v>1049</v>
      </c>
      <c r="D108" s="26" t="s">
        <v>920</v>
      </c>
      <c r="E108" s="27"/>
      <c r="F108" s="27"/>
      <c r="G108" s="27"/>
      <c r="H108" s="27"/>
      <c r="I108" s="27"/>
      <c r="J108" s="27"/>
      <c r="K108" s="27"/>
      <c r="L108" s="27"/>
      <c r="M108" s="27"/>
      <c r="N108" s="27"/>
      <c r="O108" s="27"/>
      <c r="P108" s="27"/>
      <c r="Q108" s="41">
        <f t="shared" si="2"/>
        <v>0</v>
      </c>
      <c r="R108" s="61">
        <v>0</v>
      </c>
      <c r="S108" s="39"/>
      <c r="T108" s="39"/>
      <c r="U108" s="35"/>
      <c r="V108" s="40"/>
    </row>
    <row r="109" spans="1:22" s="3" customFormat="1" ht="24.95" hidden="1" customHeight="1">
      <c r="A109" s="3" t="s">
        <v>921</v>
      </c>
      <c r="B109" s="3" t="s">
        <v>1049</v>
      </c>
      <c r="D109" s="26" t="s">
        <v>922</v>
      </c>
      <c r="E109" s="27"/>
      <c r="F109" s="27"/>
      <c r="G109" s="27"/>
      <c r="H109" s="27"/>
      <c r="I109" s="27"/>
      <c r="J109" s="27"/>
      <c r="K109" s="27"/>
      <c r="L109" s="27"/>
      <c r="M109" s="27"/>
      <c r="N109" s="27"/>
      <c r="O109" s="27"/>
      <c r="P109" s="27"/>
      <c r="Q109" s="41">
        <f t="shared" si="2"/>
        <v>0</v>
      </c>
      <c r="R109" s="61">
        <v>0</v>
      </c>
      <c r="S109" s="39"/>
      <c r="T109" s="39"/>
      <c r="U109" s="35"/>
      <c r="V109" s="40"/>
    </row>
    <row r="110" spans="1:22" s="3" customFormat="1" ht="24.95" hidden="1" customHeight="1">
      <c r="A110" s="3" t="s">
        <v>923</v>
      </c>
      <c r="B110" s="3" t="s">
        <v>1049</v>
      </c>
      <c r="D110" s="26" t="s">
        <v>924</v>
      </c>
      <c r="E110" s="27"/>
      <c r="F110" s="27"/>
      <c r="G110" s="27"/>
      <c r="H110" s="27"/>
      <c r="I110" s="27"/>
      <c r="J110" s="27"/>
      <c r="K110" s="27"/>
      <c r="L110" s="27"/>
      <c r="M110" s="27"/>
      <c r="N110" s="27"/>
      <c r="O110" s="27"/>
      <c r="P110" s="27"/>
      <c r="Q110" s="41">
        <f t="shared" si="2"/>
        <v>0</v>
      </c>
      <c r="R110" s="61">
        <v>0</v>
      </c>
      <c r="S110" s="39"/>
      <c r="T110" s="39"/>
      <c r="U110" s="35"/>
      <c r="V110" s="40"/>
    </row>
    <row r="111" spans="1:22" s="3" customFormat="1" ht="24.95" hidden="1" customHeight="1">
      <c r="A111" s="3" t="s">
        <v>925</v>
      </c>
      <c r="B111" s="3" t="s">
        <v>1049</v>
      </c>
      <c r="D111" s="26" t="s">
        <v>926</v>
      </c>
      <c r="E111" s="27"/>
      <c r="F111" s="27"/>
      <c r="G111" s="27"/>
      <c r="H111" s="27"/>
      <c r="I111" s="27"/>
      <c r="J111" s="27"/>
      <c r="K111" s="27"/>
      <c r="L111" s="27"/>
      <c r="M111" s="27"/>
      <c r="N111" s="27"/>
      <c r="O111" s="27"/>
      <c r="P111" s="27"/>
      <c r="Q111" s="41">
        <f t="shared" si="2"/>
        <v>0</v>
      </c>
      <c r="R111" s="61">
        <v>0</v>
      </c>
      <c r="S111" s="39"/>
      <c r="T111" s="39"/>
      <c r="U111" s="35"/>
      <c r="V111" s="40"/>
    </row>
    <row r="112" spans="1:22" s="3" customFormat="1" ht="24.95" hidden="1" customHeight="1">
      <c r="A112" s="3" t="s">
        <v>927</v>
      </c>
      <c r="B112" s="3" t="s">
        <v>1049</v>
      </c>
      <c r="D112" s="26" t="s">
        <v>928</v>
      </c>
      <c r="E112" s="27"/>
      <c r="F112" s="27"/>
      <c r="G112" s="27"/>
      <c r="H112" s="27"/>
      <c r="I112" s="27"/>
      <c r="J112" s="27"/>
      <c r="K112" s="27"/>
      <c r="L112" s="27"/>
      <c r="M112" s="27"/>
      <c r="N112" s="27"/>
      <c r="O112" s="27"/>
      <c r="P112" s="27"/>
      <c r="Q112" s="41">
        <f t="shared" si="2"/>
        <v>0</v>
      </c>
      <c r="R112" s="61">
        <v>0</v>
      </c>
      <c r="S112" s="39"/>
      <c r="T112" s="39"/>
      <c r="U112" s="35"/>
      <c r="V112" s="40"/>
    </row>
    <row r="113" spans="1:22" s="3" customFormat="1" ht="24.95" hidden="1" customHeight="1">
      <c r="A113" s="3" t="s">
        <v>929</v>
      </c>
      <c r="B113" s="3" t="s">
        <v>1049</v>
      </c>
      <c r="D113" s="26" t="s">
        <v>930</v>
      </c>
      <c r="E113" s="27"/>
      <c r="F113" s="27"/>
      <c r="G113" s="27"/>
      <c r="H113" s="27"/>
      <c r="I113" s="27"/>
      <c r="J113" s="27"/>
      <c r="K113" s="27"/>
      <c r="L113" s="27"/>
      <c r="M113" s="27"/>
      <c r="N113" s="27"/>
      <c r="O113" s="27"/>
      <c r="P113" s="27"/>
      <c r="Q113" s="41">
        <f t="shared" si="2"/>
        <v>0</v>
      </c>
      <c r="R113" s="61">
        <v>0</v>
      </c>
      <c r="S113" s="39"/>
      <c r="T113" s="39"/>
      <c r="U113" s="35"/>
      <c r="V113" s="40"/>
    </row>
    <row r="114" spans="1:22" s="3" customFormat="1" ht="24.95" hidden="1" customHeight="1">
      <c r="A114" s="3" t="s">
        <v>931</v>
      </c>
      <c r="B114" s="3" t="s">
        <v>1049</v>
      </c>
      <c r="D114" s="26" t="s">
        <v>932</v>
      </c>
      <c r="E114" s="27"/>
      <c r="F114" s="27"/>
      <c r="G114" s="27"/>
      <c r="H114" s="27"/>
      <c r="I114" s="27"/>
      <c r="J114" s="27"/>
      <c r="K114" s="27"/>
      <c r="L114" s="27"/>
      <c r="M114" s="27"/>
      <c r="N114" s="27"/>
      <c r="O114" s="27"/>
      <c r="P114" s="27"/>
      <c r="Q114" s="41">
        <f t="shared" si="2"/>
        <v>0</v>
      </c>
      <c r="R114" s="61">
        <v>0</v>
      </c>
      <c r="S114" s="39"/>
      <c r="T114" s="39"/>
      <c r="U114" s="35"/>
      <c r="V114" s="40"/>
    </row>
    <row r="115" spans="1:22" s="3" customFormat="1" ht="24.95" hidden="1" customHeight="1">
      <c r="A115" s="3" t="s">
        <v>933</v>
      </c>
      <c r="B115" s="3" t="s">
        <v>1049</v>
      </c>
      <c r="D115" s="26" t="s">
        <v>934</v>
      </c>
      <c r="E115" s="27"/>
      <c r="F115" s="27"/>
      <c r="G115" s="27"/>
      <c r="H115" s="27"/>
      <c r="I115" s="27"/>
      <c r="J115" s="27"/>
      <c r="K115" s="27"/>
      <c r="L115" s="27"/>
      <c r="M115" s="27"/>
      <c r="N115" s="27"/>
      <c r="O115" s="27"/>
      <c r="P115" s="27"/>
      <c r="Q115" s="41">
        <f t="shared" si="2"/>
        <v>0</v>
      </c>
      <c r="R115" s="61">
        <v>0</v>
      </c>
      <c r="S115" s="39"/>
      <c r="T115" s="39"/>
      <c r="U115" s="35"/>
      <c r="V115" s="40"/>
    </row>
    <row r="116" spans="1:22" s="3" customFormat="1" ht="24.95" hidden="1" customHeight="1">
      <c r="A116" s="3" t="s">
        <v>935</v>
      </c>
      <c r="B116" s="3" t="s">
        <v>1049</v>
      </c>
      <c r="D116" s="26" t="s">
        <v>936</v>
      </c>
      <c r="E116" s="27"/>
      <c r="F116" s="27"/>
      <c r="G116" s="27"/>
      <c r="H116" s="27"/>
      <c r="I116" s="27"/>
      <c r="J116" s="27"/>
      <c r="K116" s="27"/>
      <c r="L116" s="27"/>
      <c r="M116" s="27"/>
      <c r="N116" s="27"/>
      <c r="O116" s="27"/>
      <c r="P116" s="27"/>
      <c r="Q116" s="41">
        <f t="shared" si="2"/>
        <v>0</v>
      </c>
      <c r="R116" s="61">
        <v>0</v>
      </c>
      <c r="S116" s="39"/>
      <c r="T116" s="39"/>
      <c r="U116" s="35"/>
      <c r="V116" s="40"/>
    </row>
    <row r="117" spans="1:22" s="3" customFormat="1" ht="24.95" hidden="1" customHeight="1">
      <c r="A117" s="3" t="s">
        <v>937</v>
      </c>
      <c r="B117" s="3" t="s">
        <v>1049</v>
      </c>
      <c r="D117" s="26" t="s">
        <v>938</v>
      </c>
      <c r="E117" s="27"/>
      <c r="F117" s="27"/>
      <c r="G117" s="27"/>
      <c r="H117" s="27"/>
      <c r="I117" s="27"/>
      <c r="J117" s="27"/>
      <c r="K117" s="27"/>
      <c r="L117" s="27"/>
      <c r="M117" s="27"/>
      <c r="N117" s="27"/>
      <c r="O117" s="27"/>
      <c r="P117" s="27"/>
      <c r="Q117" s="41">
        <f t="shared" si="2"/>
        <v>0</v>
      </c>
      <c r="R117" s="61">
        <v>0</v>
      </c>
      <c r="S117" s="39"/>
      <c r="T117" s="39"/>
      <c r="U117" s="35"/>
      <c r="V117" s="40"/>
    </row>
    <row r="118" spans="1:22" s="3" customFormat="1" ht="24.95" hidden="1" customHeight="1">
      <c r="A118" s="3" t="s">
        <v>939</v>
      </c>
      <c r="B118" s="3" t="s">
        <v>1049</v>
      </c>
      <c r="D118" s="26" t="s">
        <v>940</v>
      </c>
      <c r="E118" s="27"/>
      <c r="F118" s="27"/>
      <c r="G118" s="27"/>
      <c r="H118" s="27"/>
      <c r="I118" s="27"/>
      <c r="J118" s="27"/>
      <c r="K118" s="27"/>
      <c r="L118" s="27"/>
      <c r="M118" s="27"/>
      <c r="N118" s="27"/>
      <c r="O118" s="27"/>
      <c r="P118" s="27"/>
      <c r="Q118" s="41">
        <f t="shared" si="2"/>
        <v>0</v>
      </c>
      <c r="R118" s="61">
        <v>0</v>
      </c>
      <c r="S118" s="39"/>
      <c r="T118" s="39"/>
      <c r="U118" s="35"/>
      <c r="V118" s="40"/>
    </row>
    <row r="119" spans="1:22" s="3" customFormat="1" ht="24.95" hidden="1" customHeight="1">
      <c r="A119" s="3" t="s">
        <v>941</v>
      </c>
      <c r="B119" s="3" t="s">
        <v>1049</v>
      </c>
      <c r="D119" s="26" t="s">
        <v>942</v>
      </c>
      <c r="E119" s="27"/>
      <c r="F119" s="27"/>
      <c r="G119" s="27"/>
      <c r="H119" s="27"/>
      <c r="I119" s="27"/>
      <c r="J119" s="27"/>
      <c r="K119" s="27"/>
      <c r="L119" s="27"/>
      <c r="M119" s="27"/>
      <c r="N119" s="27"/>
      <c r="O119" s="27"/>
      <c r="P119" s="27"/>
      <c r="Q119" s="41">
        <f t="shared" si="2"/>
        <v>0</v>
      </c>
      <c r="R119" s="61">
        <v>0</v>
      </c>
      <c r="S119" s="39"/>
      <c r="T119" s="39"/>
      <c r="U119" s="35"/>
      <c r="V119" s="40"/>
    </row>
    <row r="120" spans="1:22" s="3" customFormat="1" ht="24.95" hidden="1" customHeight="1">
      <c r="A120" s="3" t="s">
        <v>943</v>
      </c>
      <c r="B120" s="3" t="s">
        <v>1049</v>
      </c>
      <c r="D120" s="26" t="s">
        <v>944</v>
      </c>
      <c r="E120" s="27"/>
      <c r="F120" s="27"/>
      <c r="G120" s="27"/>
      <c r="H120" s="27"/>
      <c r="I120" s="27"/>
      <c r="J120" s="27"/>
      <c r="K120" s="27"/>
      <c r="L120" s="27"/>
      <c r="M120" s="27"/>
      <c r="N120" s="27"/>
      <c r="O120" s="27"/>
      <c r="P120" s="27"/>
      <c r="Q120" s="41">
        <f t="shared" si="2"/>
        <v>0</v>
      </c>
      <c r="R120" s="61">
        <v>0</v>
      </c>
      <c r="S120" s="39"/>
      <c r="T120" s="39"/>
      <c r="U120" s="35"/>
      <c r="V120" s="40"/>
    </row>
    <row r="121" spans="1:22" s="3" customFormat="1" ht="24.95" hidden="1" customHeight="1">
      <c r="A121" s="3" t="s">
        <v>945</v>
      </c>
      <c r="B121" s="3" t="s">
        <v>1049</v>
      </c>
      <c r="D121" s="26" t="s">
        <v>946</v>
      </c>
      <c r="E121" s="27"/>
      <c r="F121" s="27"/>
      <c r="G121" s="27"/>
      <c r="H121" s="27"/>
      <c r="I121" s="27"/>
      <c r="J121" s="27"/>
      <c r="K121" s="27"/>
      <c r="L121" s="27"/>
      <c r="M121" s="27"/>
      <c r="N121" s="27"/>
      <c r="O121" s="27"/>
      <c r="P121" s="27"/>
      <c r="Q121" s="41">
        <f t="shared" si="2"/>
        <v>0</v>
      </c>
      <c r="R121" s="61">
        <v>0</v>
      </c>
      <c r="S121" s="39"/>
      <c r="T121" s="39"/>
      <c r="U121" s="35"/>
      <c r="V121" s="40"/>
    </row>
    <row r="122" spans="1:22" s="3" customFormat="1" ht="24.95" hidden="1" customHeight="1">
      <c r="A122" s="3" t="s">
        <v>947</v>
      </c>
      <c r="B122" s="3" t="s">
        <v>1049</v>
      </c>
      <c r="D122" s="26" t="s">
        <v>948</v>
      </c>
      <c r="E122" s="27"/>
      <c r="F122" s="27"/>
      <c r="G122" s="27"/>
      <c r="H122" s="27"/>
      <c r="I122" s="27"/>
      <c r="J122" s="27"/>
      <c r="K122" s="27"/>
      <c r="L122" s="27"/>
      <c r="M122" s="27"/>
      <c r="N122" s="27"/>
      <c r="O122" s="27"/>
      <c r="P122" s="27"/>
      <c r="Q122" s="41">
        <f t="shared" si="2"/>
        <v>0</v>
      </c>
      <c r="R122" s="61">
        <v>0</v>
      </c>
      <c r="S122" s="39"/>
      <c r="T122" s="39"/>
      <c r="U122" s="35"/>
      <c r="V122" s="40"/>
    </row>
    <row r="123" spans="1:22" s="3" customFormat="1" ht="24.95" hidden="1" customHeight="1">
      <c r="A123" s="3" t="s">
        <v>949</v>
      </c>
      <c r="B123" s="3" t="s">
        <v>1049</v>
      </c>
      <c r="D123" s="26" t="s">
        <v>950</v>
      </c>
      <c r="E123" s="27"/>
      <c r="F123" s="27"/>
      <c r="G123" s="27"/>
      <c r="H123" s="27"/>
      <c r="I123" s="27"/>
      <c r="J123" s="27"/>
      <c r="K123" s="27"/>
      <c r="L123" s="27"/>
      <c r="M123" s="27"/>
      <c r="N123" s="27"/>
      <c r="O123" s="27"/>
      <c r="P123" s="27"/>
      <c r="Q123" s="41">
        <f t="shared" si="2"/>
        <v>0</v>
      </c>
      <c r="R123" s="61">
        <v>0</v>
      </c>
      <c r="S123" s="39"/>
      <c r="T123" s="39"/>
      <c r="U123" s="35"/>
      <c r="V123" s="40"/>
    </row>
    <row r="124" spans="1:22" s="3" customFormat="1" ht="24.95" hidden="1" customHeight="1">
      <c r="A124" s="3" t="s">
        <v>951</v>
      </c>
      <c r="B124" s="3" t="s">
        <v>1049</v>
      </c>
      <c r="D124" s="26" t="s">
        <v>952</v>
      </c>
      <c r="E124" s="27"/>
      <c r="F124" s="27"/>
      <c r="G124" s="27"/>
      <c r="H124" s="27"/>
      <c r="I124" s="27"/>
      <c r="J124" s="27"/>
      <c r="K124" s="27"/>
      <c r="L124" s="27"/>
      <c r="M124" s="27"/>
      <c r="N124" s="27"/>
      <c r="O124" s="27"/>
      <c r="P124" s="27"/>
      <c r="Q124" s="41">
        <f t="shared" si="2"/>
        <v>0</v>
      </c>
      <c r="R124" s="61">
        <v>0</v>
      </c>
      <c r="S124" s="39"/>
      <c r="T124" s="39"/>
      <c r="U124" s="35"/>
      <c r="V124" s="40"/>
    </row>
    <row r="125" spans="1:22" s="3" customFormat="1" ht="24.95" hidden="1" customHeight="1">
      <c r="A125" s="3" t="s">
        <v>953</v>
      </c>
      <c r="B125" s="3" t="s">
        <v>1049</v>
      </c>
      <c r="D125" s="26" t="s">
        <v>954</v>
      </c>
      <c r="E125" s="27"/>
      <c r="F125" s="27"/>
      <c r="G125" s="27"/>
      <c r="H125" s="27"/>
      <c r="I125" s="27"/>
      <c r="J125" s="27"/>
      <c r="K125" s="27"/>
      <c r="L125" s="27"/>
      <c r="M125" s="27"/>
      <c r="N125" s="27"/>
      <c r="O125" s="27"/>
      <c r="P125" s="27"/>
      <c r="Q125" s="41">
        <f t="shared" si="2"/>
        <v>0</v>
      </c>
      <c r="R125" s="61">
        <v>0</v>
      </c>
      <c r="S125" s="39"/>
      <c r="T125" s="39"/>
      <c r="U125" s="35"/>
      <c r="V125" s="40"/>
    </row>
    <row r="126" spans="1:22" s="3" customFormat="1" ht="24.95" hidden="1" customHeight="1">
      <c r="A126" s="3" t="s">
        <v>955</v>
      </c>
      <c r="B126" s="3" t="s">
        <v>1049</v>
      </c>
      <c r="D126" s="26" t="s">
        <v>956</v>
      </c>
      <c r="E126" s="27"/>
      <c r="F126" s="27"/>
      <c r="G126" s="27"/>
      <c r="H126" s="27"/>
      <c r="I126" s="27"/>
      <c r="J126" s="27"/>
      <c r="K126" s="27"/>
      <c r="L126" s="27"/>
      <c r="M126" s="27"/>
      <c r="N126" s="27"/>
      <c r="O126" s="27"/>
      <c r="P126" s="27"/>
      <c r="Q126" s="41">
        <f t="shared" si="2"/>
        <v>0</v>
      </c>
      <c r="R126" s="61">
        <v>0</v>
      </c>
      <c r="S126" s="39"/>
      <c r="T126" s="39"/>
      <c r="U126" s="35"/>
      <c r="V126" s="40"/>
    </row>
    <row r="127" spans="1:22" s="3" customFormat="1" ht="24.95" hidden="1" customHeight="1">
      <c r="A127" s="3" t="s">
        <v>957</v>
      </c>
      <c r="B127" s="3" t="s">
        <v>1049</v>
      </c>
      <c r="D127" s="26" t="s">
        <v>958</v>
      </c>
      <c r="E127" s="27"/>
      <c r="F127" s="27"/>
      <c r="G127" s="27"/>
      <c r="H127" s="27"/>
      <c r="I127" s="27"/>
      <c r="J127" s="27"/>
      <c r="K127" s="27"/>
      <c r="L127" s="27"/>
      <c r="M127" s="27"/>
      <c r="N127" s="27"/>
      <c r="O127" s="27"/>
      <c r="P127" s="27"/>
      <c r="Q127" s="41">
        <f t="shared" si="2"/>
        <v>0</v>
      </c>
      <c r="R127" s="61">
        <v>0</v>
      </c>
      <c r="S127" s="39"/>
      <c r="T127" s="39"/>
      <c r="U127" s="35"/>
      <c r="V127" s="40"/>
    </row>
    <row r="128" spans="1:22" s="3" customFormat="1" ht="24.95" hidden="1" customHeight="1">
      <c r="A128" s="3" t="s">
        <v>959</v>
      </c>
      <c r="B128" s="3" t="s">
        <v>1049</v>
      </c>
      <c r="D128" s="26" t="s">
        <v>960</v>
      </c>
      <c r="E128" s="27"/>
      <c r="F128" s="27"/>
      <c r="G128" s="27"/>
      <c r="H128" s="27"/>
      <c r="I128" s="27"/>
      <c r="J128" s="27"/>
      <c r="K128" s="27"/>
      <c r="L128" s="27"/>
      <c r="M128" s="27"/>
      <c r="N128" s="27"/>
      <c r="O128" s="27"/>
      <c r="P128" s="27"/>
      <c r="Q128" s="41">
        <f t="shared" si="2"/>
        <v>0</v>
      </c>
      <c r="R128" s="61">
        <v>0</v>
      </c>
      <c r="S128" s="39"/>
      <c r="T128" s="39"/>
      <c r="U128" s="35"/>
      <c r="V128" s="40"/>
    </row>
    <row r="129" spans="1:22" s="3" customFormat="1" ht="24.95" hidden="1" customHeight="1">
      <c r="A129" s="3" t="s">
        <v>961</v>
      </c>
      <c r="B129" s="3" t="s">
        <v>1049</v>
      </c>
      <c r="D129" s="26" t="s">
        <v>962</v>
      </c>
      <c r="E129" s="27"/>
      <c r="F129" s="27"/>
      <c r="G129" s="27"/>
      <c r="H129" s="27"/>
      <c r="I129" s="27"/>
      <c r="J129" s="27"/>
      <c r="K129" s="27"/>
      <c r="L129" s="27"/>
      <c r="M129" s="27"/>
      <c r="N129" s="27"/>
      <c r="O129" s="27"/>
      <c r="P129" s="27"/>
      <c r="Q129" s="41">
        <f t="shared" si="2"/>
        <v>0</v>
      </c>
      <c r="R129" s="61">
        <v>0</v>
      </c>
      <c r="S129" s="39"/>
      <c r="T129" s="39"/>
      <c r="U129" s="35"/>
      <c r="V129" s="40"/>
    </row>
    <row r="130" spans="1:22" s="3" customFormat="1" ht="24.95" hidden="1" customHeight="1">
      <c r="A130" s="3" t="s">
        <v>963</v>
      </c>
      <c r="B130" s="3" t="s">
        <v>1049</v>
      </c>
      <c r="D130" s="26" t="s">
        <v>964</v>
      </c>
      <c r="E130" s="27"/>
      <c r="F130" s="27"/>
      <c r="G130" s="27"/>
      <c r="H130" s="27"/>
      <c r="I130" s="27"/>
      <c r="J130" s="27"/>
      <c r="K130" s="27"/>
      <c r="L130" s="27"/>
      <c r="M130" s="27"/>
      <c r="N130" s="27"/>
      <c r="O130" s="27"/>
      <c r="P130" s="27"/>
      <c r="Q130" s="41">
        <f t="shared" si="2"/>
        <v>0</v>
      </c>
      <c r="R130" s="61">
        <v>0</v>
      </c>
      <c r="S130" s="39"/>
      <c r="T130" s="39"/>
      <c r="U130" s="35"/>
      <c r="V130" s="40"/>
    </row>
    <row r="131" spans="1:22" s="3" customFormat="1" ht="24.95" hidden="1" customHeight="1">
      <c r="A131" s="3" t="s">
        <v>965</v>
      </c>
      <c r="B131" s="3" t="s">
        <v>1049</v>
      </c>
      <c r="D131" s="26" t="s">
        <v>966</v>
      </c>
      <c r="E131" s="27"/>
      <c r="F131" s="27"/>
      <c r="G131" s="27"/>
      <c r="H131" s="27"/>
      <c r="I131" s="27"/>
      <c r="J131" s="27"/>
      <c r="K131" s="27"/>
      <c r="L131" s="27"/>
      <c r="M131" s="27"/>
      <c r="N131" s="27"/>
      <c r="O131" s="27"/>
      <c r="P131" s="27"/>
      <c r="Q131" s="41">
        <f t="shared" si="2"/>
        <v>0</v>
      </c>
      <c r="R131" s="61">
        <v>0</v>
      </c>
      <c r="S131" s="39"/>
      <c r="T131" s="39"/>
      <c r="U131" s="35"/>
      <c r="V131" s="40"/>
    </row>
    <row r="132" spans="1:22" s="3" customFormat="1" ht="24.95" hidden="1" customHeight="1">
      <c r="A132" s="3" t="s">
        <v>967</v>
      </c>
      <c r="B132" s="3" t="s">
        <v>1049</v>
      </c>
      <c r="D132" s="26" t="s">
        <v>968</v>
      </c>
      <c r="E132" s="27"/>
      <c r="F132" s="27"/>
      <c r="G132" s="27"/>
      <c r="H132" s="27"/>
      <c r="I132" s="27"/>
      <c r="J132" s="27"/>
      <c r="K132" s="27"/>
      <c r="L132" s="27"/>
      <c r="M132" s="27"/>
      <c r="N132" s="27"/>
      <c r="O132" s="27"/>
      <c r="P132" s="27"/>
      <c r="Q132" s="41">
        <f t="shared" si="2"/>
        <v>0</v>
      </c>
      <c r="R132" s="61">
        <v>62450</v>
      </c>
      <c r="S132" s="39"/>
      <c r="T132" s="39"/>
      <c r="U132" s="35"/>
      <c r="V132" s="40"/>
    </row>
    <row r="133" spans="1:22" s="3" customFormat="1" ht="24.95" hidden="1" customHeight="1">
      <c r="A133" s="3" t="s">
        <v>969</v>
      </c>
      <c r="B133" s="3" t="s">
        <v>1049</v>
      </c>
      <c r="D133" s="26" t="s">
        <v>970</v>
      </c>
      <c r="E133" s="27"/>
      <c r="F133" s="27"/>
      <c r="G133" s="27"/>
      <c r="H133" s="27"/>
      <c r="I133" s="27"/>
      <c r="J133" s="27"/>
      <c r="K133" s="27"/>
      <c r="L133" s="27"/>
      <c r="M133" s="27"/>
      <c r="N133" s="27"/>
      <c r="O133" s="27"/>
      <c r="P133" s="27"/>
      <c r="Q133" s="41">
        <f t="shared" si="2"/>
        <v>0</v>
      </c>
      <c r="R133" s="61">
        <v>0</v>
      </c>
      <c r="S133" s="39"/>
      <c r="T133" s="39"/>
      <c r="U133" s="35"/>
      <c r="V133" s="40"/>
    </row>
    <row r="134" spans="1:22" s="3" customFormat="1" ht="24.95" hidden="1" customHeight="1">
      <c r="A134" s="3" t="s">
        <v>971</v>
      </c>
      <c r="B134" s="3" t="s">
        <v>1049</v>
      </c>
      <c r="D134" s="26" t="s">
        <v>972</v>
      </c>
      <c r="E134" s="27"/>
      <c r="F134" s="27"/>
      <c r="G134" s="27"/>
      <c r="H134" s="27"/>
      <c r="I134" s="27"/>
      <c r="J134" s="27"/>
      <c r="K134" s="27"/>
      <c r="L134" s="27"/>
      <c r="M134" s="27"/>
      <c r="N134" s="27"/>
      <c r="O134" s="27"/>
      <c r="P134" s="27"/>
      <c r="Q134" s="41">
        <f t="shared" si="2"/>
        <v>0</v>
      </c>
      <c r="R134" s="61">
        <v>0</v>
      </c>
      <c r="S134" s="39"/>
      <c r="T134" s="39"/>
      <c r="U134" s="35"/>
      <c r="V134" s="40"/>
    </row>
    <row r="135" spans="1:22" s="3" customFormat="1" ht="24.95" hidden="1" customHeight="1">
      <c r="A135" s="3" t="s">
        <v>973</v>
      </c>
      <c r="B135" s="3" t="s">
        <v>1049</v>
      </c>
      <c r="D135" s="26" t="s">
        <v>974</v>
      </c>
      <c r="E135" s="27"/>
      <c r="F135" s="27"/>
      <c r="G135" s="27"/>
      <c r="H135" s="27"/>
      <c r="I135" s="27"/>
      <c r="J135" s="27"/>
      <c r="K135" s="27"/>
      <c r="L135" s="27"/>
      <c r="M135" s="27"/>
      <c r="N135" s="27"/>
      <c r="O135" s="27"/>
      <c r="P135" s="27"/>
      <c r="Q135" s="41">
        <f t="shared" si="2"/>
        <v>0</v>
      </c>
      <c r="R135" s="61">
        <v>50000</v>
      </c>
      <c r="S135" s="39"/>
      <c r="T135" s="39"/>
      <c r="U135" s="35"/>
      <c r="V135" s="40"/>
    </row>
    <row r="136" spans="1:22" s="3" customFormat="1" ht="24.95" hidden="1" customHeight="1">
      <c r="A136" s="3" t="s">
        <v>975</v>
      </c>
      <c r="B136" s="3" t="s">
        <v>1049</v>
      </c>
      <c r="D136" s="26" t="s">
        <v>976</v>
      </c>
      <c r="E136" s="27"/>
      <c r="F136" s="27"/>
      <c r="G136" s="27"/>
      <c r="H136" s="27"/>
      <c r="I136" s="27"/>
      <c r="J136" s="27"/>
      <c r="K136" s="27"/>
      <c r="L136" s="27"/>
      <c r="M136" s="27"/>
      <c r="N136" s="27"/>
      <c r="O136" s="27"/>
      <c r="P136" s="27"/>
      <c r="Q136" s="41">
        <f t="shared" si="2"/>
        <v>0</v>
      </c>
      <c r="R136" s="61">
        <v>0</v>
      </c>
      <c r="S136" s="39"/>
      <c r="T136" s="39"/>
      <c r="U136" s="35"/>
      <c r="V136" s="40"/>
    </row>
    <row r="137" spans="1:22" s="3" customFormat="1" ht="24.95" hidden="1" customHeight="1">
      <c r="A137" s="3" t="s">
        <v>977</v>
      </c>
      <c r="B137" s="3" t="s">
        <v>1049</v>
      </c>
      <c r="D137" s="26" t="s">
        <v>978</v>
      </c>
      <c r="E137" s="27"/>
      <c r="F137" s="27"/>
      <c r="G137" s="27"/>
      <c r="H137" s="27"/>
      <c r="I137" s="27"/>
      <c r="J137" s="27"/>
      <c r="K137" s="27"/>
      <c r="L137" s="27"/>
      <c r="M137" s="27"/>
      <c r="N137" s="27"/>
      <c r="O137" s="27"/>
      <c r="P137" s="27"/>
      <c r="Q137" s="41">
        <f t="shared" si="2"/>
        <v>0</v>
      </c>
      <c r="R137" s="61">
        <v>0</v>
      </c>
      <c r="S137" s="39"/>
      <c r="T137" s="39"/>
      <c r="U137" s="35"/>
      <c r="V137" s="40"/>
    </row>
    <row r="138" spans="1:22" s="3" customFormat="1" ht="24.95" hidden="1" customHeight="1">
      <c r="A138" s="3" t="s">
        <v>979</v>
      </c>
      <c r="B138" s="3" t="s">
        <v>1049</v>
      </c>
      <c r="D138" s="26" t="s">
        <v>980</v>
      </c>
      <c r="E138" s="27"/>
      <c r="F138" s="27"/>
      <c r="G138" s="27"/>
      <c r="H138" s="27"/>
      <c r="I138" s="27"/>
      <c r="J138" s="27"/>
      <c r="K138" s="27"/>
      <c r="L138" s="27"/>
      <c r="M138" s="27"/>
      <c r="N138" s="27"/>
      <c r="O138" s="27"/>
      <c r="P138" s="27"/>
      <c r="Q138" s="41">
        <f t="shared" si="2"/>
        <v>0</v>
      </c>
      <c r="R138" s="61">
        <v>0</v>
      </c>
      <c r="S138" s="39"/>
      <c r="T138" s="39"/>
      <c r="U138" s="35"/>
      <c r="V138" s="40"/>
    </row>
    <row r="139" spans="1:22" s="3" customFormat="1" ht="24.95" hidden="1" customHeight="1">
      <c r="A139" s="3" t="s">
        <v>981</v>
      </c>
      <c r="B139" s="3" t="s">
        <v>1049</v>
      </c>
      <c r="D139" s="26" t="s">
        <v>982</v>
      </c>
      <c r="E139" s="27"/>
      <c r="F139" s="27"/>
      <c r="G139" s="27"/>
      <c r="H139" s="27"/>
      <c r="I139" s="27"/>
      <c r="J139" s="27"/>
      <c r="K139" s="27"/>
      <c r="L139" s="27"/>
      <c r="M139" s="27"/>
      <c r="N139" s="27"/>
      <c r="O139" s="27"/>
      <c r="P139" s="27"/>
      <c r="Q139" s="41">
        <f t="shared" si="2"/>
        <v>0</v>
      </c>
      <c r="R139" s="61">
        <v>676515.1</v>
      </c>
      <c r="S139" s="39"/>
      <c r="T139" s="39"/>
      <c r="U139" s="35"/>
      <c r="V139" s="40"/>
    </row>
    <row r="140" spans="1:22" s="3" customFormat="1" ht="24.95" hidden="1" customHeight="1">
      <c r="A140" s="3" t="s">
        <v>983</v>
      </c>
      <c r="B140" s="3" t="s">
        <v>1049</v>
      </c>
      <c r="D140" s="26" t="s">
        <v>984</v>
      </c>
      <c r="E140" s="27"/>
      <c r="F140" s="27"/>
      <c r="G140" s="27"/>
      <c r="H140" s="27"/>
      <c r="I140" s="27"/>
      <c r="J140" s="27"/>
      <c r="K140" s="27"/>
      <c r="L140" s="27"/>
      <c r="M140" s="27"/>
      <c r="N140" s="27"/>
      <c r="O140" s="27"/>
      <c r="P140" s="27"/>
      <c r="Q140" s="41">
        <f t="shared" si="2"/>
        <v>0</v>
      </c>
      <c r="R140" s="61">
        <v>0</v>
      </c>
      <c r="S140" s="39"/>
      <c r="T140" s="39"/>
      <c r="U140" s="35"/>
      <c r="V140" s="40"/>
    </row>
    <row r="141" spans="1:22" s="3" customFormat="1" ht="24.95" hidden="1" customHeight="1">
      <c r="A141" s="3" t="s">
        <v>985</v>
      </c>
      <c r="B141" s="3" t="s">
        <v>1049</v>
      </c>
      <c r="D141" s="26" t="s">
        <v>986</v>
      </c>
      <c r="E141" s="27"/>
      <c r="F141" s="27"/>
      <c r="G141" s="27"/>
      <c r="H141" s="27"/>
      <c r="I141" s="27"/>
      <c r="J141" s="27"/>
      <c r="K141" s="27"/>
      <c r="L141" s="27"/>
      <c r="M141" s="27"/>
      <c r="N141" s="27"/>
      <c r="O141" s="27"/>
      <c r="P141" s="27"/>
      <c r="Q141" s="41">
        <f t="shared" si="2"/>
        <v>0</v>
      </c>
      <c r="R141" s="61">
        <v>0</v>
      </c>
      <c r="S141" s="39"/>
      <c r="T141" s="39"/>
      <c r="U141" s="35"/>
      <c r="V141" s="40"/>
    </row>
    <row r="142" spans="1:22" s="3" customFormat="1" ht="24.95" hidden="1" customHeight="1">
      <c r="A142" s="3" t="s">
        <v>987</v>
      </c>
      <c r="B142" s="3" t="s">
        <v>1049</v>
      </c>
      <c r="D142" s="26" t="s">
        <v>988</v>
      </c>
      <c r="E142" s="27"/>
      <c r="F142" s="27"/>
      <c r="G142" s="27"/>
      <c r="H142" s="27"/>
      <c r="I142" s="27"/>
      <c r="J142" s="27"/>
      <c r="K142" s="27"/>
      <c r="L142" s="27"/>
      <c r="M142" s="27"/>
      <c r="N142" s="27"/>
      <c r="O142" s="27"/>
      <c r="P142" s="27"/>
      <c r="Q142" s="41">
        <f t="shared" si="2"/>
        <v>0</v>
      </c>
      <c r="R142" s="61">
        <v>0</v>
      </c>
      <c r="S142" s="39"/>
      <c r="T142" s="39"/>
      <c r="U142" s="35"/>
      <c r="V142" s="40"/>
    </row>
    <row r="143" spans="1:22" s="3" customFormat="1" ht="24.95" hidden="1" customHeight="1">
      <c r="A143" s="3" t="s">
        <v>989</v>
      </c>
      <c r="B143" s="3" t="s">
        <v>1049</v>
      </c>
      <c r="D143" s="26" t="s">
        <v>990</v>
      </c>
      <c r="E143" s="27"/>
      <c r="F143" s="27"/>
      <c r="G143" s="27"/>
      <c r="H143" s="27"/>
      <c r="I143" s="27"/>
      <c r="J143" s="27"/>
      <c r="K143" s="27"/>
      <c r="L143" s="27"/>
      <c r="M143" s="27"/>
      <c r="N143" s="27"/>
      <c r="O143" s="27"/>
      <c r="P143" s="27"/>
      <c r="Q143" s="41">
        <f t="shared" si="2"/>
        <v>0</v>
      </c>
      <c r="R143" s="61">
        <v>0</v>
      </c>
      <c r="S143" s="39"/>
      <c r="T143" s="39"/>
      <c r="U143" s="35"/>
      <c r="V143" s="40"/>
    </row>
    <row r="144" spans="1:22" s="3" customFormat="1" ht="24.95" hidden="1" customHeight="1">
      <c r="A144" s="3" t="s">
        <v>991</v>
      </c>
      <c r="B144" s="3" t="s">
        <v>1049</v>
      </c>
      <c r="D144" s="26" t="s">
        <v>992</v>
      </c>
      <c r="E144" s="27"/>
      <c r="F144" s="27"/>
      <c r="G144" s="27"/>
      <c r="H144" s="27"/>
      <c r="I144" s="27"/>
      <c r="J144" s="27"/>
      <c r="K144" s="27"/>
      <c r="L144" s="27"/>
      <c r="M144" s="27"/>
      <c r="N144" s="27"/>
      <c r="O144" s="27"/>
      <c r="P144" s="27"/>
      <c r="Q144" s="41">
        <f t="shared" ref="Q144:Q156" si="3">SUM(E144:P144)</f>
        <v>0</v>
      </c>
      <c r="R144" s="61">
        <v>4538.3999999999996</v>
      </c>
      <c r="S144" s="39"/>
      <c r="T144" s="39"/>
      <c r="U144" s="35"/>
      <c r="V144" s="40"/>
    </row>
    <row r="145" spans="1:22" s="3" customFormat="1" ht="24.95" hidden="1" customHeight="1">
      <c r="A145" s="3" t="s">
        <v>993</v>
      </c>
      <c r="B145" s="3" t="s">
        <v>1049</v>
      </c>
      <c r="D145" s="26" t="s">
        <v>994</v>
      </c>
      <c r="E145" s="27"/>
      <c r="F145" s="27"/>
      <c r="G145" s="27"/>
      <c r="H145" s="27"/>
      <c r="I145" s="27"/>
      <c r="J145" s="27"/>
      <c r="K145" s="27"/>
      <c r="L145" s="27"/>
      <c r="M145" s="27"/>
      <c r="N145" s="27"/>
      <c r="O145" s="27"/>
      <c r="P145" s="27"/>
      <c r="Q145" s="41">
        <f t="shared" si="3"/>
        <v>0</v>
      </c>
      <c r="R145" s="61">
        <v>0</v>
      </c>
      <c r="S145" s="39"/>
      <c r="T145" s="39"/>
      <c r="U145" s="35"/>
      <c r="V145" s="40"/>
    </row>
    <row r="146" spans="1:22" s="3" customFormat="1" ht="24.95" hidden="1" customHeight="1">
      <c r="A146" s="3" t="s">
        <v>995</v>
      </c>
      <c r="B146" s="3" t="s">
        <v>1049</v>
      </c>
      <c r="D146" s="26" t="s">
        <v>996</v>
      </c>
      <c r="E146" s="27"/>
      <c r="F146" s="27"/>
      <c r="G146" s="27"/>
      <c r="H146" s="27"/>
      <c r="I146" s="27"/>
      <c r="J146" s="27"/>
      <c r="K146" s="27"/>
      <c r="L146" s="27"/>
      <c r="M146" s="27"/>
      <c r="N146" s="27"/>
      <c r="O146" s="27"/>
      <c r="P146" s="27"/>
      <c r="Q146" s="41">
        <f t="shared" si="3"/>
        <v>0</v>
      </c>
      <c r="R146" s="61">
        <v>0</v>
      </c>
      <c r="S146" s="39"/>
      <c r="T146" s="39"/>
      <c r="U146" s="35"/>
      <c r="V146" s="40"/>
    </row>
    <row r="147" spans="1:22" s="3" customFormat="1" ht="24.95" hidden="1" customHeight="1">
      <c r="A147" s="3" t="s">
        <v>997</v>
      </c>
      <c r="B147" s="3" t="s">
        <v>1049</v>
      </c>
      <c r="D147" s="26" t="s">
        <v>998</v>
      </c>
      <c r="E147" s="27"/>
      <c r="F147" s="27"/>
      <c r="G147" s="27"/>
      <c r="H147" s="27"/>
      <c r="I147" s="27"/>
      <c r="J147" s="27"/>
      <c r="K147" s="27"/>
      <c r="L147" s="27"/>
      <c r="M147" s="27"/>
      <c r="N147" s="27"/>
      <c r="O147" s="27"/>
      <c r="P147" s="27"/>
      <c r="Q147" s="41">
        <f t="shared" si="3"/>
        <v>0</v>
      </c>
      <c r="R147" s="61">
        <v>238757.98</v>
      </c>
      <c r="S147" s="39"/>
      <c r="T147" s="39"/>
      <c r="U147" s="35"/>
      <c r="V147" s="40"/>
    </row>
    <row r="148" spans="1:22" s="3" customFormat="1" ht="24.95" hidden="1" customHeight="1">
      <c r="A148" s="3" t="s">
        <v>999</v>
      </c>
      <c r="B148" s="3" t="s">
        <v>1049</v>
      </c>
      <c r="D148" s="26" t="s">
        <v>1000</v>
      </c>
      <c r="E148" s="27"/>
      <c r="F148" s="27"/>
      <c r="G148" s="27"/>
      <c r="H148" s="27"/>
      <c r="I148" s="27"/>
      <c r="J148" s="27"/>
      <c r="K148" s="27"/>
      <c r="L148" s="27"/>
      <c r="M148" s="27"/>
      <c r="N148" s="27"/>
      <c r="O148" s="27"/>
      <c r="P148" s="27"/>
      <c r="Q148" s="41">
        <f t="shared" si="3"/>
        <v>0</v>
      </c>
      <c r="R148" s="61">
        <v>0</v>
      </c>
      <c r="S148" s="39"/>
      <c r="T148" s="39"/>
      <c r="U148" s="35"/>
      <c r="V148" s="40"/>
    </row>
    <row r="149" spans="1:22" s="3" customFormat="1" ht="24.95" hidden="1" customHeight="1">
      <c r="A149" s="3" t="s">
        <v>1001</v>
      </c>
      <c r="B149" s="3" t="s">
        <v>1049</v>
      </c>
      <c r="D149" s="26" t="s">
        <v>1002</v>
      </c>
      <c r="E149" s="27"/>
      <c r="F149" s="27"/>
      <c r="G149" s="27"/>
      <c r="H149" s="27"/>
      <c r="I149" s="27"/>
      <c r="J149" s="27"/>
      <c r="K149" s="27"/>
      <c r="L149" s="27"/>
      <c r="M149" s="27"/>
      <c r="N149" s="27"/>
      <c r="O149" s="27"/>
      <c r="P149" s="27"/>
      <c r="Q149" s="41">
        <f t="shared" si="3"/>
        <v>0</v>
      </c>
      <c r="R149" s="61">
        <v>0</v>
      </c>
      <c r="S149" s="39"/>
      <c r="T149" s="39"/>
      <c r="U149" s="35"/>
      <c r="V149" s="40"/>
    </row>
    <row r="150" spans="1:22" s="3" customFormat="1" ht="24.95" hidden="1" customHeight="1">
      <c r="A150" s="3" t="s">
        <v>1003</v>
      </c>
      <c r="B150" s="3" t="s">
        <v>1049</v>
      </c>
      <c r="D150" s="26" t="s">
        <v>1004</v>
      </c>
      <c r="E150" s="27"/>
      <c r="F150" s="27"/>
      <c r="G150" s="27"/>
      <c r="H150" s="27"/>
      <c r="I150" s="27"/>
      <c r="J150" s="27"/>
      <c r="K150" s="27"/>
      <c r="L150" s="27"/>
      <c r="M150" s="27"/>
      <c r="N150" s="27"/>
      <c r="O150" s="27"/>
      <c r="P150" s="27"/>
      <c r="Q150" s="41">
        <f t="shared" si="3"/>
        <v>0</v>
      </c>
      <c r="R150" s="61">
        <v>1402591.0799</v>
      </c>
      <c r="S150" s="39"/>
      <c r="T150" s="39"/>
      <c r="U150" s="35"/>
      <c r="V150" s="40"/>
    </row>
    <row r="151" spans="1:22" s="3" customFormat="1" ht="24.95" hidden="1" customHeight="1">
      <c r="A151" s="3" t="s">
        <v>1005</v>
      </c>
      <c r="B151" s="3" t="s">
        <v>1049</v>
      </c>
      <c r="D151" s="26" t="s">
        <v>1006</v>
      </c>
      <c r="E151" s="27"/>
      <c r="F151" s="27"/>
      <c r="G151" s="27"/>
      <c r="H151" s="27"/>
      <c r="I151" s="27"/>
      <c r="J151" s="27"/>
      <c r="K151" s="27"/>
      <c r="L151" s="27"/>
      <c r="M151" s="27"/>
      <c r="N151" s="27"/>
      <c r="O151" s="27"/>
      <c r="P151" s="27"/>
      <c r="Q151" s="41">
        <f t="shared" si="3"/>
        <v>0</v>
      </c>
      <c r="R151" s="61">
        <v>0</v>
      </c>
      <c r="S151" s="39"/>
      <c r="T151" s="39"/>
      <c r="U151" s="35"/>
      <c r="V151" s="40"/>
    </row>
    <row r="152" spans="1:22" s="3" customFormat="1" ht="24.95" hidden="1" customHeight="1">
      <c r="A152" s="3" t="s">
        <v>1007</v>
      </c>
      <c r="B152" s="3" t="s">
        <v>1049</v>
      </c>
      <c r="D152" s="26" t="s">
        <v>1008</v>
      </c>
      <c r="E152" s="27"/>
      <c r="F152" s="27"/>
      <c r="G152" s="27"/>
      <c r="H152" s="27"/>
      <c r="I152" s="27"/>
      <c r="J152" s="27"/>
      <c r="K152" s="27"/>
      <c r="L152" s="27"/>
      <c r="M152" s="27"/>
      <c r="N152" s="27"/>
      <c r="O152" s="27"/>
      <c r="P152" s="27"/>
      <c r="Q152" s="41">
        <f t="shared" si="3"/>
        <v>0</v>
      </c>
      <c r="R152" s="61">
        <v>0</v>
      </c>
      <c r="S152" s="39"/>
      <c r="T152" s="39"/>
      <c r="U152" s="35"/>
      <c r="V152" s="40"/>
    </row>
    <row r="153" spans="1:22" s="3" customFormat="1" ht="24.95" hidden="1" customHeight="1">
      <c r="A153" s="3" t="s">
        <v>1009</v>
      </c>
      <c r="B153" s="3" t="s">
        <v>1049</v>
      </c>
      <c r="D153" s="26" t="s">
        <v>1010</v>
      </c>
      <c r="E153" s="27"/>
      <c r="F153" s="27"/>
      <c r="G153" s="27"/>
      <c r="H153" s="27"/>
      <c r="I153" s="27"/>
      <c r="J153" s="27"/>
      <c r="K153" s="27"/>
      <c r="L153" s="27"/>
      <c r="M153" s="27"/>
      <c r="N153" s="27"/>
      <c r="O153" s="27"/>
      <c r="P153" s="27"/>
      <c r="Q153" s="41">
        <f t="shared" si="3"/>
        <v>0</v>
      </c>
      <c r="R153" s="61">
        <v>0</v>
      </c>
      <c r="S153" s="39"/>
      <c r="T153" s="39"/>
      <c r="U153" s="35"/>
      <c r="V153" s="40"/>
    </row>
    <row r="154" spans="1:22" s="3" customFormat="1" ht="24.95" hidden="1" customHeight="1">
      <c r="A154" s="3" t="s">
        <v>1011</v>
      </c>
      <c r="B154" s="3" t="s">
        <v>1049</v>
      </c>
      <c r="D154" s="26" t="s">
        <v>1012</v>
      </c>
      <c r="E154" s="27"/>
      <c r="F154" s="27"/>
      <c r="G154" s="27"/>
      <c r="H154" s="27"/>
      <c r="I154" s="27"/>
      <c r="J154" s="27"/>
      <c r="K154" s="27"/>
      <c r="L154" s="27"/>
      <c r="M154" s="27"/>
      <c r="N154" s="27"/>
      <c r="O154" s="27"/>
      <c r="P154" s="27"/>
      <c r="Q154" s="41">
        <f t="shared" si="3"/>
        <v>0</v>
      </c>
      <c r="R154" s="61">
        <v>0</v>
      </c>
      <c r="S154" s="39"/>
      <c r="T154" s="39"/>
      <c r="U154" s="35"/>
      <c r="V154" s="40"/>
    </row>
    <row r="155" spans="1:22" s="3" customFormat="1" ht="24.95" hidden="1" customHeight="1">
      <c r="A155" s="3" t="s">
        <v>1013</v>
      </c>
      <c r="B155" s="3" t="s">
        <v>1049</v>
      </c>
      <c r="D155" s="26" t="s">
        <v>1014</v>
      </c>
      <c r="E155" s="27"/>
      <c r="F155" s="27"/>
      <c r="G155" s="27"/>
      <c r="H155" s="27"/>
      <c r="I155" s="27"/>
      <c r="J155" s="27"/>
      <c r="K155" s="27"/>
      <c r="L155" s="27"/>
      <c r="M155" s="27"/>
      <c r="N155" s="27"/>
      <c r="O155" s="27"/>
      <c r="P155" s="27"/>
      <c r="Q155" s="41">
        <f t="shared" si="3"/>
        <v>0</v>
      </c>
      <c r="R155" s="61">
        <v>0</v>
      </c>
      <c r="S155" s="39"/>
      <c r="T155" s="39"/>
      <c r="U155" s="35"/>
      <c r="V155" s="40"/>
    </row>
    <row r="156" spans="1:22" s="3" customFormat="1" ht="24.95" customHeight="1">
      <c r="A156" s="3" t="s">
        <v>611</v>
      </c>
      <c r="B156" s="3" t="s">
        <v>1049</v>
      </c>
      <c r="D156" s="26" t="s">
        <v>612</v>
      </c>
      <c r="E156" s="27"/>
      <c r="F156" s="27"/>
      <c r="G156" s="27"/>
      <c r="H156" s="27"/>
      <c r="I156" s="27"/>
      <c r="J156" s="27"/>
      <c r="K156" s="27"/>
      <c r="L156" s="27"/>
      <c r="M156" s="27"/>
      <c r="N156" s="27"/>
      <c r="O156" s="27"/>
      <c r="P156" s="27"/>
      <c r="Q156" s="41">
        <f t="shared" si="3"/>
        <v>0</v>
      </c>
      <c r="R156" s="61">
        <v>19689.61</v>
      </c>
      <c r="S156" s="39"/>
      <c r="T156" s="39"/>
      <c r="U156" s="35"/>
      <c r="V156" s="40"/>
    </row>
    <row r="157" spans="1:22" s="19" customFormat="1" ht="24.95" customHeight="1">
      <c r="D157" s="21" t="s">
        <v>613</v>
      </c>
      <c r="E157" s="45">
        <f>SUM(E15:E156)</f>
        <v>46720</v>
      </c>
      <c r="F157" s="45">
        <f t="shared" ref="F157:Q157" si="4">SUM(F15:F156)</f>
        <v>15680</v>
      </c>
      <c r="G157" s="45">
        <f t="shared" si="4"/>
        <v>18980</v>
      </c>
      <c r="H157" s="45">
        <f t="shared" si="4"/>
        <v>20740</v>
      </c>
      <c r="I157" s="45">
        <f t="shared" si="4"/>
        <v>21260</v>
      </c>
      <c r="J157" s="45">
        <f t="shared" si="4"/>
        <v>20140</v>
      </c>
      <c r="K157" s="45">
        <f t="shared" si="4"/>
        <v>22180</v>
      </c>
      <c r="L157" s="45">
        <f t="shared" si="4"/>
        <v>22380</v>
      </c>
      <c r="M157" s="45">
        <f t="shared" si="4"/>
        <v>22540</v>
      </c>
      <c r="N157" s="45">
        <f t="shared" si="4"/>
        <v>22880</v>
      </c>
      <c r="O157" s="45">
        <f t="shared" si="4"/>
        <v>22140</v>
      </c>
      <c r="P157" s="45">
        <f t="shared" si="4"/>
        <v>21380</v>
      </c>
      <c r="Q157" s="45">
        <f t="shared" si="4"/>
        <v>277020</v>
      </c>
      <c r="R157" s="45">
        <v>3329050.5998999998</v>
      </c>
      <c r="S157" s="39"/>
      <c r="T157" s="39"/>
      <c r="U157" s="35"/>
      <c r="V157" s="40"/>
    </row>
    <row r="158" spans="1:22" s="19" customFormat="1" ht="24.95" customHeight="1">
      <c r="A158" s="19" t="s">
        <v>1050</v>
      </c>
      <c r="B158" s="19" t="s">
        <v>1049</v>
      </c>
      <c r="D158" s="21" t="s">
        <v>617</v>
      </c>
      <c r="E158" s="27">
        <f>-E12-E157</f>
        <v>-82287.23000000001</v>
      </c>
      <c r="F158" s="27">
        <f t="shared" ref="F158:P158" si="5">-F12-F157</f>
        <v>-56045.020000000004</v>
      </c>
      <c r="G158" s="27">
        <f t="shared" si="5"/>
        <v>-52148.33</v>
      </c>
      <c r="H158" s="27">
        <f t="shared" si="5"/>
        <v>-56367.199999999997</v>
      </c>
      <c r="I158" s="27">
        <f t="shared" si="5"/>
        <v>-56887.199999999997</v>
      </c>
      <c r="J158" s="27">
        <f t="shared" si="5"/>
        <v>-57267.199999999997</v>
      </c>
      <c r="K158" s="27">
        <f t="shared" si="5"/>
        <v>-56848.33</v>
      </c>
      <c r="L158" s="27">
        <f t="shared" si="5"/>
        <v>-57048.33</v>
      </c>
      <c r="M158" s="27">
        <f t="shared" si="5"/>
        <v>-59667.199999999997</v>
      </c>
      <c r="N158" s="27">
        <f t="shared" si="5"/>
        <v>-63424.94</v>
      </c>
      <c r="O158" s="27">
        <f t="shared" si="5"/>
        <v>-55308.33</v>
      </c>
      <c r="P158" s="27">
        <f t="shared" si="5"/>
        <v>-54548.33</v>
      </c>
      <c r="Q158" s="41">
        <f t="shared" ref="Q158" si="6">SUM(E158:P158)</f>
        <v>-707847.6399999999</v>
      </c>
      <c r="R158" s="45">
        <v>6013299.7198999999</v>
      </c>
      <c r="U158" s="35"/>
      <c r="V158" s="40"/>
    </row>
    <row r="159" spans="1:22" s="42" customFormat="1" ht="24.95" customHeight="1">
      <c r="E159" s="321">
        <f>+E158+E281</f>
        <v>-82287.23000000001</v>
      </c>
      <c r="F159" s="321">
        <f t="shared" ref="F159:Q159" si="7">+F158+F281</f>
        <v>-56045.020000000004</v>
      </c>
      <c r="G159" s="321">
        <f t="shared" si="7"/>
        <v>-52148.33</v>
      </c>
      <c r="H159" s="321">
        <f t="shared" si="7"/>
        <v>-56367.199999999997</v>
      </c>
      <c r="I159" s="321">
        <f t="shared" si="7"/>
        <v>-56887.199999999997</v>
      </c>
      <c r="J159" s="321">
        <f t="shared" si="7"/>
        <v>-57267.199999999997</v>
      </c>
      <c r="K159" s="321">
        <f t="shared" si="7"/>
        <v>-56848.33</v>
      </c>
      <c r="L159" s="321">
        <f t="shared" si="7"/>
        <v>-57048.33</v>
      </c>
      <c r="M159" s="321">
        <f t="shared" si="7"/>
        <v>-59667.199999999997</v>
      </c>
      <c r="N159" s="321">
        <f t="shared" si="7"/>
        <v>-63424.94</v>
      </c>
      <c r="O159" s="321">
        <f t="shared" si="7"/>
        <v>-55308.33</v>
      </c>
      <c r="P159" s="321">
        <f t="shared" si="7"/>
        <v>-54548.33</v>
      </c>
      <c r="Q159" s="321">
        <f t="shared" si="7"/>
        <v>-707847.6399999999</v>
      </c>
      <c r="U159" s="35"/>
      <c r="V159" s="40"/>
    </row>
    <row r="160" spans="1:22" s="3" customFormat="1" ht="24.95" customHeight="1">
      <c r="D160" s="19" t="s">
        <v>618</v>
      </c>
      <c r="E160" s="48"/>
      <c r="F160" s="48"/>
      <c r="G160" s="48"/>
      <c r="H160" s="48"/>
      <c r="I160" s="48"/>
      <c r="U160" s="35"/>
      <c r="V160" s="40"/>
    </row>
    <row r="161" spans="1:22" s="3" customFormat="1" ht="24.95" customHeight="1">
      <c r="D161" s="19" t="s">
        <v>444</v>
      </c>
      <c r="E161" s="48"/>
      <c r="F161" s="48"/>
      <c r="G161" s="48"/>
      <c r="H161" s="48"/>
      <c r="I161" s="48"/>
      <c r="U161" s="35"/>
      <c r="V161" s="40"/>
    </row>
    <row r="162" spans="1:22" s="3" customFormat="1" ht="24.95" customHeight="1">
      <c r="A162" s="273" t="s">
        <v>295</v>
      </c>
      <c r="B162" s="3" t="s">
        <v>1049</v>
      </c>
      <c r="D162" s="26" t="s">
        <v>297</v>
      </c>
      <c r="E162" s="43">
        <v>5928</v>
      </c>
      <c r="F162" s="43">
        <v>5928</v>
      </c>
      <c r="G162" s="43">
        <v>5928</v>
      </c>
      <c r="H162" s="43">
        <v>5928</v>
      </c>
      <c r="I162" s="43">
        <v>5928</v>
      </c>
      <c r="J162" s="43">
        <v>5928</v>
      </c>
      <c r="K162" s="43">
        <v>5928</v>
      </c>
      <c r="L162" s="43">
        <v>5928</v>
      </c>
      <c r="M162" s="43">
        <v>5928</v>
      </c>
      <c r="N162" s="43">
        <v>5928</v>
      </c>
      <c r="O162" s="43">
        <v>5928</v>
      </c>
      <c r="P162" s="43">
        <v>5928</v>
      </c>
      <c r="Q162" s="41">
        <f>SUM(E162:P162)</f>
        <v>71136</v>
      </c>
      <c r="R162" s="61">
        <v>1245231.19</v>
      </c>
      <c r="S162" s="39">
        <f>Q162/Summary!$Q$16</f>
        <v>2.1389273998319814E-3</v>
      </c>
      <c r="T162" s="39">
        <f>Laundry!$S162</f>
        <v>2.1389273998319814E-3</v>
      </c>
      <c r="U162" s="35"/>
      <c r="V162" s="40"/>
    </row>
    <row r="163" spans="1:22" s="3" customFormat="1" ht="24.95" customHeight="1">
      <c r="A163" s="50" t="s">
        <v>298</v>
      </c>
      <c r="B163" s="3" t="s">
        <v>1049</v>
      </c>
      <c r="D163" s="26" t="s">
        <v>447</v>
      </c>
      <c r="E163" s="43">
        <v>15728</v>
      </c>
      <c r="F163" s="43">
        <v>15728</v>
      </c>
      <c r="G163" s="43">
        <v>15728</v>
      </c>
      <c r="H163" s="43">
        <v>15728</v>
      </c>
      <c r="I163" s="43">
        <v>15728</v>
      </c>
      <c r="J163" s="43">
        <v>15728</v>
      </c>
      <c r="K163" s="43">
        <v>15728</v>
      </c>
      <c r="L163" s="43">
        <v>15728</v>
      </c>
      <c r="M163" s="43">
        <v>15728</v>
      </c>
      <c r="N163" s="43">
        <v>15728</v>
      </c>
      <c r="O163" s="43">
        <v>15728</v>
      </c>
      <c r="P163" s="43">
        <v>15728</v>
      </c>
      <c r="Q163" s="41">
        <f>SUM(E163:P163)</f>
        <v>188736</v>
      </c>
      <c r="R163" s="61">
        <v>219950.81</v>
      </c>
      <c r="S163" s="39">
        <f>Q163/Summary!$Q$16</f>
        <v>5.6749409825501695E-3</v>
      </c>
      <c r="T163" s="39">
        <f>Laundry!$S163</f>
        <v>5.6749409825501695E-3</v>
      </c>
      <c r="U163" s="35"/>
      <c r="V163" s="40"/>
    </row>
    <row r="164" spans="1:22" s="3" customFormat="1" ht="24.95" customHeight="1">
      <c r="B164" s="51"/>
      <c r="D164" s="21" t="s">
        <v>450</v>
      </c>
      <c r="E164" s="52">
        <f>SUM(E162:E163)</f>
        <v>21656</v>
      </c>
      <c r="F164" s="52">
        <f t="shared" ref="F164:P164" si="8">SUM(F162:F163)</f>
        <v>21656</v>
      </c>
      <c r="G164" s="52">
        <f t="shared" si="8"/>
        <v>21656</v>
      </c>
      <c r="H164" s="52">
        <f t="shared" si="8"/>
        <v>21656</v>
      </c>
      <c r="I164" s="52">
        <f t="shared" si="8"/>
        <v>21656</v>
      </c>
      <c r="J164" s="52">
        <f t="shared" si="8"/>
        <v>21656</v>
      </c>
      <c r="K164" s="52">
        <f t="shared" si="8"/>
        <v>21656</v>
      </c>
      <c r="L164" s="52">
        <f t="shared" si="8"/>
        <v>21656</v>
      </c>
      <c r="M164" s="52">
        <f t="shared" si="8"/>
        <v>21656</v>
      </c>
      <c r="N164" s="52">
        <f t="shared" si="8"/>
        <v>21656</v>
      </c>
      <c r="O164" s="52">
        <f t="shared" si="8"/>
        <v>21656</v>
      </c>
      <c r="P164" s="52">
        <f t="shared" si="8"/>
        <v>21656</v>
      </c>
      <c r="Q164" s="52">
        <f t="shared" ref="Q164" si="9">SUM(Q162:Q163)</f>
        <v>259872</v>
      </c>
      <c r="R164" s="52">
        <v>1465182</v>
      </c>
      <c r="S164" s="39">
        <f>Q164/Summary!$Q$16</f>
        <v>7.8138683823821518E-3</v>
      </c>
      <c r="T164" s="39">
        <f>Laundry!$S164</f>
        <v>7.8138683823821518E-3</v>
      </c>
      <c r="U164" s="35"/>
      <c r="V164" s="40"/>
    </row>
    <row r="165" spans="1:22" s="3" customFormat="1" ht="24.95" customHeight="1">
      <c r="B165" s="51"/>
      <c r="E165" s="53"/>
      <c r="F165" s="53"/>
      <c r="G165" s="53"/>
      <c r="H165" s="53"/>
      <c r="I165" s="53"/>
      <c r="J165" s="53"/>
      <c r="K165" s="53"/>
      <c r="L165" s="53"/>
      <c r="M165" s="53"/>
      <c r="N165" s="53"/>
      <c r="O165" s="53"/>
      <c r="P165" s="53"/>
      <c r="Q165" s="53"/>
      <c r="R165" s="53"/>
      <c r="U165" s="35"/>
      <c r="V165" s="40"/>
    </row>
    <row r="166" spans="1:22" s="3" customFormat="1" ht="24.95" customHeight="1">
      <c r="A166" s="271" t="s">
        <v>619</v>
      </c>
      <c r="B166" s="3" t="s">
        <v>1049</v>
      </c>
      <c r="D166" s="26" t="s">
        <v>307</v>
      </c>
      <c r="E166" s="43">
        <v>2398.9</v>
      </c>
      <c r="F166" s="27">
        <v>7196.69</v>
      </c>
      <c r="G166" s="27">
        <v>0</v>
      </c>
      <c r="H166" s="27">
        <v>2458.87</v>
      </c>
      <c r="I166" s="27">
        <v>2458.87</v>
      </c>
      <c r="J166" s="27">
        <v>2458.87</v>
      </c>
      <c r="K166" s="27">
        <v>0</v>
      </c>
      <c r="L166" s="27">
        <v>0</v>
      </c>
      <c r="M166" s="27">
        <v>2458.87</v>
      </c>
      <c r="N166" s="27">
        <v>7376.61</v>
      </c>
      <c r="O166" s="27">
        <v>0</v>
      </c>
      <c r="P166" s="27">
        <v>0</v>
      </c>
      <c r="Q166" s="41">
        <f>SUM(E166:P166)</f>
        <v>26807.679999999997</v>
      </c>
      <c r="R166" s="62">
        <v>4634.2</v>
      </c>
      <c r="S166" s="39">
        <f>Q166/Summary!$Q$16</f>
        <v>8.0605714796907059E-4</v>
      </c>
      <c r="T166" s="39">
        <f>Laundry!$S166</f>
        <v>8.0605714796907059E-4</v>
      </c>
      <c r="U166" s="35"/>
      <c r="V166" s="40"/>
    </row>
    <row r="167" spans="1:22" s="3" customFormat="1" ht="24.95" customHeight="1">
      <c r="A167" s="54" t="s">
        <v>308</v>
      </c>
      <c r="B167" s="3" t="s">
        <v>1049</v>
      </c>
      <c r="D167" s="26" t="s">
        <v>309</v>
      </c>
      <c r="E167" s="27">
        <f>ROUND(E164/12*1.5,2)</f>
        <v>2707</v>
      </c>
      <c r="F167" s="27">
        <f>ROUND(F164/12*1.5,2)</f>
        <v>2707</v>
      </c>
      <c r="G167" s="27">
        <f t="shared" ref="G167:P167" si="10">ROUND(G164/12*1.5,2)</f>
        <v>2707</v>
      </c>
      <c r="H167" s="27">
        <f t="shared" si="10"/>
        <v>2707</v>
      </c>
      <c r="I167" s="27">
        <f t="shared" si="10"/>
        <v>2707</v>
      </c>
      <c r="J167" s="27">
        <f t="shared" si="10"/>
        <v>2707</v>
      </c>
      <c r="K167" s="27">
        <f t="shared" si="10"/>
        <v>2707</v>
      </c>
      <c r="L167" s="27">
        <f t="shared" si="10"/>
        <v>2707</v>
      </c>
      <c r="M167" s="27">
        <f t="shared" si="10"/>
        <v>2707</v>
      </c>
      <c r="N167" s="27">
        <f t="shared" si="10"/>
        <v>2707</v>
      </c>
      <c r="O167" s="27">
        <f t="shared" si="10"/>
        <v>2707</v>
      </c>
      <c r="P167" s="27">
        <f t="shared" si="10"/>
        <v>2707</v>
      </c>
      <c r="Q167" s="41">
        <f>SUM(E167:P167)</f>
        <v>32484</v>
      </c>
      <c r="R167" s="62">
        <v>204251.35</v>
      </c>
      <c r="S167" s="39">
        <f>Q167/Summary!$Q$16</f>
        <v>9.7673354779776898E-4</v>
      </c>
      <c r="T167" s="39">
        <f>Laundry!$S167</f>
        <v>9.7673354779776898E-4</v>
      </c>
      <c r="U167" s="35"/>
      <c r="V167" s="40"/>
    </row>
    <row r="168" spans="1:22" s="3" customFormat="1" ht="24.95" customHeight="1">
      <c r="A168" s="271" t="s">
        <v>620</v>
      </c>
      <c r="B168" s="3" t="s">
        <v>1049</v>
      </c>
      <c r="D168" s="26" t="s">
        <v>311</v>
      </c>
      <c r="E168" s="43"/>
      <c r="F168" s="27"/>
      <c r="G168" s="27"/>
      <c r="H168" s="27"/>
      <c r="I168" s="27"/>
      <c r="J168" s="27">
        <v>1500</v>
      </c>
      <c r="K168" s="27">
        <v>1500</v>
      </c>
      <c r="L168" s="27">
        <v>1500</v>
      </c>
      <c r="M168" s="27">
        <v>1500</v>
      </c>
      <c r="N168" s="27"/>
      <c r="O168" s="27"/>
      <c r="P168" s="27"/>
      <c r="Q168" s="41">
        <f>SUM(E168:P168)</f>
        <v>6000</v>
      </c>
      <c r="R168" s="62">
        <v>2900</v>
      </c>
      <c r="S168" s="39">
        <f>Q168/Summary!$Q$16</f>
        <v>1.8040885626113205E-4</v>
      </c>
      <c r="T168" s="39">
        <f>Laundry!$S168</f>
        <v>1.8040885626113205E-4</v>
      </c>
      <c r="U168" s="35"/>
      <c r="V168" s="40"/>
    </row>
    <row r="169" spans="1:22" s="3" customFormat="1" ht="24.95" customHeight="1">
      <c r="A169" s="271" t="s">
        <v>621</v>
      </c>
      <c r="B169" s="3" t="s">
        <v>1049</v>
      </c>
      <c r="D169" s="26" t="s">
        <v>313</v>
      </c>
      <c r="E169" s="43"/>
      <c r="F169" s="27"/>
      <c r="G169" s="27"/>
      <c r="H169" s="27"/>
      <c r="I169" s="27"/>
      <c r="J169" s="27"/>
      <c r="K169" s="27"/>
      <c r="L169" s="27"/>
      <c r="M169" s="27"/>
      <c r="N169" s="27"/>
      <c r="O169" s="27"/>
      <c r="P169" s="27"/>
      <c r="Q169" s="41">
        <f t="shared" ref="Q169:Q170" si="11">SUM(E169:P169)</f>
        <v>0</v>
      </c>
      <c r="R169" s="62">
        <v>8500</v>
      </c>
      <c r="S169" s="39">
        <f>Q169/Summary!$Q$16</f>
        <v>0</v>
      </c>
      <c r="T169" s="39">
        <f>Laundry!$S169</f>
        <v>0</v>
      </c>
      <c r="U169" s="35"/>
      <c r="V169" s="40"/>
    </row>
    <row r="170" spans="1:22" s="3" customFormat="1" ht="24.95" customHeight="1">
      <c r="A170" s="271" t="s">
        <v>622</v>
      </c>
      <c r="B170" s="3" t="s">
        <v>1049</v>
      </c>
      <c r="D170" s="26" t="s">
        <v>315</v>
      </c>
      <c r="E170" s="43"/>
      <c r="F170" s="27"/>
      <c r="G170" s="27"/>
      <c r="H170" s="27"/>
      <c r="I170" s="27"/>
      <c r="J170" s="27"/>
      <c r="K170" s="27"/>
      <c r="L170" s="27"/>
      <c r="M170" s="27"/>
      <c r="N170" s="27"/>
      <c r="O170" s="27"/>
      <c r="P170" s="27"/>
      <c r="Q170" s="41">
        <f t="shared" si="11"/>
        <v>0</v>
      </c>
      <c r="R170" s="63">
        <v>383509.26</v>
      </c>
      <c r="S170" s="39">
        <f>Q170/Summary!$Q$16</f>
        <v>0</v>
      </c>
      <c r="T170" s="39">
        <f>Laundry!$S170</f>
        <v>0</v>
      </c>
      <c r="U170" s="35"/>
      <c r="V170" s="40"/>
    </row>
    <row r="171" spans="1:22" s="3" customFormat="1" ht="24.95" customHeight="1">
      <c r="A171" s="271" t="s">
        <v>1109</v>
      </c>
      <c r="B171" s="3" t="s">
        <v>1049</v>
      </c>
      <c r="D171" s="26" t="s">
        <v>1113</v>
      </c>
      <c r="E171" s="43"/>
      <c r="F171" s="27"/>
      <c r="G171" s="27"/>
      <c r="H171" s="27"/>
      <c r="I171" s="27"/>
      <c r="J171" s="27"/>
      <c r="K171" s="27"/>
      <c r="L171" s="27"/>
      <c r="M171" s="27"/>
      <c r="N171" s="27"/>
      <c r="O171" s="27"/>
      <c r="P171" s="27"/>
      <c r="Q171" s="41">
        <f t="shared" ref="Q171:Q172" si="12">SUM(E171:P171)</f>
        <v>0</v>
      </c>
      <c r="R171" s="62">
        <v>8500</v>
      </c>
      <c r="S171" s="39">
        <f>Q171/Summary!$Q$16</f>
        <v>0</v>
      </c>
      <c r="T171" s="39">
        <f>Laundry!$S171</f>
        <v>0</v>
      </c>
      <c r="U171" s="35"/>
      <c r="V171" s="40"/>
    </row>
    <row r="172" spans="1:22" s="3" customFormat="1" ht="24.95" customHeight="1">
      <c r="A172" s="271" t="s">
        <v>1109</v>
      </c>
      <c r="B172" s="3" t="s">
        <v>1049</v>
      </c>
      <c r="D172" s="26" t="s">
        <v>1114</v>
      </c>
      <c r="E172" s="43"/>
      <c r="F172" s="27"/>
      <c r="G172" s="27"/>
      <c r="H172" s="27"/>
      <c r="I172" s="27"/>
      <c r="J172" s="27"/>
      <c r="K172" s="27"/>
      <c r="L172" s="27"/>
      <c r="M172" s="27"/>
      <c r="N172" s="27"/>
      <c r="O172" s="27"/>
      <c r="P172" s="27"/>
      <c r="Q172" s="41">
        <f t="shared" si="12"/>
        <v>0</v>
      </c>
      <c r="R172" s="63">
        <v>383509.26</v>
      </c>
      <c r="S172" s="39">
        <f>Q172/Summary!$Q$16</f>
        <v>0</v>
      </c>
      <c r="T172" s="39">
        <f>Laundry!$S172</f>
        <v>0</v>
      </c>
      <c r="U172" s="35"/>
      <c r="V172" s="40"/>
    </row>
    <row r="173" spans="1:22" s="19" customFormat="1" ht="24.95" customHeight="1">
      <c r="A173" s="54"/>
      <c r="B173" s="51"/>
      <c r="D173" s="19" t="s">
        <v>316</v>
      </c>
      <c r="E173" s="52">
        <f>SUM(E166:E172)</f>
        <v>5105.8999999999996</v>
      </c>
      <c r="F173" s="52">
        <f t="shared" ref="F173:P173" si="13">SUM(F166:F172)</f>
        <v>9903.6899999999987</v>
      </c>
      <c r="G173" s="52">
        <f t="shared" si="13"/>
        <v>2707</v>
      </c>
      <c r="H173" s="52">
        <f t="shared" si="13"/>
        <v>5165.87</v>
      </c>
      <c r="I173" s="52">
        <f t="shared" si="13"/>
        <v>5165.87</v>
      </c>
      <c r="J173" s="52">
        <f t="shared" si="13"/>
        <v>6665.87</v>
      </c>
      <c r="K173" s="52">
        <f t="shared" si="13"/>
        <v>4207</v>
      </c>
      <c r="L173" s="52">
        <f t="shared" si="13"/>
        <v>4207</v>
      </c>
      <c r="M173" s="52">
        <f t="shared" si="13"/>
        <v>6665.87</v>
      </c>
      <c r="N173" s="52">
        <f t="shared" si="13"/>
        <v>10083.61</v>
      </c>
      <c r="O173" s="52">
        <f t="shared" si="13"/>
        <v>2707</v>
      </c>
      <c r="P173" s="52">
        <f t="shared" si="13"/>
        <v>2707</v>
      </c>
      <c r="Q173" s="52">
        <f t="shared" ref="Q173" si="14">SUM(Q166:Q172)</f>
        <v>65291.679999999993</v>
      </c>
      <c r="R173" s="52">
        <v>603794.81000000006</v>
      </c>
      <c r="S173" s="39">
        <f>Q173/Summary!$Q$16</f>
        <v>1.9631995520279716E-3</v>
      </c>
      <c r="T173" s="39">
        <f>Laundry!$S173</f>
        <v>1.9631995520279716E-3</v>
      </c>
      <c r="U173" s="35"/>
      <c r="V173" s="40"/>
    </row>
    <row r="174" spans="1:22" s="3" customFormat="1" ht="24.95" customHeight="1">
      <c r="A174" s="50"/>
      <c r="D174" s="19"/>
      <c r="E174" s="53"/>
      <c r="F174" s="53"/>
      <c r="G174" s="53"/>
      <c r="H174" s="53"/>
      <c r="I174" s="53"/>
      <c r="J174" s="53"/>
      <c r="K174" s="53"/>
      <c r="L174" s="53"/>
      <c r="M174" s="53"/>
      <c r="N174" s="53"/>
      <c r="O174" s="53"/>
      <c r="P174" s="53"/>
      <c r="Q174" s="53"/>
      <c r="R174" s="53"/>
      <c r="U174" s="35"/>
      <c r="V174" s="40"/>
    </row>
    <row r="175" spans="1:22" s="3" customFormat="1" ht="24.95" customHeight="1">
      <c r="A175" s="271" t="s">
        <v>625</v>
      </c>
      <c r="B175" s="3" t="s">
        <v>1049</v>
      </c>
      <c r="D175" s="26" t="s">
        <v>318</v>
      </c>
      <c r="E175" s="43">
        <v>4020.48</v>
      </c>
      <c r="F175" s="43">
        <v>4020.48</v>
      </c>
      <c r="G175" s="43">
        <v>4020.48</v>
      </c>
      <c r="H175" s="43">
        <v>4020.48</v>
      </c>
      <c r="I175" s="43">
        <v>4020.48</v>
      </c>
      <c r="J175" s="43">
        <v>4020.48</v>
      </c>
      <c r="K175" s="43">
        <v>4020.48</v>
      </c>
      <c r="L175" s="43">
        <v>4020.48</v>
      </c>
      <c r="M175" s="43">
        <v>4020.48</v>
      </c>
      <c r="N175" s="43">
        <v>4020.48</v>
      </c>
      <c r="O175" s="43">
        <v>4020.48</v>
      </c>
      <c r="P175" s="43">
        <v>4020.48</v>
      </c>
      <c r="Q175" s="41">
        <f>SUM(E175:P175)</f>
        <v>48245.760000000009</v>
      </c>
      <c r="R175" s="63">
        <v>164797.04999999999</v>
      </c>
      <c r="S175" s="39">
        <f>Q175/Summary!$Q$16</f>
        <v>1.4506603968415127E-3</v>
      </c>
      <c r="T175" s="39">
        <f>Laundry!$S175</f>
        <v>1.4506603968415127E-3</v>
      </c>
      <c r="U175" s="35"/>
      <c r="V175" s="40"/>
    </row>
    <row r="176" spans="1:22" s="3" customFormat="1" ht="24.95" customHeight="1">
      <c r="A176" s="271" t="s">
        <v>626</v>
      </c>
      <c r="B176" s="3" t="s">
        <v>1049</v>
      </c>
      <c r="D176" s="26" t="s">
        <v>320</v>
      </c>
      <c r="E176" s="43">
        <v>1758.96</v>
      </c>
      <c r="F176" s="43">
        <v>1758.96</v>
      </c>
      <c r="G176" s="43">
        <v>1758.96</v>
      </c>
      <c r="H176" s="43">
        <v>1758.96</v>
      </c>
      <c r="I176" s="43">
        <v>1758.96</v>
      </c>
      <c r="J176" s="43">
        <v>1758.96</v>
      </c>
      <c r="K176" s="43">
        <v>1758.96</v>
      </c>
      <c r="L176" s="43">
        <v>1758.96</v>
      </c>
      <c r="M176" s="43">
        <v>1758.96</v>
      </c>
      <c r="N176" s="43">
        <v>1758.96</v>
      </c>
      <c r="O176" s="43">
        <v>1758.96</v>
      </c>
      <c r="P176" s="43">
        <v>1758.96</v>
      </c>
      <c r="Q176" s="41">
        <f t="shared" ref="Q176:Q182" si="15">SUM(E176:P176)</f>
        <v>21107.519999999993</v>
      </c>
      <c r="R176" s="63">
        <v>124232.19</v>
      </c>
      <c r="S176" s="39">
        <f>Q176/Summary!$Q$16</f>
        <v>6.3466392361816149E-4</v>
      </c>
      <c r="T176" s="39">
        <f>Laundry!$S176</f>
        <v>6.3466392361816149E-4</v>
      </c>
      <c r="U176" s="35"/>
      <c r="V176" s="40"/>
    </row>
    <row r="177" spans="1:22" s="3" customFormat="1" ht="24.95" customHeight="1">
      <c r="A177" s="271" t="s">
        <v>627</v>
      </c>
      <c r="B177" s="3" t="s">
        <v>1049</v>
      </c>
      <c r="D177" s="26" t="s">
        <v>322</v>
      </c>
      <c r="E177" s="43">
        <v>125.64</v>
      </c>
      <c r="F177" s="43">
        <v>125.64</v>
      </c>
      <c r="G177" s="43">
        <v>125.64</v>
      </c>
      <c r="H177" s="43">
        <v>125.64</v>
      </c>
      <c r="I177" s="43">
        <v>125.64</v>
      </c>
      <c r="J177" s="43">
        <v>125.64</v>
      </c>
      <c r="K177" s="43">
        <v>125.64</v>
      </c>
      <c r="L177" s="43">
        <v>125.64</v>
      </c>
      <c r="M177" s="43">
        <v>125.64</v>
      </c>
      <c r="N177" s="43">
        <v>125.64</v>
      </c>
      <c r="O177" s="43">
        <v>125.64</v>
      </c>
      <c r="P177" s="43">
        <v>125.64</v>
      </c>
      <c r="Q177" s="41">
        <f t="shared" si="15"/>
        <v>1507.6800000000003</v>
      </c>
      <c r="R177" s="63">
        <v>6619.16</v>
      </c>
      <c r="S177" s="39">
        <f>Q177/Summary!$Q$16</f>
        <v>4.5333137401297271E-5</v>
      </c>
      <c r="T177" s="39">
        <f>Laundry!$S177</f>
        <v>4.5333137401297271E-5</v>
      </c>
      <c r="U177" s="35"/>
      <c r="V177" s="40"/>
    </row>
    <row r="178" spans="1:22" s="3" customFormat="1" ht="24.95" customHeight="1">
      <c r="A178" s="271" t="s">
        <v>628</v>
      </c>
      <c r="B178" s="3" t="s">
        <v>1049</v>
      </c>
      <c r="D178" s="26" t="s">
        <v>324</v>
      </c>
      <c r="E178" s="43">
        <v>100.51</v>
      </c>
      <c r="F178" s="43">
        <v>100.51</v>
      </c>
      <c r="G178" s="43">
        <v>100.51</v>
      </c>
      <c r="H178" s="43">
        <v>100.51</v>
      </c>
      <c r="I178" s="43">
        <v>100.51</v>
      </c>
      <c r="J178" s="43">
        <v>100.51</v>
      </c>
      <c r="K178" s="43">
        <v>100.51</v>
      </c>
      <c r="L178" s="43">
        <v>100.51</v>
      </c>
      <c r="M178" s="43">
        <v>100.51</v>
      </c>
      <c r="N178" s="43">
        <v>100.51</v>
      </c>
      <c r="O178" s="43">
        <v>100.51</v>
      </c>
      <c r="P178" s="43">
        <v>100.51</v>
      </c>
      <c r="Q178" s="41">
        <f t="shared" si="15"/>
        <v>1206.1200000000001</v>
      </c>
      <c r="R178" s="63">
        <v>3464.87</v>
      </c>
      <c r="S178" s="39">
        <f>Q178/Summary!$Q$16</f>
        <v>3.6265788285612769E-5</v>
      </c>
      <c r="T178" s="39">
        <f>Laundry!$S178</f>
        <v>3.6265788285612769E-5</v>
      </c>
      <c r="U178" s="35"/>
      <c r="V178" s="40"/>
    </row>
    <row r="179" spans="1:22" s="3" customFormat="1" ht="24.95" customHeight="1">
      <c r="A179" s="271" t="s">
        <v>629</v>
      </c>
      <c r="B179" s="3" t="s">
        <v>1049</v>
      </c>
      <c r="D179" s="26" t="s">
        <v>326</v>
      </c>
      <c r="E179" s="43">
        <v>201.02</v>
      </c>
      <c r="F179" s="43">
        <v>201.02</v>
      </c>
      <c r="G179" s="43">
        <v>201.02</v>
      </c>
      <c r="H179" s="43">
        <v>201.02</v>
      </c>
      <c r="I179" s="43">
        <v>201.02</v>
      </c>
      <c r="J179" s="43">
        <v>201.02</v>
      </c>
      <c r="K179" s="43">
        <v>201.02</v>
      </c>
      <c r="L179" s="43">
        <v>201.02</v>
      </c>
      <c r="M179" s="43">
        <v>201.02</v>
      </c>
      <c r="N179" s="43">
        <v>201.02</v>
      </c>
      <c r="O179" s="43">
        <v>201.02</v>
      </c>
      <c r="P179" s="43">
        <v>201.02</v>
      </c>
      <c r="Q179" s="41">
        <f t="shared" si="15"/>
        <v>2412.2400000000002</v>
      </c>
      <c r="R179" s="63">
        <v>12935.92</v>
      </c>
      <c r="S179" s="39">
        <f>Q179/Summary!$Q$16</f>
        <v>7.2531576571225538E-5</v>
      </c>
      <c r="T179" s="39">
        <f>Laundry!$S179</f>
        <v>7.2531576571225538E-5</v>
      </c>
      <c r="U179" s="35"/>
      <c r="V179" s="40"/>
    </row>
    <row r="180" spans="1:22" s="3" customFormat="1" ht="24.95" customHeight="1">
      <c r="A180" s="271" t="s">
        <v>630</v>
      </c>
      <c r="B180" s="3" t="s">
        <v>1049</v>
      </c>
      <c r="D180" s="26" t="s">
        <v>328</v>
      </c>
      <c r="E180" s="43">
        <v>2165.6</v>
      </c>
      <c r="F180" s="43">
        <v>2165.6</v>
      </c>
      <c r="G180" s="43">
        <v>2165.6</v>
      </c>
      <c r="H180" s="43">
        <v>2165.6</v>
      </c>
      <c r="I180" s="43">
        <v>2165.6</v>
      </c>
      <c r="J180" s="43">
        <v>2165.6</v>
      </c>
      <c r="K180" s="43">
        <v>2165.6</v>
      </c>
      <c r="L180" s="43">
        <v>2165.6</v>
      </c>
      <c r="M180" s="43">
        <v>2165.6</v>
      </c>
      <c r="N180" s="43">
        <v>2165.6</v>
      </c>
      <c r="O180" s="43">
        <v>2165.6</v>
      </c>
      <c r="P180" s="43">
        <v>2165.6</v>
      </c>
      <c r="Q180" s="41">
        <f t="shared" si="15"/>
        <v>25987.199999999993</v>
      </c>
      <c r="R180" s="63">
        <v>152860.15</v>
      </c>
      <c r="S180" s="39">
        <f>Q180/Summary!$Q$16</f>
        <v>7.8138683823821497E-4</v>
      </c>
      <c r="T180" s="39">
        <f>Laundry!$S180</f>
        <v>7.8138683823821497E-4</v>
      </c>
      <c r="U180" s="35"/>
      <c r="V180" s="40"/>
    </row>
    <row r="181" spans="1:22" s="3" customFormat="1" ht="24.95" customHeight="1">
      <c r="A181" s="271" t="s">
        <v>631</v>
      </c>
      <c r="B181" s="3" t="s">
        <v>1049</v>
      </c>
      <c r="D181" s="26" t="s">
        <v>330</v>
      </c>
      <c r="E181" s="43">
        <f>ROUND(E164*2%,2)</f>
        <v>433.12</v>
      </c>
      <c r="F181" s="43">
        <f t="shared" ref="F181:P181" si="16">ROUND(F164*2%,2)</f>
        <v>433.12</v>
      </c>
      <c r="G181" s="43">
        <f t="shared" si="16"/>
        <v>433.12</v>
      </c>
      <c r="H181" s="43">
        <f t="shared" si="16"/>
        <v>433.12</v>
      </c>
      <c r="I181" s="43">
        <f t="shared" si="16"/>
        <v>433.12</v>
      </c>
      <c r="J181" s="43">
        <f t="shared" si="16"/>
        <v>433.12</v>
      </c>
      <c r="K181" s="43">
        <f t="shared" si="16"/>
        <v>433.12</v>
      </c>
      <c r="L181" s="43">
        <f t="shared" si="16"/>
        <v>433.12</v>
      </c>
      <c r="M181" s="43">
        <f t="shared" si="16"/>
        <v>433.12</v>
      </c>
      <c r="N181" s="43">
        <f t="shared" si="16"/>
        <v>433.12</v>
      </c>
      <c r="O181" s="43">
        <f t="shared" si="16"/>
        <v>433.12</v>
      </c>
      <c r="P181" s="43">
        <f t="shared" si="16"/>
        <v>433.12</v>
      </c>
      <c r="Q181" s="41">
        <f t="shared" si="15"/>
        <v>5197.4399999999996</v>
      </c>
      <c r="R181" s="63">
        <v>0</v>
      </c>
      <c r="S181" s="39">
        <f>Q181/Summary!$Q$16</f>
        <v>1.5627736764764301E-4</v>
      </c>
      <c r="T181" s="39">
        <f>Laundry!$S181</f>
        <v>1.5627736764764301E-4</v>
      </c>
      <c r="U181" s="35"/>
      <c r="V181" s="40"/>
    </row>
    <row r="182" spans="1:22" s="3" customFormat="1" ht="24.95" customHeight="1">
      <c r="A182" s="271" t="s">
        <v>632</v>
      </c>
      <c r="B182" s="3" t="s">
        <v>1049</v>
      </c>
      <c r="D182" s="26" t="s">
        <v>332</v>
      </c>
      <c r="E182" s="43">
        <v>0</v>
      </c>
      <c r="F182" s="27"/>
      <c r="G182" s="27"/>
      <c r="H182" s="27"/>
      <c r="I182" s="27"/>
      <c r="J182" s="27"/>
      <c r="K182" s="27"/>
      <c r="L182" s="27"/>
      <c r="M182" s="27"/>
      <c r="N182" s="27"/>
      <c r="O182" s="27"/>
      <c r="P182" s="27"/>
      <c r="Q182" s="41">
        <f t="shared" si="15"/>
        <v>0</v>
      </c>
      <c r="R182" s="63">
        <v>0</v>
      </c>
      <c r="S182" s="39">
        <f>Q182/Summary!$Q$16</f>
        <v>0</v>
      </c>
      <c r="T182" s="39">
        <f>Laundry!$S182</f>
        <v>0</v>
      </c>
      <c r="U182" s="35"/>
      <c r="V182" s="40"/>
    </row>
    <row r="183" spans="1:22" s="19" customFormat="1" ht="24.95" customHeight="1">
      <c r="A183" s="54"/>
      <c r="B183" s="51"/>
      <c r="D183" s="19" t="s">
        <v>333</v>
      </c>
      <c r="E183" s="45">
        <f>SUM(E175:E182)</f>
        <v>8805.3300000000017</v>
      </c>
      <c r="F183" s="45">
        <f t="shared" ref="F183:P183" si="17">SUM(F175:F182)</f>
        <v>8805.3300000000017</v>
      </c>
      <c r="G183" s="45">
        <f t="shared" si="17"/>
        <v>8805.3300000000017</v>
      </c>
      <c r="H183" s="45">
        <f t="shared" si="17"/>
        <v>8805.3300000000017</v>
      </c>
      <c r="I183" s="45">
        <f t="shared" si="17"/>
        <v>8805.3300000000017</v>
      </c>
      <c r="J183" s="45">
        <f t="shared" si="17"/>
        <v>8805.3300000000017</v>
      </c>
      <c r="K183" s="45">
        <f t="shared" si="17"/>
        <v>8805.3300000000017</v>
      </c>
      <c r="L183" s="45">
        <f t="shared" si="17"/>
        <v>8805.3300000000017</v>
      </c>
      <c r="M183" s="45">
        <f t="shared" si="17"/>
        <v>8805.3300000000017</v>
      </c>
      <c r="N183" s="45">
        <f t="shared" si="17"/>
        <v>8805.3300000000017</v>
      </c>
      <c r="O183" s="45">
        <f t="shared" si="17"/>
        <v>8805.3300000000017</v>
      </c>
      <c r="P183" s="45">
        <f t="shared" si="17"/>
        <v>8805.3300000000017</v>
      </c>
      <c r="Q183" s="310">
        <f t="shared" ref="Q183" si="18">SUM(Q175:Q182)</f>
        <v>105663.95999999999</v>
      </c>
      <c r="R183" s="45">
        <v>464909.34</v>
      </c>
      <c r="S183" s="39">
        <f>Q183/Summary!$Q$16</f>
        <v>3.1771190286036676E-3</v>
      </c>
      <c r="T183" s="39">
        <f>Laundry!$S183</f>
        <v>3.1771190286036676E-3</v>
      </c>
      <c r="U183" s="35"/>
      <c r="V183" s="40"/>
    </row>
    <row r="184" spans="1:22" s="19" customFormat="1" ht="24.95" customHeight="1">
      <c r="A184" s="54"/>
      <c r="B184" s="51"/>
      <c r="D184" s="21"/>
      <c r="E184" s="55"/>
      <c r="F184" s="55"/>
      <c r="G184" s="55"/>
      <c r="H184" s="55"/>
      <c r="I184" s="55"/>
      <c r="J184" s="55"/>
      <c r="K184" s="55"/>
      <c r="L184" s="55"/>
      <c r="M184" s="55"/>
      <c r="N184" s="55"/>
      <c r="O184" s="55"/>
      <c r="P184" s="55"/>
      <c r="Q184" s="55"/>
      <c r="R184" s="55"/>
      <c r="U184" s="35"/>
      <c r="V184" s="40"/>
    </row>
    <row r="185" spans="1:22" s="3" customFormat="1" ht="24.95" customHeight="1">
      <c r="A185" s="271" t="s">
        <v>633</v>
      </c>
      <c r="B185" s="3" t="s">
        <v>1049</v>
      </c>
      <c r="D185" s="26" t="s">
        <v>335</v>
      </c>
      <c r="E185" s="43">
        <v>0</v>
      </c>
      <c r="F185" s="27"/>
      <c r="G185" s="27"/>
      <c r="H185" s="27"/>
      <c r="I185" s="27"/>
      <c r="J185" s="27"/>
      <c r="K185" s="27"/>
      <c r="L185" s="27"/>
      <c r="M185" s="27"/>
      <c r="N185" s="27"/>
      <c r="O185" s="27"/>
      <c r="P185" s="27"/>
      <c r="Q185" s="41">
        <f>SUM(E185:P185)</f>
        <v>0</v>
      </c>
      <c r="R185" s="63">
        <v>0</v>
      </c>
      <c r="U185" s="35"/>
      <c r="V185" s="40"/>
    </row>
    <row r="186" spans="1:22" s="3" customFormat="1" ht="24.95" customHeight="1">
      <c r="A186" s="271" t="s">
        <v>634</v>
      </c>
      <c r="B186" s="3" t="s">
        <v>1049</v>
      </c>
      <c r="D186" s="3" t="s">
        <v>337</v>
      </c>
      <c r="E186" s="43">
        <v>0</v>
      </c>
      <c r="F186" s="27"/>
      <c r="G186" s="27"/>
      <c r="H186" s="27"/>
      <c r="I186" s="27"/>
      <c r="J186" s="27"/>
      <c r="K186" s="27"/>
      <c r="L186" s="27"/>
      <c r="M186" s="27"/>
      <c r="N186" s="27"/>
      <c r="O186" s="27"/>
      <c r="P186" s="27"/>
      <c r="Q186" s="41">
        <f t="shared" ref="Q186:Q191" si="19">SUM(E186:P186)</f>
        <v>0</v>
      </c>
      <c r="R186" s="63">
        <v>0</v>
      </c>
      <c r="U186" s="35"/>
      <c r="V186" s="40"/>
    </row>
    <row r="187" spans="1:22" s="3" customFormat="1" ht="24.95" customHeight="1">
      <c r="A187" s="271" t="s">
        <v>635</v>
      </c>
      <c r="B187" s="3" t="s">
        <v>1049</v>
      </c>
      <c r="D187" s="26" t="s">
        <v>339</v>
      </c>
      <c r="E187" s="43">
        <v>0</v>
      </c>
      <c r="F187" s="27"/>
      <c r="G187" s="27"/>
      <c r="H187" s="27"/>
      <c r="I187" s="27"/>
      <c r="J187" s="27"/>
      <c r="K187" s="27"/>
      <c r="L187" s="27"/>
      <c r="M187" s="27"/>
      <c r="N187" s="27"/>
      <c r="O187" s="27"/>
      <c r="P187" s="27"/>
      <c r="Q187" s="41">
        <f t="shared" si="19"/>
        <v>0</v>
      </c>
      <c r="R187" s="63">
        <v>0</v>
      </c>
      <c r="U187" s="35"/>
      <c r="V187" s="40"/>
    </row>
    <row r="188" spans="1:22" s="3" customFormat="1" ht="24.95" customHeight="1">
      <c r="A188" s="271" t="s">
        <v>636</v>
      </c>
      <c r="B188" s="3" t="s">
        <v>1049</v>
      </c>
      <c r="D188" s="26" t="s">
        <v>341</v>
      </c>
      <c r="E188" s="43">
        <v>0</v>
      </c>
      <c r="F188" s="27"/>
      <c r="G188" s="27"/>
      <c r="H188" s="27"/>
      <c r="I188" s="27"/>
      <c r="J188" s="27"/>
      <c r="K188" s="27"/>
      <c r="L188" s="27"/>
      <c r="M188" s="27"/>
      <c r="N188" s="27"/>
      <c r="O188" s="27"/>
      <c r="P188" s="27"/>
      <c r="Q188" s="41">
        <f t="shared" si="19"/>
        <v>0</v>
      </c>
      <c r="R188" s="63">
        <v>0</v>
      </c>
      <c r="U188" s="35"/>
      <c r="V188" s="40"/>
    </row>
    <row r="189" spans="1:22" s="3" customFormat="1" ht="24.95" customHeight="1">
      <c r="A189" s="271" t="s">
        <v>637</v>
      </c>
      <c r="B189" s="3" t="s">
        <v>1049</v>
      </c>
      <c r="D189" s="26" t="s">
        <v>343</v>
      </c>
      <c r="E189" s="43">
        <v>0</v>
      </c>
      <c r="F189" s="27"/>
      <c r="G189" s="27"/>
      <c r="H189" s="27"/>
      <c r="I189" s="27"/>
      <c r="J189" s="27"/>
      <c r="K189" s="27"/>
      <c r="L189" s="27"/>
      <c r="M189" s="27"/>
      <c r="N189" s="27"/>
      <c r="O189" s="27"/>
      <c r="P189" s="27"/>
      <c r="Q189" s="41">
        <f t="shared" si="19"/>
        <v>0</v>
      </c>
      <c r="R189" s="63">
        <v>30799.71</v>
      </c>
      <c r="S189" s="39">
        <f>Q189/Summary!$Q$16</f>
        <v>0</v>
      </c>
      <c r="T189" s="39">
        <f>Laundry!$S189</f>
        <v>0</v>
      </c>
      <c r="U189" s="35"/>
      <c r="V189" s="40"/>
    </row>
    <row r="190" spans="1:22" s="3" customFormat="1" ht="24.95" customHeight="1">
      <c r="A190" s="271" t="s">
        <v>344</v>
      </c>
      <c r="B190" s="3" t="s">
        <v>1049</v>
      </c>
      <c r="D190" s="26" t="s">
        <v>345</v>
      </c>
      <c r="E190" s="43">
        <v>0</v>
      </c>
      <c r="F190" s="27"/>
      <c r="G190" s="27"/>
      <c r="H190" s="27"/>
      <c r="I190" s="27"/>
      <c r="J190" s="27"/>
      <c r="K190" s="27"/>
      <c r="L190" s="27"/>
      <c r="M190" s="27"/>
      <c r="N190" s="27"/>
      <c r="O190" s="27"/>
      <c r="P190" s="27"/>
      <c r="Q190" s="41">
        <f t="shared" si="19"/>
        <v>0</v>
      </c>
      <c r="R190" s="63">
        <v>0</v>
      </c>
      <c r="S190" s="39">
        <f>Q190/Summary!$Q$16</f>
        <v>0</v>
      </c>
      <c r="T190" s="39">
        <f>Laundry!$S190</f>
        <v>0</v>
      </c>
      <c r="U190" s="35"/>
      <c r="V190" s="40"/>
    </row>
    <row r="191" spans="1:22" s="3" customFormat="1" ht="24.95" customHeight="1">
      <c r="A191" s="3" t="s">
        <v>640</v>
      </c>
      <c r="B191" s="3" t="s">
        <v>1049</v>
      </c>
      <c r="D191" s="26" t="s">
        <v>347</v>
      </c>
      <c r="E191" s="43"/>
      <c r="F191" s="27"/>
      <c r="G191" s="27"/>
      <c r="H191" s="27"/>
      <c r="I191" s="27"/>
      <c r="J191" s="27"/>
      <c r="K191" s="27"/>
      <c r="L191" s="27"/>
      <c r="M191" s="27"/>
      <c r="N191" s="27"/>
      <c r="O191" s="27"/>
      <c r="P191" s="27"/>
      <c r="Q191" s="41">
        <f t="shared" si="19"/>
        <v>0</v>
      </c>
      <c r="R191" s="63">
        <v>119563.26</v>
      </c>
      <c r="S191" s="39">
        <f>Q191/Summary!$Q$16</f>
        <v>0</v>
      </c>
      <c r="T191" s="39">
        <f>Laundry!$S191</f>
        <v>0</v>
      </c>
      <c r="U191" s="35"/>
      <c r="V191" s="40"/>
    </row>
    <row r="192" spans="1:22" s="3" customFormat="1" ht="24.95" customHeight="1">
      <c r="A192" s="54"/>
      <c r="B192" s="51"/>
      <c r="D192" s="19" t="s">
        <v>348</v>
      </c>
      <c r="E192" s="52">
        <f>SUM(E185:E191)</f>
        <v>0</v>
      </c>
      <c r="F192" s="52">
        <f t="shared" ref="F192:Q192" si="20">SUM(F185:F191)</f>
        <v>0</v>
      </c>
      <c r="G192" s="52">
        <f t="shared" si="20"/>
        <v>0</v>
      </c>
      <c r="H192" s="52">
        <f t="shared" si="20"/>
        <v>0</v>
      </c>
      <c r="I192" s="52">
        <f t="shared" si="20"/>
        <v>0</v>
      </c>
      <c r="J192" s="52">
        <f t="shared" si="20"/>
        <v>0</v>
      </c>
      <c r="K192" s="52">
        <f t="shared" si="20"/>
        <v>0</v>
      </c>
      <c r="L192" s="52">
        <f t="shared" si="20"/>
        <v>0</v>
      </c>
      <c r="M192" s="52">
        <f t="shared" si="20"/>
        <v>0</v>
      </c>
      <c r="N192" s="52">
        <f t="shared" si="20"/>
        <v>0</v>
      </c>
      <c r="O192" s="52">
        <f t="shared" si="20"/>
        <v>0</v>
      </c>
      <c r="P192" s="52">
        <f t="shared" si="20"/>
        <v>0</v>
      </c>
      <c r="Q192" s="52">
        <f t="shared" si="20"/>
        <v>0</v>
      </c>
      <c r="R192" s="52">
        <v>150362.97</v>
      </c>
      <c r="S192" s="39">
        <f>Q192/Summary!$Q$16</f>
        <v>0</v>
      </c>
      <c r="T192" s="39">
        <f>Laundry!$S192</f>
        <v>0</v>
      </c>
      <c r="U192" s="35"/>
      <c r="V192" s="40"/>
    </row>
    <row r="193" spans="1:22" s="3" customFormat="1" ht="24.95" customHeight="1">
      <c r="A193" s="54"/>
      <c r="B193" s="51"/>
      <c r="D193" s="19" t="s">
        <v>349</v>
      </c>
      <c r="E193" s="52">
        <f>E164+E173+E183+E192</f>
        <v>35567.230000000003</v>
      </c>
      <c r="F193" s="52">
        <f t="shared" ref="F193:Q193" si="21">F164+F173+F183+F192</f>
        <v>40365.020000000004</v>
      </c>
      <c r="G193" s="52">
        <f t="shared" si="21"/>
        <v>33168.33</v>
      </c>
      <c r="H193" s="52">
        <f t="shared" si="21"/>
        <v>35627.199999999997</v>
      </c>
      <c r="I193" s="52">
        <f t="shared" si="21"/>
        <v>35627.199999999997</v>
      </c>
      <c r="J193" s="52">
        <f t="shared" si="21"/>
        <v>37127.199999999997</v>
      </c>
      <c r="K193" s="52">
        <f t="shared" si="21"/>
        <v>34668.33</v>
      </c>
      <c r="L193" s="52">
        <f t="shared" si="21"/>
        <v>34668.33</v>
      </c>
      <c r="M193" s="52">
        <f t="shared" si="21"/>
        <v>37127.199999999997</v>
      </c>
      <c r="N193" s="52">
        <f t="shared" si="21"/>
        <v>40544.94</v>
      </c>
      <c r="O193" s="52">
        <f t="shared" si="21"/>
        <v>33168.33</v>
      </c>
      <c r="P193" s="52">
        <f t="shared" si="21"/>
        <v>33168.33</v>
      </c>
      <c r="Q193" s="52">
        <f t="shared" si="21"/>
        <v>430827.64</v>
      </c>
      <c r="R193" s="52">
        <v>2684249.12</v>
      </c>
      <c r="S193" s="39">
        <f>Q193/Summary!$Q$16</f>
        <v>1.2954186963013791E-2</v>
      </c>
      <c r="T193" s="39">
        <f>Laundry!$S193</f>
        <v>1.2954186963013791E-2</v>
      </c>
      <c r="U193" s="35"/>
      <c r="V193" s="40"/>
    </row>
    <row r="194" spans="1:22" s="3" customFormat="1" ht="24.95" customHeight="1">
      <c r="A194" s="54"/>
      <c r="B194" s="51"/>
      <c r="D194" s="21"/>
      <c r="E194" s="53"/>
      <c r="F194" s="53"/>
      <c r="G194" s="53"/>
      <c r="H194" s="53"/>
      <c r="I194" s="53"/>
      <c r="U194" s="35"/>
      <c r="V194" s="40"/>
    </row>
    <row r="195" spans="1:22" s="19" customFormat="1" ht="24.95" customHeight="1">
      <c r="A195" s="272" t="s">
        <v>105</v>
      </c>
      <c r="B195" s="3" t="s">
        <v>1049</v>
      </c>
      <c r="D195" s="19" t="s">
        <v>352</v>
      </c>
      <c r="E195" s="303">
        <v>5</v>
      </c>
      <c r="F195" s="303">
        <v>5</v>
      </c>
      <c r="G195" s="303">
        <v>5</v>
      </c>
      <c r="H195" s="303">
        <v>5</v>
      </c>
      <c r="I195" s="303">
        <v>5</v>
      </c>
      <c r="J195" s="303">
        <v>5</v>
      </c>
      <c r="K195" s="303">
        <v>5</v>
      </c>
      <c r="L195" s="303">
        <v>5</v>
      </c>
      <c r="M195" s="303">
        <v>5</v>
      </c>
      <c r="N195" s="303">
        <v>5</v>
      </c>
      <c r="O195" s="303">
        <v>5</v>
      </c>
      <c r="P195" s="303">
        <v>5</v>
      </c>
      <c r="Q195" s="27">
        <v>5</v>
      </c>
      <c r="R195" s="68">
        <v>12.6666666666667</v>
      </c>
      <c r="U195" s="35">
        <f>Laundry!$Q195</f>
        <v>5</v>
      </c>
      <c r="V195" s="40"/>
    </row>
    <row r="196" spans="1:22" ht="24.95" customHeight="1">
      <c r="B196" s="58"/>
      <c r="U196" s="35"/>
      <c r="V196" s="40"/>
    </row>
    <row r="197" spans="1:22" ht="24.95" customHeight="1">
      <c r="A197" s="274" t="s">
        <v>1041</v>
      </c>
      <c r="B197" s="58"/>
      <c r="D197" s="59" t="s">
        <v>1047</v>
      </c>
      <c r="E197" s="60"/>
      <c r="F197" s="60"/>
      <c r="G197" s="60"/>
      <c r="H197" s="60"/>
      <c r="I197" s="60"/>
      <c r="J197" s="60"/>
      <c r="K197" s="60"/>
      <c r="L197" s="60"/>
      <c r="M197" s="60"/>
      <c r="N197" s="60"/>
      <c r="O197" s="60"/>
      <c r="P197" s="60"/>
      <c r="Q197" s="60"/>
      <c r="R197" s="69">
        <v>44388217.619999997</v>
      </c>
      <c r="U197" s="35">
        <f>Laundry!$Q197</f>
        <v>0</v>
      </c>
      <c r="V197" s="40"/>
    </row>
    <row r="198" spans="1:22" ht="26.25" customHeight="1">
      <c r="C198" s="2"/>
      <c r="D198" s="92" t="s">
        <v>1051</v>
      </c>
      <c r="E198" s="319">
        <f>-E158-E43+3000</f>
        <v>51787.23000000001</v>
      </c>
      <c r="F198" s="319">
        <f t="shared" ref="F198:P198" si="22">-F158-F43+3000</f>
        <v>55545.020000000004</v>
      </c>
      <c r="G198" s="319">
        <f t="shared" si="22"/>
        <v>51648.33</v>
      </c>
      <c r="H198" s="319">
        <f t="shared" si="22"/>
        <v>55867.199999999997</v>
      </c>
      <c r="I198" s="319">
        <f t="shared" si="22"/>
        <v>56387.199999999997</v>
      </c>
      <c r="J198" s="319">
        <f t="shared" si="22"/>
        <v>56767.199999999997</v>
      </c>
      <c r="K198" s="319">
        <f t="shared" si="22"/>
        <v>56348.33</v>
      </c>
      <c r="L198" s="319">
        <f t="shared" si="22"/>
        <v>56548.33</v>
      </c>
      <c r="M198" s="319">
        <f t="shared" si="22"/>
        <v>59167.199999999997</v>
      </c>
      <c r="N198" s="319">
        <f t="shared" si="22"/>
        <v>62924.94</v>
      </c>
      <c r="O198" s="319">
        <f t="shared" si="22"/>
        <v>54808.33</v>
      </c>
      <c r="P198" s="319">
        <f t="shared" si="22"/>
        <v>54048.33</v>
      </c>
      <c r="Q198" s="2">
        <f>SUM(E198:P198)</f>
        <v>671847.64</v>
      </c>
      <c r="U198" s="35"/>
      <c r="V198" s="40"/>
    </row>
    <row r="199" spans="1:22" ht="26.25" customHeight="1">
      <c r="C199" s="94" t="s">
        <v>1052</v>
      </c>
      <c r="D199" s="13" t="s">
        <v>1053</v>
      </c>
      <c r="E199" s="319"/>
      <c r="F199" s="319"/>
      <c r="G199" s="319"/>
      <c r="H199" s="319"/>
      <c r="I199" s="319"/>
      <c r="J199" s="320"/>
      <c r="K199" s="320"/>
      <c r="L199" s="320"/>
      <c r="M199" s="320"/>
      <c r="N199" s="320"/>
      <c r="O199" s="320"/>
      <c r="P199" s="320"/>
      <c r="Q199" s="2"/>
      <c r="T199" s="281" t="s">
        <v>1101</v>
      </c>
      <c r="U199" s="35"/>
      <c r="V199" s="40"/>
    </row>
    <row r="200" spans="1:22" ht="26.25" customHeight="1">
      <c r="C200" s="94" t="s">
        <v>1054</v>
      </c>
      <c r="D200" s="13">
        <f>'Front Office'!E120</f>
        <v>15</v>
      </c>
      <c r="E200" s="319">
        <f>ROUND($D200/$D$215*E$198,2)</f>
        <v>5470.48</v>
      </c>
      <c r="F200" s="319">
        <f t="shared" ref="F200:P214" si="23">ROUND($D200/$D$215*F$198,2)</f>
        <v>5867.43</v>
      </c>
      <c r="G200" s="319">
        <f t="shared" si="23"/>
        <v>5455.81</v>
      </c>
      <c r="H200" s="319">
        <f t="shared" si="23"/>
        <v>5901.46</v>
      </c>
      <c r="I200" s="319">
        <f t="shared" si="23"/>
        <v>5956.39</v>
      </c>
      <c r="J200" s="319">
        <f t="shared" si="23"/>
        <v>5996.54</v>
      </c>
      <c r="K200" s="319">
        <f t="shared" si="23"/>
        <v>5952.29</v>
      </c>
      <c r="L200" s="319">
        <f t="shared" si="23"/>
        <v>5973.42</v>
      </c>
      <c r="M200" s="319">
        <f t="shared" si="23"/>
        <v>6250.06</v>
      </c>
      <c r="N200" s="319">
        <f t="shared" si="23"/>
        <v>6647</v>
      </c>
      <c r="O200" s="319">
        <f t="shared" si="23"/>
        <v>5789.61</v>
      </c>
      <c r="P200" s="319">
        <f t="shared" si="23"/>
        <v>5709.33</v>
      </c>
      <c r="Q200" s="326">
        <f>SUM(E200:P200)</f>
        <v>70969.819999999992</v>
      </c>
      <c r="T200" s="5">
        <f>'Front Office'!Q69</f>
        <v>70969.819999999992</v>
      </c>
      <c r="U200" s="35"/>
      <c r="V200" s="40"/>
    </row>
    <row r="201" spans="1:22" ht="26.25" customHeight="1">
      <c r="C201" s="94" t="s">
        <v>1055</v>
      </c>
      <c r="D201" s="13">
        <f>Telephone!E137</f>
        <v>5</v>
      </c>
      <c r="E201" s="319">
        <f t="shared" ref="E201:E213" si="24">ROUND($D201/$D$215*E$198,2)</f>
        <v>1823.49</v>
      </c>
      <c r="F201" s="319">
        <f t="shared" si="23"/>
        <v>1955.81</v>
      </c>
      <c r="G201" s="319">
        <f t="shared" si="23"/>
        <v>1818.6</v>
      </c>
      <c r="H201" s="319">
        <f t="shared" si="23"/>
        <v>1967.15</v>
      </c>
      <c r="I201" s="319">
        <f t="shared" si="23"/>
        <v>1985.46</v>
      </c>
      <c r="J201" s="319">
        <f t="shared" si="23"/>
        <v>1998.85</v>
      </c>
      <c r="K201" s="319">
        <f t="shared" si="23"/>
        <v>1984.1</v>
      </c>
      <c r="L201" s="319">
        <f t="shared" si="23"/>
        <v>1991.14</v>
      </c>
      <c r="M201" s="319">
        <f t="shared" si="23"/>
        <v>2083.35</v>
      </c>
      <c r="N201" s="319">
        <f t="shared" si="23"/>
        <v>2215.67</v>
      </c>
      <c r="O201" s="319">
        <f t="shared" si="23"/>
        <v>1929.87</v>
      </c>
      <c r="P201" s="319">
        <f t="shared" si="23"/>
        <v>1903.11</v>
      </c>
      <c r="Q201" s="326">
        <f t="shared" ref="Q201:Q214" si="25">SUM(E201:P201)</f>
        <v>23656.599999999995</v>
      </c>
      <c r="T201" s="5">
        <f>Telephone!Q86</f>
        <v>23656.599999999995</v>
      </c>
      <c r="U201" s="35"/>
      <c r="V201" s="40"/>
    </row>
    <row r="202" spans="1:22" ht="26.25" customHeight="1">
      <c r="C202" s="94" t="s">
        <v>1056</v>
      </c>
      <c r="D202" s="318">
        <f>HSKP!E120+21</f>
        <v>28</v>
      </c>
      <c r="E202" s="319">
        <f>ROUND($D202/$D$215*E$198,2)+0.01</f>
        <v>10211.58</v>
      </c>
      <c r="F202" s="319">
        <f t="shared" ref="F202:O202" si="26">ROUND($D202/$D$215*F$198,2)+0.01</f>
        <v>10952.550000000001</v>
      </c>
      <c r="G202" s="319">
        <f t="shared" si="26"/>
        <v>10184.19</v>
      </c>
      <c r="H202" s="319">
        <f>ROUND($D202/$D$215*H$198,2)+0.02</f>
        <v>11016.09</v>
      </c>
      <c r="I202" s="319">
        <f>ROUND($D202/$D$215*I$198,2)+0.03</f>
        <v>11118.630000000001</v>
      </c>
      <c r="J202" s="319">
        <f>ROUND($D202/$D$215*J$198,2)-0.02</f>
        <v>11193.51</v>
      </c>
      <c r="K202" s="319">
        <f>ROUND($D202/$D$215*K$198,2)-0.02</f>
        <v>11110.92</v>
      </c>
      <c r="L202" s="319">
        <f>ROUND($D202/$D$215*L$198,2)-0.01</f>
        <v>11150.36</v>
      </c>
      <c r="M202" s="319">
        <f t="shared" si="26"/>
        <v>11666.78</v>
      </c>
      <c r="N202" s="319">
        <f t="shared" si="26"/>
        <v>12407.74</v>
      </c>
      <c r="O202" s="319">
        <f t="shared" si="26"/>
        <v>10807.29</v>
      </c>
      <c r="P202" s="319">
        <f>ROUND($D202/$D$215*P$198,2)</f>
        <v>10657.42</v>
      </c>
      <c r="Q202" s="326">
        <f t="shared" si="25"/>
        <v>132477.06000000003</v>
      </c>
      <c r="T202" s="5">
        <f>HSKP!Q69</f>
        <v>132477.06000000003</v>
      </c>
      <c r="U202" s="35"/>
      <c r="V202" s="40"/>
    </row>
    <row r="203" spans="1:22" ht="26.25" customHeight="1">
      <c r="C203" s="94" t="s">
        <v>1057</v>
      </c>
      <c r="D203" s="13">
        <f>'Main Kitchen'!H125</f>
        <v>19</v>
      </c>
      <c r="E203" s="319">
        <f t="shared" si="24"/>
        <v>6929.28</v>
      </c>
      <c r="F203" s="319">
        <f t="shared" si="23"/>
        <v>7432.08</v>
      </c>
      <c r="G203" s="319">
        <f t="shared" si="23"/>
        <v>6910.69</v>
      </c>
      <c r="H203" s="319">
        <f t="shared" si="23"/>
        <v>7475.19</v>
      </c>
      <c r="I203" s="319">
        <f t="shared" si="23"/>
        <v>7544.77</v>
      </c>
      <c r="J203" s="319">
        <f t="shared" si="23"/>
        <v>7595.61</v>
      </c>
      <c r="K203" s="319">
        <f t="shared" si="23"/>
        <v>7539.57</v>
      </c>
      <c r="L203" s="319">
        <f t="shared" si="23"/>
        <v>7566.33</v>
      </c>
      <c r="M203" s="319">
        <f t="shared" si="23"/>
        <v>7916.74</v>
      </c>
      <c r="N203" s="319">
        <f t="shared" si="23"/>
        <v>8419.5300000000007</v>
      </c>
      <c r="O203" s="319">
        <f t="shared" si="23"/>
        <v>7333.51</v>
      </c>
      <c r="P203" s="319">
        <f t="shared" si="23"/>
        <v>7231.82</v>
      </c>
      <c r="Q203" s="326">
        <f t="shared" si="25"/>
        <v>89895.12</v>
      </c>
      <c r="T203" s="5">
        <f>'Main Kitchen'!Q71</f>
        <v>89895.12</v>
      </c>
      <c r="U203" s="35"/>
      <c r="V203" s="40"/>
    </row>
    <row r="204" spans="1:22" ht="26.25" customHeight="1">
      <c r="C204" s="94"/>
      <c r="D204" s="13"/>
      <c r="E204" s="319">
        <f t="shared" si="24"/>
        <v>0</v>
      </c>
      <c r="F204" s="319">
        <f t="shared" si="23"/>
        <v>0</v>
      </c>
      <c r="G204" s="319">
        <f t="shared" si="23"/>
        <v>0</v>
      </c>
      <c r="H204" s="319">
        <f t="shared" si="23"/>
        <v>0</v>
      </c>
      <c r="I204" s="319">
        <f t="shared" si="23"/>
        <v>0</v>
      </c>
      <c r="J204" s="319">
        <f t="shared" si="23"/>
        <v>0</v>
      </c>
      <c r="K204" s="319">
        <f t="shared" si="23"/>
        <v>0</v>
      </c>
      <c r="L204" s="319">
        <f t="shared" si="23"/>
        <v>0</v>
      </c>
      <c r="M204" s="319">
        <f t="shared" si="23"/>
        <v>0</v>
      </c>
      <c r="N204" s="319">
        <f t="shared" si="23"/>
        <v>0</v>
      </c>
      <c r="O204" s="319">
        <f t="shared" si="23"/>
        <v>0</v>
      </c>
      <c r="P204" s="319">
        <f t="shared" si="23"/>
        <v>0</v>
      </c>
      <c r="Q204" s="326">
        <f t="shared" si="25"/>
        <v>0</v>
      </c>
      <c r="U204" s="35"/>
      <c r="V204" s="40"/>
    </row>
    <row r="205" spans="1:22" ht="26.25" customHeight="1">
      <c r="C205" s="94" t="s">
        <v>1058</v>
      </c>
      <c r="D205" s="13">
        <f>'ADD-Mhub lounge'!E165</f>
        <v>13</v>
      </c>
      <c r="E205" s="319">
        <f t="shared" si="24"/>
        <v>4741.08</v>
      </c>
      <c r="F205" s="319">
        <f t="shared" si="23"/>
        <v>5085.1099999999997</v>
      </c>
      <c r="G205" s="319">
        <f t="shared" si="23"/>
        <v>4728.37</v>
      </c>
      <c r="H205" s="319">
        <f t="shared" si="23"/>
        <v>5114.6000000000004</v>
      </c>
      <c r="I205" s="319">
        <f t="shared" si="23"/>
        <v>5162.21</v>
      </c>
      <c r="J205" s="319">
        <f t="shared" si="23"/>
        <v>5197</v>
      </c>
      <c r="K205" s="319">
        <f t="shared" si="23"/>
        <v>5158.6499999999996</v>
      </c>
      <c r="L205" s="319">
        <f t="shared" si="23"/>
        <v>5176.96</v>
      </c>
      <c r="M205" s="319">
        <f t="shared" si="23"/>
        <v>5416.72</v>
      </c>
      <c r="N205" s="319">
        <f t="shared" si="23"/>
        <v>5760.73</v>
      </c>
      <c r="O205" s="319">
        <f t="shared" si="23"/>
        <v>5017.66</v>
      </c>
      <c r="P205" s="319">
        <f t="shared" si="23"/>
        <v>4948.09</v>
      </c>
      <c r="Q205" s="326">
        <f t="shared" si="25"/>
        <v>61507.179999999993</v>
      </c>
      <c r="T205" s="5">
        <f>'ADD-Mhub lounge'!Q95</f>
        <v>61507.179999999993</v>
      </c>
      <c r="U205" s="35"/>
      <c r="V205" s="40"/>
    </row>
    <row r="206" spans="1:22" ht="26.1" customHeight="1">
      <c r="C206" s="94" t="s">
        <v>1059</v>
      </c>
      <c r="D206" s="13">
        <f>Banquet!E166</f>
        <v>4</v>
      </c>
      <c r="E206" s="319">
        <f t="shared" si="24"/>
        <v>1458.8</v>
      </c>
      <c r="F206" s="319">
        <f t="shared" si="23"/>
        <v>1564.65</v>
      </c>
      <c r="G206" s="319">
        <f t="shared" si="23"/>
        <v>1454.88</v>
      </c>
      <c r="H206" s="319">
        <f t="shared" si="23"/>
        <v>1573.72</v>
      </c>
      <c r="I206" s="319">
        <f t="shared" si="23"/>
        <v>1588.37</v>
      </c>
      <c r="J206" s="319">
        <f t="shared" si="23"/>
        <v>1599.08</v>
      </c>
      <c r="K206" s="319">
        <f t="shared" si="23"/>
        <v>1587.28</v>
      </c>
      <c r="L206" s="319">
        <f t="shared" si="23"/>
        <v>1592.91</v>
      </c>
      <c r="M206" s="319">
        <f t="shared" si="23"/>
        <v>1666.68</v>
      </c>
      <c r="N206" s="319">
        <f t="shared" si="23"/>
        <v>1772.53</v>
      </c>
      <c r="O206" s="319">
        <f t="shared" si="23"/>
        <v>1543.9</v>
      </c>
      <c r="P206" s="319">
        <f t="shared" si="23"/>
        <v>1522.49</v>
      </c>
      <c r="Q206" s="326">
        <f t="shared" si="25"/>
        <v>18925.290000000005</v>
      </c>
      <c r="T206" s="5">
        <f>Banquet!Q96</f>
        <v>18925.290000000005</v>
      </c>
      <c r="U206" s="35"/>
      <c r="V206" s="40"/>
    </row>
    <row r="207" spans="1:22" ht="26.1" customHeight="1">
      <c r="C207" s="94" t="s">
        <v>1060</v>
      </c>
      <c r="D207" s="318">
        <f>STW!E124+8</f>
        <v>11</v>
      </c>
      <c r="E207" s="319">
        <f t="shared" si="24"/>
        <v>4011.69</v>
      </c>
      <c r="F207" s="319">
        <f t="shared" si="23"/>
        <v>4302.78</v>
      </c>
      <c r="G207" s="319">
        <f t="shared" si="23"/>
        <v>4000.93</v>
      </c>
      <c r="H207" s="319">
        <f t="shared" si="23"/>
        <v>4327.74</v>
      </c>
      <c r="I207" s="319">
        <f t="shared" si="23"/>
        <v>4368.0200000000004</v>
      </c>
      <c r="J207" s="319">
        <f t="shared" si="23"/>
        <v>4397.46</v>
      </c>
      <c r="K207" s="319">
        <f t="shared" si="23"/>
        <v>4365.01</v>
      </c>
      <c r="L207" s="319">
        <f t="shared" si="23"/>
        <v>4380.5</v>
      </c>
      <c r="M207" s="319">
        <f t="shared" si="23"/>
        <v>4583.37</v>
      </c>
      <c r="N207" s="319">
        <f t="shared" si="23"/>
        <v>4874.47</v>
      </c>
      <c r="O207" s="319">
        <f t="shared" si="23"/>
        <v>4245.72</v>
      </c>
      <c r="P207" s="319">
        <f t="shared" si="23"/>
        <v>4186.84</v>
      </c>
      <c r="Q207" s="326">
        <f t="shared" si="25"/>
        <v>52044.53</v>
      </c>
      <c r="T207" s="5">
        <f>STW!Q71</f>
        <v>52044.53</v>
      </c>
      <c r="U207" s="35"/>
      <c r="V207" s="40"/>
    </row>
    <row r="208" spans="1:22" ht="26.25" customHeight="1">
      <c r="C208" s="94" t="s">
        <v>1061</v>
      </c>
      <c r="D208" s="13">
        <f>EO!E197</f>
        <v>5</v>
      </c>
      <c r="E208" s="319">
        <f t="shared" si="24"/>
        <v>1823.49</v>
      </c>
      <c r="F208" s="319">
        <f t="shared" si="23"/>
        <v>1955.81</v>
      </c>
      <c r="G208" s="319">
        <f t="shared" si="23"/>
        <v>1818.6</v>
      </c>
      <c r="H208" s="319">
        <f t="shared" si="23"/>
        <v>1967.15</v>
      </c>
      <c r="I208" s="319">
        <f t="shared" si="23"/>
        <v>1985.46</v>
      </c>
      <c r="J208" s="319">
        <f t="shared" si="23"/>
        <v>1998.85</v>
      </c>
      <c r="K208" s="319">
        <f t="shared" si="23"/>
        <v>1984.1</v>
      </c>
      <c r="L208" s="319">
        <f t="shared" si="23"/>
        <v>1991.14</v>
      </c>
      <c r="M208" s="319">
        <f t="shared" si="23"/>
        <v>2083.35</v>
      </c>
      <c r="N208" s="319">
        <f t="shared" si="23"/>
        <v>2215.67</v>
      </c>
      <c r="O208" s="319">
        <f t="shared" si="23"/>
        <v>1929.87</v>
      </c>
      <c r="P208" s="319">
        <f t="shared" si="23"/>
        <v>1903.11</v>
      </c>
      <c r="Q208" s="326">
        <f t="shared" si="25"/>
        <v>23656.599999999995</v>
      </c>
      <c r="T208" s="5">
        <f>EO!Q70</f>
        <v>23656.599999999995</v>
      </c>
      <c r="U208" s="35"/>
      <c r="V208" s="40"/>
    </row>
    <row r="209" spans="3:22" ht="26.25" customHeight="1">
      <c r="C209" s="94" t="s">
        <v>1062</v>
      </c>
      <c r="D209" s="13">
        <f>Finance!E197</f>
        <v>7</v>
      </c>
      <c r="E209" s="319">
        <f t="shared" si="24"/>
        <v>2552.89</v>
      </c>
      <c r="F209" s="319">
        <f t="shared" si="23"/>
        <v>2738.13</v>
      </c>
      <c r="G209" s="319">
        <f t="shared" si="23"/>
        <v>2546.04</v>
      </c>
      <c r="H209" s="319">
        <f t="shared" si="23"/>
        <v>2754.02</v>
      </c>
      <c r="I209" s="319">
        <f t="shared" si="23"/>
        <v>2779.65</v>
      </c>
      <c r="J209" s="319">
        <f t="shared" si="23"/>
        <v>2798.38</v>
      </c>
      <c r="K209" s="319">
        <f t="shared" si="23"/>
        <v>2777.73</v>
      </c>
      <c r="L209" s="319">
        <f t="shared" si="23"/>
        <v>2787.59</v>
      </c>
      <c r="M209" s="319">
        <f t="shared" si="23"/>
        <v>2916.69</v>
      </c>
      <c r="N209" s="319">
        <f t="shared" si="23"/>
        <v>3101.93</v>
      </c>
      <c r="O209" s="319">
        <f t="shared" si="23"/>
        <v>2701.82</v>
      </c>
      <c r="P209" s="319">
        <f t="shared" si="23"/>
        <v>2664.35</v>
      </c>
      <c r="Q209" s="326">
        <f t="shared" si="25"/>
        <v>33119.22</v>
      </c>
      <c r="T209" s="5">
        <f>Finance!Q70</f>
        <v>33119.22</v>
      </c>
      <c r="U209" s="35"/>
      <c r="V209" s="40"/>
    </row>
    <row r="210" spans="3:22" ht="26.25" customHeight="1">
      <c r="C210" s="94" t="s">
        <v>1063</v>
      </c>
      <c r="D210" s="13">
        <f>IT!E197</f>
        <v>1</v>
      </c>
      <c r="E210" s="319">
        <f t="shared" si="24"/>
        <v>364.7</v>
      </c>
      <c r="F210" s="319">
        <f t="shared" si="23"/>
        <v>391.16</v>
      </c>
      <c r="G210" s="319">
        <f t="shared" si="23"/>
        <v>363.72</v>
      </c>
      <c r="H210" s="319">
        <f t="shared" si="23"/>
        <v>393.43</v>
      </c>
      <c r="I210" s="319">
        <f t="shared" si="23"/>
        <v>397.09</v>
      </c>
      <c r="J210" s="319">
        <f t="shared" si="23"/>
        <v>399.77</v>
      </c>
      <c r="K210" s="319">
        <f t="shared" ref="F210:O214" si="27">ROUND($D210/$D$215*K$198,2)</f>
        <v>396.82</v>
      </c>
      <c r="L210" s="319">
        <f t="shared" si="27"/>
        <v>398.23</v>
      </c>
      <c r="M210" s="319">
        <f t="shared" si="27"/>
        <v>416.67</v>
      </c>
      <c r="N210" s="319">
        <f t="shared" si="27"/>
        <v>443.13</v>
      </c>
      <c r="O210" s="319">
        <f t="shared" si="27"/>
        <v>385.97</v>
      </c>
      <c r="P210" s="319">
        <f t="shared" si="23"/>
        <v>380.62</v>
      </c>
      <c r="Q210" s="326">
        <f t="shared" si="25"/>
        <v>4731.3100000000004</v>
      </c>
      <c r="T210" s="5">
        <f>IT!Q70</f>
        <v>4731.3100000000004</v>
      </c>
      <c r="U210" s="35"/>
      <c r="V210" s="40"/>
    </row>
    <row r="211" spans="3:22" ht="26.1" customHeight="1">
      <c r="C211" s="94" t="s">
        <v>1064</v>
      </c>
      <c r="D211" s="13">
        <f>HR!E198</f>
        <v>5</v>
      </c>
      <c r="E211" s="319">
        <f t="shared" si="24"/>
        <v>1823.49</v>
      </c>
      <c r="F211" s="319">
        <f t="shared" si="27"/>
        <v>1955.81</v>
      </c>
      <c r="G211" s="319">
        <f t="shared" si="27"/>
        <v>1818.6</v>
      </c>
      <c r="H211" s="319">
        <f t="shared" si="27"/>
        <v>1967.15</v>
      </c>
      <c r="I211" s="319">
        <f t="shared" si="27"/>
        <v>1985.46</v>
      </c>
      <c r="J211" s="319">
        <f t="shared" si="27"/>
        <v>1998.85</v>
      </c>
      <c r="K211" s="319">
        <f t="shared" si="27"/>
        <v>1984.1</v>
      </c>
      <c r="L211" s="319">
        <f t="shared" si="27"/>
        <v>1991.14</v>
      </c>
      <c r="M211" s="319">
        <f t="shared" si="27"/>
        <v>2083.35</v>
      </c>
      <c r="N211" s="319">
        <f t="shared" si="27"/>
        <v>2215.67</v>
      </c>
      <c r="O211" s="319">
        <f t="shared" si="27"/>
        <v>1929.87</v>
      </c>
      <c r="P211" s="319">
        <f t="shared" si="23"/>
        <v>1903.11</v>
      </c>
      <c r="Q211" s="326">
        <f t="shared" si="25"/>
        <v>23656.599999999995</v>
      </c>
      <c r="T211" s="5">
        <f>HR!Q70</f>
        <v>23656.599999999995</v>
      </c>
      <c r="U211" s="35"/>
      <c r="V211" s="40"/>
    </row>
    <row r="212" spans="3:22" ht="26.25" customHeight="1">
      <c r="C212" s="94" t="s">
        <v>1065</v>
      </c>
      <c r="D212" s="318">
        <f>Security!E197+6</f>
        <v>15</v>
      </c>
      <c r="E212" s="319">
        <f>ROUND($D212/$D$215*E$198,2)</f>
        <v>5470.48</v>
      </c>
      <c r="F212" s="319">
        <f t="shared" si="27"/>
        <v>5867.43</v>
      </c>
      <c r="G212" s="319">
        <f t="shared" si="27"/>
        <v>5455.81</v>
      </c>
      <c r="H212" s="319">
        <f t="shared" si="27"/>
        <v>5901.46</v>
      </c>
      <c r="I212" s="319">
        <f t="shared" si="27"/>
        <v>5956.39</v>
      </c>
      <c r="J212" s="319">
        <f t="shared" si="27"/>
        <v>5996.54</v>
      </c>
      <c r="K212" s="319">
        <f t="shared" si="27"/>
        <v>5952.29</v>
      </c>
      <c r="L212" s="319">
        <f t="shared" si="27"/>
        <v>5973.42</v>
      </c>
      <c r="M212" s="319">
        <f t="shared" si="27"/>
        <v>6250.06</v>
      </c>
      <c r="N212" s="319">
        <f t="shared" si="27"/>
        <v>6647</v>
      </c>
      <c r="O212" s="319">
        <f t="shared" si="27"/>
        <v>5789.61</v>
      </c>
      <c r="P212" s="319">
        <f t="shared" si="23"/>
        <v>5709.33</v>
      </c>
      <c r="Q212" s="326">
        <f t="shared" si="25"/>
        <v>70969.819999999992</v>
      </c>
      <c r="T212" s="5">
        <f>Security!Q70</f>
        <v>70969.819999999992</v>
      </c>
      <c r="U212" s="35"/>
      <c r="V212" s="40"/>
    </row>
    <row r="213" spans="3:22" ht="26.25" customHeight="1">
      <c r="C213" s="94" t="s">
        <v>1066</v>
      </c>
      <c r="D213" s="13">
        <f>'R&amp;M'!E197</f>
        <v>8</v>
      </c>
      <c r="E213" s="319">
        <f t="shared" si="24"/>
        <v>2917.59</v>
      </c>
      <c r="F213" s="319">
        <f t="shared" si="27"/>
        <v>3129.3</v>
      </c>
      <c r="G213" s="319">
        <f t="shared" si="27"/>
        <v>2909.77</v>
      </c>
      <c r="H213" s="319">
        <f t="shared" si="27"/>
        <v>3147.45</v>
      </c>
      <c r="I213" s="319">
        <f t="shared" si="27"/>
        <v>3176.74</v>
      </c>
      <c r="J213" s="319">
        <f t="shared" si="27"/>
        <v>3198.15</v>
      </c>
      <c r="K213" s="319">
        <f t="shared" si="27"/>
        <v>3174.55</v>
      </c>
      <c r="L213" s="319">
        <f t="shared" si="27"/>
        <v>3185.82</v>
      </c>
      <c r="M213" s="319">
        <f t="shared" si="27"/>
        <v>3333.36</v>
      </c>
      <c r="N213" s="319">
        <f t="shared" si="27"/>
        <v>3545.07</v>
      </c>
      <c r="O213" s="319">
        <f t="shared" si="27"/>
        <v>3087.79</v>
      </c>
      <c r="P213" s="319">
        <f t="shared" si="23"/>
        <v>3044.98</v>
      </c>
      <c r="Q213" s="326">
        <f t="shared" si="25"/>
        <v>37850.57</v>
      </c>
      <c r="T213" s="5">
        <f>'R&amp;M'!Q70</f>
        <v>37850.57</v>
      </c>
      <c r="U213" s="35"/>
      <c r="V213" s="40"/>
    </row>
    <row r="214" spans="3:22" ht="26.25" customHeight="1">
      <c r="C214" s="94" t="s">
        <v>1067</v>
      </c>
      <c r="D214" s="13">
        <f>'S&amp;M'!E196</f>
        <v>6</v>
      </c>
      <c r="E214" s="319">
        <f>ROUND($D214/$D$215*E$198,2)</f>
        <v>2188.19</v>
      </c>
      <c r="F214" s="319">
        <f t="shared" si="27"/>
        <v>2346.9699999999998</v>
      </c>
      <c r="G214" s="319">
        <f t="shared" si="27"/>
        <v>2182.3200000000002</v>
      </c>
      <c r="H214" s="319">
        <f t="shared" si="27"/>
        <v>2360.59</v>
      </c>
      <c r="I214" s="319">
        <f t="shared" si="27"/>
        <v>2382.56</v>
      </c>
      <c r="J214" s="319">
        <f t="shared" si="27"/>
        <v>2398.61</v>
      </c>
      <c r="K214" s="319">
        <f t="shared" si="27"/>
        <v>2380.92</v>
      </c>
      <c r="L214" s="319">
        <f t="shared" si="27"/>
        <v>2389.37</v>
      </c>
      <c r="M214" s="319">
        <f t="shared" si="27"/>
        <v>2500.02</v>
      </c>
      <c r="N214" s="319">
        <f t="shared" si="27"/>
        <v>2658.8</v>
      </c>
      <c r="O214" s="319">
        <f t="shared" si="27"/>
        <v>2315.84</v>
      </c>
      <c r="P214" s="319">
        <f t="shared" si="23"/>
        <v>2283.73</v>
      </c>
      <c r="Q214" s="326">
        <f t="shared" si="25"/>
        <v>28387.919999999998</v>
      </c>
      <c r="T214" s="5">
        <f>'S&amp;M'!Q70</f>
        <v>28387.919999999998</v>
      </c>
      <c r="U214" s="35"/>
      <c r="V214" s="40"/>
    </row>
    <row r="215" spans="3:22" ht="26.25" customHeight="1">
      <c r="C215" s="94" t="s">
        <v>1068</v>
      </c>
      <c r="D215" s="13">
        <f>SUM(D200:D214)</f>
        <v>142</v>
      </c>
      <c r="E215" s="319">
        <f>SUM(E200:E214)</f>
        <v>51787.229999999981</v>
      </c>
      <c r="F215" s="319">
        <f t="shared" ref="F215:P215" si="28">SUM(F200:F214)</f>
        <v>55545.020000000004</v>
      </c>
      <c r="G215" s="319">
        <f t="shared" si="28"/>
        <v>51648.329999999987</v>
      </c>
      <c r="H215" s="319">
        <f t="shared" si="28"/>
        <v>55867.199999999997</v>
      </c>
      <c r="I215" s="319">
        <f t="shared" si="28"/>
        <v>56387.199999999997</v>
      </c>
      <c r="J215" s="319">
        <f t="shared" si="28"/>
        <v>56767.199999999997</v>
      </c>
      <c r="K215" s="319">
        <f t="shared" si="28"/>
        <v>56348.33</v>
      </c>
      <c r="L215" s="319">
        <f t="shared" si="28"/>
        <v>56548.330000000009</v>
      </c>
      <c r="M215" s="319">
        <f t="shared" si="28"/>
        <v>59167.199999999997</v>
      </c>
      <c r="N215" s="319">
        <f t="shared" si="28"/>
        <v>62924.939999999995</v>
      </c>
      <c r="O215" s="319">
        <f t="shared" si="28"/>
        <v>54808.33</v>
      </c>
      <c r="P215" s="319">
        <f t="shared" si="28"/>
        <v>54048.330000000016</v>
      </c>
      <c r="Q215" s="2">
        <f>SUM(Q200:Q214)</f>
        <v>671847.6399999999</v>
      </c>
      <c r="T215" s="5">
        <f>SUM(T200:T214)</f>
        <v>671847.6399999999</v>
      </c>
      <c r="U215" s="35"/>
      <c r="V215" s="40"/>
    </row>
    <row r="216" spans="3:22" s="70" customFormat="1" ht="26.25" customHeight="1">
      <c r="D216" s="323"/>
      <c r="E216" s="349">
        <f>E198-E215</f>
        <v>0</v>
      </c>
      <c r="F216" s="324">
        <f t="shared" ref="F216:Q216" si="29">F198-F215</f>
        <v>0</v>
      </c>
      <c r="G216" s="324">
        <f t="shared" si="29"/>
        <v>0</v>
      </c>
      <c r="H216" s="324">
        <f t="shared" si="29"/>
        <v>0</v>
      </c>
      <c r="I216" s="324">
        <f t="shared" si="29"/>
        <v>0</v>
      </c>
      <c r="J216" s="324">
        <f t="shared" si="29"/>
        <v>0</v>
      </c>
      <c r="K216" s="324">
        <f t="shared" si="29"/>
        <v>0</v>
      </c>
      <c r="L216" s="324">
        <f t="shared" si="29"/>
        <v>0</v>
      </c>
      <c r="M216" s="324">
        <f t="shared" si="29"/>
        <v>0</v>
      </c>
      <c r="N216" s="324">
        <f t="shared" si="29"/>
        <v>0</v>
      </c>
      <c r="O216" s="324">
        <f t="shared" si="29"/>
        <v>0</v>
      </c>
      <c r="P216" s="324">
        <f t="shared" si="29"/>
        <v>0</v>
      </c>
      <c r="Q216" s="324">
        <f t="shared" si="29"/>
        <v>0</v>
      </c>
      <c r="U216" s="325"/>
      <c r="V216" s="178"/>
    </row>
    <row r="217" spans="3:22" ht="26.25" customHeight="1">
      <c r="U217" s="35"/>
      <c r="V217" s="40"/>
    </row>
    <row r="218" spans="3:22" ht="26.25" customHeight="1">
      <c r="U218" s="35"/>
      <c r="V218" s="40"/>
    </row>
    <row r="219" spans="3:22" ht="26.25" customHeight="1">
      <c r="U219" s="35"/>
      <c r="V219" s="40"/>
    </row>
    <row r="220" spans="3:22" ht="26.25" customHeight="1">
      <c r="U220" s="35"/>
      <c r="V220" s="40"/>
    </row>
    <row r="221" spans="3:22" ht="26.25" customHeight="1">
      <c r="U221" s="35"/>
      <c r="V221" s="40"/>
    </row>
    <row r="222" spans="3:22" ht="26.25" customHeight="1">
      <c r="D222" s="65"/>
      <c r="J222" s="7"/>
      <c r="K222" s="7"/>
      <c r="L222" s="7"/>
      <c r="U222" s="35"/>
      <c r="V222" s="40"/>
    </row>
    <row r="223" spans="3:22" ht="26.25" customHeight="1">
      <c r="D223" s="65"/>
      <c r="J223" s="7"/>
      <c r="K223" s="7"/>
      <c r="L223" s="7"/>
      <c r="U223" s="35"/>
      <c r="V223" s="40"/>
    </row>
    <row r="224" spans="3:22" ht="26.25" customHeight="1">
      <c r="U224" s="35"/>
      <c r="V224" s="40"/>
    </row>
    <row r="225" spans="10:22" ht="26.25" customHeight="1">
      <c r="U225" s="35"/>
      <c r="V225" s="40"/>
    </row>
    <row r="226" spans="10:22" ht="26.25" customHeight="1">
      <c r="U226" s="35"/>
      <c r="V226" s="40"/>
    </row>
    <row r="227" spans="10:22" ht="26.25" customHeight="1">
      <c r="U227" s="35"/>
      <c r="V227" s="40"/>
    </row>
    <row r="228" spans="10:22" ht="26.25" customHeight="1">
      <c r="U228" s="35"/>
      <c r="V228" s="40"/>
    </row>
    <row r="229" spans="10:22" ht="26.25" customHeight="1">
      <c r="J229" s="7"/>
      <c r="K229" s="7"/>
      <c r="U229" s="35"/>
      <c r="V229" s="40"/>
    </row>
    <row r="230" spans="10:22" ht="26.25" customHeight="1">
      <c r="J230" s="7"/>
      <c r="K230" s="7"/>
      <c r="U230" s="35"/>
      <c r="V230" s="40"/>
    </row>
    <row r="231" spans="10:22" ht="26.25" customHeight="1">
      <c r="U231" s="35"/>
      <c r="V231" s="40"/>
    </row>
    <row r="232" spans="10:22" ht="26.25" customHeight="1">
      <c r="J232" s="7"/>
      <c r="K232" s="7"/>
      <c r="L232" s="7"/>
      <c r="M232" s="7"/>
      <c r="U232" s="35"/>
      <c r="V232" s="40"/>
    </row>
    <row r="233" spans="10:22" ht="26.25" customHeight="1">
      <c r="U233" s="35"/>
      <c r="V233" s="40"/>
    </row>
    <row r="234" spans="10:22" ht="26.25" customHeight="1">
      <c r="U234" s="35"/>
      <c r="V234" s="40"/>
    </row>
    <row r="235" spans="10:22" ht="26.25" customHeight="1">
      <c r="U235" s="35"/>
      <c r="V235" s="40"/>
    </row>
    <row r="236" spans="10:22" ht="26.25" customHeight="1">
      <c r="U236" s="35"/>
      <c r="V236" s="40"/>
    </row>
    <row r="237" spans="10:22" ht="26.25" customHeight="1">
      <c r="J237" s="7"/>
      <c r="K237" s="7"/>
      <c r="U237" s="35"/>
      <c r="V237" s="40"/>
    </row>
    <row r="238" spans="10:22" ht="26.25" customHeight="1">
      <c r="U238" s="35"/>
      <c r="V238" s="40"/>
    </row>
    <row r="239" spans="10:22" ht="26.25" customHeight="1">
      <c r="U239" s="35"/>
      <c r="V239" s="40"/>
    </row>
    <row r="240" spans="10:22" ht="26.25" customHeight="1">
      <c r="U240" s="35"/>
      <c r="V240" s="40"/>
    </row>
    <row r="241" spans="4:22" ht="26.25" customHeight="1">
      <c r="J241" s="7"/>
      <c r="K241" s="7"/>
      <c r="L241" s="7"/>
      <c r="M241" s="7"/>
      <c r="N241" s="7"/>
      <c r="O241" s="7"/>
      <c r="P241" s="7"/>
      <c r="U241" s="35"/>
      <c r="V241" s="40"/>
    </row>
    <row r="242" spans="4:22" ht="26.25" customHeight="1">
      <c r="U242" s="35"/>
      <c r="V242" s="40"/>
    </row>
    <row r="243" spans="4:22" ht="26.25" customHeight="1">
      <c r="U243" s="35"/>
      <c r="V243" s="40"/>
    </row>
    <row r="244" spans="4:22" ht="26.25" customHeight="1">
      <c r="D244" s="66"/>
      <c r="E244" s="67"/>
      <c r="F244" s="67"/>
      <c r="G244" s="67"/>
      <c r="H244" s="67"/>
      <c r="I244" s="67"/>
      <c r="J244" s="67"/>
      <c r="K244" s="67"/>
      <c r="L244" s="67"/>
      <c r="M244" s="67"/>
      <c r="N244" s="67"/>
      <c r="O244" s="67"/>
      <c r="P244" s="67"/>
      <c r="Q244" s="71"/>
      <c r="U244" s="35"/>
      <c r="V244" s="40"/>
    </row>
    <row r="245" spans="4:22" ht="26.25" customHeight="1">
      <c r="J245" s="7"/>
      <c r="K245" s="7"/>
      <c r="L245" s="7"/>
      <c r="M245" s="7"/>
      <c r="N245" s="7"/>
      <c r="O245" s="7"/>
      <c r="P245" s="7"/>
      <c r="U245" s="35"/>
      <c r="V245" s="40"/>
    </row>
    <row r="246" spans="4:22" ht="26.25" customHeight="1">
      <c r="J246" s="7"/>
      <c r="K246" s="7"/>
      <c r="L246" s="7"/>
      <c r="M246" s="7"/>
      <c r="N246" s="7"/>
      <c r="O246" s="7"/>
      <c r="P246" s="7"/>
      <c r="U246" s="35"/>
      <c r="V246" s="40"/>
    </row>
    <row r="247" spans="4:22" ht="26.25" customHeight="1">
      <c r="J247" s="7"/>
      <c r="K247" s="7"/>
      <c r="L247" s="7"/>
      <c r="M247" s="7"/>
      <c r="N247" s="7"/>
      <c r="O247" s="7"/>
      <c r="P247" s="7"/>
      <c r="U247" s="35"/>
      <c r="V247" s="40"/>
    </row>
    <row r="248" spans="4:22" ht="26.25" customHeight="1">
      <c r="J248" s="7"/>
      <c r="K248" s="7"/>
      <c r="L248" s="7"/>
      <c r="M248" s="7"/>
      <c r="N248" s="7"/>
      <c r="O248" s="7"/>
      <c r="P248" s="7"/>
      <c r="U248" s="35"/>
      <c r="V248" s="40"/>
    </row>
    <row r="249" spans="4:22" ht="26.25" customHeight="1">
      <c r="J249" s="7"/>
      <c r="K249" s="7"/>
      <c r="L249" s="7"/>
      <c r="M249" s="7"/>
      <c r="N249" s="7"/>
      <c r="O249" s="7"/>
      <c r="P249" s="7"/>
      <c r="U249" s="35"/>
      <c r="V249" s="40"/>
    </row>
    <row r="250" spans="4:22" ht="26.25" customHeight="1">
      <c r="D250" s="65"/>
      <c r="J250" s="7"/>
      <c r="K250" s="7"/>
      <c r="L250" s="7"/>
      <c r="M250" s="7"/>
      <c r="N250" s="7"/>
      <c r="O250" s="7"/>
      <c r="P250" s="7"/>
      <c r="U250" s="35"/>
      <c r="V250" s="40"/>
    </row>
    <row r="251" spans="4:22" ht="26.25" customHeight="1">
      <c r="D251" s="65"/>
      <c r="J251" s="7"/>
      <c r="K251" s="7"/>
      <c r="L251" s="7"/>
      <c r="M251" s="7"/>
      <c r="N251" s="7"/>
      <c r="O251" s="7"/>
      <c r="P251" s="7"/>
      <c r="U251" s="35"/>
      <c r="V251" s="40"/>
    </row>
    <row r="252" spans="4:22" ht="26.25" customHeight="1">
      <c r="J252" s="7"/>
      <c r="K252" s="7"/>
      <c r="L252" s="7"/>
      <c r="M252" s="7"/>
      <c r="N252" s="7"/>
      <c r="O252" s="7"/>
      <c r="P252" s="7"/>
      <c r="U252" s="35"/>
      <c r="V252" s="40"/>
    </row>
    <row r="253" spans="4:22" ht="26.25" customHeight="1">
      <c r="J253" s="7"/>
      <c r="K253" s="7"/>
      <c r="L253" s="7"/>
      <c r="M253" s="7"/>
      <c r="N253" s="7"/>
      <c r="O253" s="7"/>
      <c r="P253" s="7"/>
      <c r="U253" s="35"/>
      <c r="V253" s="40"/>
    </row>
    <row r="254" spans="4:22" ht="26.25" customHeight="1">
      <c r="J254" s="7"/>
      <c r="K254" s="7"/>
      <c r="L254" s="7"/>
      <c r="M254" s="7"/>
      <c r="N254" s="7"/>
      <c r="O254" s="7"/>
      <c r="P254" s="7"/>
      <c r="U254" s="35"/>
      <c r="V254" s="40"/>
    </row>
    <row r="255" spans="4:22" ht="26.25" customHeight="1">
      <c r="J255" s="7"/>
      <c r="K255" s="7"/>
      <c r="L255" s="7"/>
      <c r="M255" s="7"/>
      <c r="N255" s="7"/>
      <c r="O255" s="7"/>
      <c r="P255" s="7"/>
      <c r="U255" s="35"/>
      <c r="V255" s="40"/>
    </row>
    <row r="256" spans="4:22" ht="26.25" customHeight="1">
      <c r="J256" s="7"/>
      <c r="K256" s="7"/>
      <c r="L256" s="7"/>
      <c r="M256" s="7"/>
      <c r="N256" s="7"/>
      <c r="O256" s="7"/>
      <c r="P256" s="7"/>
      <c r="U256" s="35"/>
      <c r="V256" s="40"/>
    </row>
    <row r="257" spans="4:22" ht="26.25" customHeight="1">
      <c r="J257" s="7"/>
      <c r="K257" s="7"/>
      <c r="L257" s="7"/>
      <c r="M257" s="7"/>
      <c r="N257" s="7"/>
      <c r="O257" s="7"/>
      <c r="P257" s="7"/>
      <c r="U257" s="35"/>
      <c r="V257" s="40"/>
    </row>
    <row r="258" spans="4:22" ht="26.25" customHeight="1">
      <c r="J258" s="7"/>
      <c r="K258" s="7"/>
      <c r="L258" s="7"/>
      <c r="M258" s="7"/>
      <c r="N258" s="7"/>
      <c r="O258" s="7"/>
      <c r="P258" s="7"/>
      <c r="U258" s="35"/>
      <c r="V258" s="40"/>
    </row>
    <row r="259" spans="4:22" ht="26.25" customHeight="1">
      <c r="J259" s="7"/>
      <c r="K259" s="7"/>
      <c r="L259" s="7"/>
      <c r="M259" s="7"/>
      <c r="N259" s="7"/>
      <c r="O259" s="7"/>
      <c r="P259" s="7"/>
      <c r="U259" s="35"/>
      <c r="V259" s="40"/>
    </row>
    <row r="260" spans="4:22" ht="26.25" customHeight="1">
      <c r="J260" s="7"/>
      <c r="K260" s="7"/>
      <c r="L260" s="7"/>
      <c r="M260" s="7"/>
      <c r="N260" s="7"/>
      <c r="O260" s="7"/>
      <c r="P260" s="7"/>
      <c r="U260" s="35"/>
      <c r="V260" s="40"/>
    </row>
    <row r="261" spans="4:22" ht="26.25" customHeight="1">
      <c r="J261" s="7"/>
      <c r="K261" s="7"/>
      <c r="L261" s="7"/>
      <c r="M261" s="7"/>
      <c r="N261" s="7"/>
      <c r="O261" s="7"/>
      <c r="P261" s="7"/>
      <c r="U261" s="35"/>
      <c r="V261" s="40"/>
    </row>
    <row r="262" spans="4:22" ht="26.25" customHeight="1">
      <c r="D262" s="65"/>
      <c r="J262" s="7"/>
      <c r="K262" s="7"/>
      <c r="L262" s="7"/>
      <c r="M262" s="7"/>
      <c r="N262" s="7"/>
      <c r="O262" s="7"/>
      <c r="P262" s="7"/>
      <c r="U262" s="35"/>
      <c r="V262" s="40"/>
    </row>
    <row r="263" spans="4:22" ht="26.25" customHeight="1">
      <c r="D263" s="65"/>
      <c r="J263" s="7"/>
      <c r="K263" s="7"/>
      <c r="L263" s="7"/>
      <c r="M263" s="7"/>
      <c r="N263" s="7"/>
      <c r="O263" s="7"/>
      <c r="P263" s="7"/>
      <c r="U263" s="35"/>
      <c r="V263" s="40"/>
    </row>
    <row r="264" spans="4:22" ht="26.25" customHeight="1">
      <c r="J264" s="7"/>
      <c r="K264" s="7"/>
      <c r="L264" s="7"/>
      <c r="M264" s="7"/>
      <c r="N264" s="7"/>
      <c r="O264" s="7"/>
      <c r="P264" s="7"/>
      <c r="U264" s="35"/>
      <c r="V264" s="40"/>
    </row>
    <row r="265" spans="4:22" ht="26.25" customHeight="1">
      <c r="J265" s="7"/>
      <c r="K265" s="7"/>
      <c r="L265" s="7"/>
      <c r="M265" s="7"/>
      <c r="N265" s="7"/>
      <c r="O265" s="7"/>
      <c r="P265" s="7"/>
      <c r="U265" s="35"/>
      <c r="V265" s="40"/>
    </row>
    <row r="266" spans="4:22" ht="26.25" customHeight="1">
      <c r="J266" s="7"/>
      <c r="K266" s="7"/>
      <c r="L266" s="7"/>
      <c r="M266" s="7"/>
      <c r="N266" s="7"/>
      <c r="O266" s="7"/>
      <c r="P266" s="7"/>
      <c r="U266" s="35"/>
      <c r="V266" s="40"/>
    </row>
    <row r="267" spans="4:22" ht="26.25" customHeight="1">
      <c r="J267" s="7"/>
      <c r="K267" s="7"/>
      <c r="L267" s="7"/>
      <c r="M267" s="7"/>
      <c r="N267" s="7"/>
      <c r="O267" s="7"/>
      <c r="P267" s="7"/>
      <c r="U267" s="35"/>
      <c r="V267" s="40"/>
    </row>
    <row r="268" spans="4:22" ht="26.25" customHeight="1">
      <c r="J268" s="7"/>
      <c r="K268" s="7"/>
      <c r="L268" s="7"/>
      <c r="M268" s="7"/>
      <c r="N268" s="7"/>
      <c r="O268" s="7"/>
      <c r="P268" s="7"/>
      <c r="U268" s="35"/>
      <c r="V268" s="40"/>
    </row>
    <row r="269" spans="4:22" ht="26.25" customHeight="1">
      <c r="J269" s="7"/>
      <c r="K269" s="7"/>
      <c r="L269" s="7"/>
      <c r="M269" s="7"/>
      <c r="N269" s="7"/>
      <c r="O269" s="7"/>
      <c r="P269" s="7"/>
      <c r="U269" s="35"/>
      <c r="V269" s="40"/>
    </row>
    <row r="270" spans="4:22" ht="26.25" customHeight="1">
      <c r="J270" s="7"/>
      <c r="K270" s="7"/>
      <c r="L270" s="7"/>
      <c r="M270" s="7"/>
      <c r="N270" s="7"/>
      <c r="O270" s="7"/>
      <c r="P270" s="7"/>
      <c r="U270" s="35"/>
      <c r="V270" s="40"/>
    </row>
    <row r="271" spans="4:22" ht="26.25" customHeight="1">
      <c r="J271" s="7"/>
      <c r="K271" s="7"/>
      <c r="L271" s="7"/>
      <c r="M271" s="7"/>
      <c r="N271" s="7"/>
      <c r="O271" s="7"/>
      <c r="P271" s="7"/>
      <c r="U271" s="35"/>
      <c r="V271" s="40"/>
    </row>
    <row r="272" spans="4:22" ht="26.25" customHeight="1">
      <c r="J272" s="7"/>
      <c r="K272" s="7"/>
      <c r="L272" s="7"/>
      <c r="M272" s="7"/>
      <c r="N272" s="7"/>
      <c r="O272" s="7"/>
      <c r="P272" s="7"/>
      <c r="U272" s="35"/>
      <c r="V272" s="40"/>
    </row>
    <row r="273" spans="4:22" ht="26.25" customHeight="1">
      <c r="J273" s="7"/>
      <c r="K273" s="7"/>
      <c r="L273" s="7"/>
      <c r="M273" s="7"/>
      <c r="N273" s="7"/>
      <c r="O273" s="7"/>
      <c r="P273" s="7"/>
      <c r="U273" s="35"/>
      <c r="V273" s="40"/>
    </row>
    <row r="274" spans="4:22" ht="26.25" customHeight="1">
      <c r="J274" s="7"/>
      <c r="K274" s="7"/>
      <c r="L274" s="7"/>
      <c r="M274" s="7"/>
      <c r="N274" s="7"/>
      <c r="O274" s="7"/>
      <c r="P274" s="7"/>
      <c r="U274" s="35"/>
      <c r="V274" s="40"/>
    </row>
    <row r="275" spans="4:22" ht="26.25" customHeight="1">
      <c r="J275" s="7"/>
      <c r="K275" s="7"/>
      <c r="L275" s="7"/>
      <c r="M275" s="7"/>
      <c r="N275" s="7"/>
      <c r="O275" s="7"/>
      <c r="P275" s="7"/>
      <c r="U275" s="35"/>
      <c r="V275" s="40"/>
    </row>
    <row r="276" spans="4:22" ht="26.25" customHeight="1">
      <c r="J276" s="7"/>
      <c r="K276" s="7"/>
      <c r="L276" s="7"/>
      <c r="M276" s="7"/>
      <c r="N276" s="7"/>
      <c r="O276" s="7"/>
      <c r="P276" s="7"/>
      <c r="U276" s="35"/>
      <c r="V276" s="40"/>
    </row>
    <row r="277" spans="4:22" ht="26.25" customHeight="1">
      <c r="J277" s="7"/>
      <c r="K277" s="7"/>
      <c r="L277" s="7"/>
      <c r="M277" s="7"/>
      <c r="N277" s="7"/>
      <c r="O277" s="7"/>
      <c r="P277" s="7"/>
      <c r="U277" s="35"/>
      <c r="V277" s="40"/>
    </row>
    <row r="278" spans="4:22" ht="26.25" customHeight="1">
      <c r="J278" s="7"/>
      <c r="K278" s="7"/>
      <c r="L278" s="7"/>
      <c r="M278" s="7"/>
      <c r="N278" s="7"/>
      <c r="O278" s="7"/>
      <c r="P278" s="7"/>
      <c r="U278" s="35"/>
      <c r="V278" s="40"/>
    </row>
    <row r="279" spans="4:22" ht="26.25" customHeight="1">
      <c r="J279" s="7"/>
      <c r="K279" s="7"/>
      <c r="L279" s="7"/>
      <c r="M279" s="7"/>
      <c r="N279" s="7"/>
      <c r="O279" s="7"/>
      <c r="P279" s="7"/>
      <c r="U279" s="35"/>
      <c r="V279" s="40"/>
    </row>
    <row r="280" spans="4:22" ht="26.25" customHeight="1">
      <c r="E280" s="72"/>
      <c r="F280" s="72"/>
      <c r="G280" s="72"/>
      <c r="H280" s="72"/>
      <c r="I280" s="72"/>
      <c r="J280" s="72"/>
      <c r="K280" s="72"/>
      <c r="L280" s="72"/>
      <c r="M280" s="72"/>
      <c r="N280" s="72"/>
      <c r="O280" s="72"/>
      <c r="P280" s="72"/>
      <c r="U280" s="35"/>
      <c r="V280" s="40"/>
    </row>
    <row r="281" spans="4:22" ht="26.25" customHeight="1">
      <c r="J281" s="7"/>
      <c r="K281" s="7"/>
      <c r="L281" s="7"/>
      <c r="M281" s="7"/>
      <c r="N281" s="7"/>
      <c r="O281" s="7"/>
      <c r="P281" s="7"/>
      <c r="U281" s="35"/>
      <c r="V281" s="40"/>
    </row>
    <row r="282" spans="4:22" ht="26.25" customHeight="1">
      <c r="U282" s="35"/>
      <c r="V282" s="40"/>
    </row>
    <row r="283" spans="4:22" ht="26.25" customHeight="1">
      <c r="D283" s="73"/>
      <c r="J283" s="7"/>
      <c r="K283" s="7"/>
      <c r="L283" s="7"/>
      <c r="M283" s="7"/>
      <c r="N283" s="7"/>
      <c r="O283" s="7"/>
      <c r="P283" s="7"/>
      <c r="Q283" s="7"/>
      <c r="U283" s="35"/>
      <c r="V283" s="40"/>
    </row>
  </sheetData>
  <phoneticPr fontId="57" type="noConversion"/>
  <dataValidations count="33">
    <dataValidation type="textLength" errorStyle="information" allowBlank="1" showInputMessage="1" showErrorMessage="1" sqref="F159:Q159 F194:I194 E159:E161 F192:R193 F160:I161 E192:E194">
      <formula1>0</formula1>
      <formula2>300</formula2>
    </dataValidation>
    <dataValidation type="textLength" errorStyle="information" allowBlank="1" showInputMessage="1" showErrorMessage="1" error="XLBVal:6=-11.97_x000d__x000a_" sqref="E35:P35">
      <formula1>0</formula1>
      <formula2>300</formula2>
    </dataValidation>
    <dataValidation type="textLength" errorStyle="information" allowBlank="1" showInputMessage="1" showErrorMessage="1" error="XLBVal:6=170458.81_x000d__x000a_" sqref="E12:P12">
      <formula1>0</formula1>
      <formula2>300</formula2>
    </dataValidation>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0_x000d__x000a_" sqref="E157:R157">
      <formula1>0</formula1>
      <formula2>300</formula2>
    </dataValidation>
    <dataValidation type="textLength" errorStyle="information" allowBlank="1" showInputMessage="1" showErrorMessage="1" error="XLBVal:6=6966993_x000d__x000a_" sqref="Q12">
      <formula1>0</formula1>
      <formula2>300</formula2>
    </dataValidation>
    <dataValidation type="textLength" errorStyle="information" allowBlank="1" showInputMessage="1" showErrorMessage="1" error="XLBVal:6=1000_x000d__x000a_" sqref="F166:P172 E167">
      <formula1>0</formula1>
      <formula2>300</formula2>
    </dataValidation>
    <dataValidation type="textLength" errorStyle="information" allowBlank="1" showInputMessage="1" showErrorMessage="1" error="XLBVal:2=0_x000d__x000a_" sqref="R12 Q158 R195 R197 Q166:R172 E185:E190 Q185:Q190 R175:R182 R185:R191 E44:P155 E182:P182 E36:P42 F185:P188 E15:P34 F13 Q15:R156 E168:E172 Q162:R163">
      <formula1>0</formula1>
      <formula2>300</formula2>
    </dataValidation>
    <dataValidation type="textLength" errorStyle="information" allowBlank="1" showInputMessage="1" showErrorMessage="1" error="XLBVal:6=12932.08_x000d__x000a_" sqref="E43:P43">
      <formula1>0</formula1>
      <formula2>300</formula2>
    </dataValidation>
    <dataValidation type="textLength" errorStyle="information" allowBlank="1" showInputMessage="1" showErrorMessage="1" error="XLBVal:6=196_x000d__x000a_" sqref="E156:P156">
      <formula1>0</formula1>
      <formula2>300</formula2>
    </dataValidation>
    <dataValidation type="textLength" errorStyle="information" allowBlank="1" showInputMessage="1" showErrorMessage="1" error="XLBVal:6=-160436.36_x000d__x000a_" sqref="E158:P158">
      <formula1>0</formula1>
      <formula2>300</formula2>
    </dataValidation>
    <dataValidation type="textLength" errorStyle="information" allowBlank="1" showInputMessage="1" showErrorMessage="1" error="XLBVal:6=3239.86_x000d__x000a_" sqref="R158">
      <formula1>0</formula1>
      <formula2>300</formula2>
    </dataValidation>
    <dataValidation type="textLength" errorStyle="information" allowBlank="1" showInputMessage="1" showErrorMessage="1" error="XLBVal:6=550248_x000d__x000a_" sqref="Q191 Q175:Q182">
      <formula1>0</formula1>
      <formula2>300</formula2>
    </dataValidation>
    <dataValidation type="textLength" errorStyle="information" allowBlank="1" showInputMessage="1" showErrorMessage="1" error="XLBVal:6=360_x000d__x000a_" sqref="Q195">
      <formula1>0</formula1>
      <formula2>300</formula2>
    </dataValidation>
    <dataValidation type="textLength" errorStyle="information" allowBlank="1" showInputMessage="1" showErrorMessage="1" error="XLBVal:6=5472444.64_x000d__x000a_" sqref="E197:Q197">
      <formula1>0</formula1>
      <formula2>300</formula2>
    </dataValidation>
    <dataValidation type="textLength" errorStyle="information" allowBlank="1" showInputMessage="1" showErrorMessage="1" error="XLBVal:6=6688509.16_x000d__x000a_" sqref="E13:E14 F14:P14">
      <formula1>0</formula1>
      <formula2>300</formula2>
    </dataValidation>
    <dataValidation type="textLength" errorStyle="information" allowBlank="1" showInputMessage="1" showErrorMessage="1" error="XLBVal:6=6595485.04_x000d__x000a_" sqref="G13">
      <formula1>0</formula1>
      <formula2>300</formula2>
    </dataValidation>
    <dataValidation type="textLength" errorStyle="information" allowBlank="1" showInputMessage="1" showErrorMessage="1" error="XLBVal:6=6910.64_x000d__x000a_" sqref="F189:P191">
      <formula1>0</formula1>
      <formula2>300</formula2>
    </dataValidation>
    <dataValidation type="textLength" errorStyle="information" allowBlank="1" showInputMessage="1" showErrorMessage="1" error="XLBVal:5=-2586288.67_x000d__x000a_" sqref="H13">
      <formula1>0</formula1>
      <formula2>300</formula2>
    </dataValidation>
    <dataValidation type="textLength" errorStyle="information" allowBlank="1" showInputMessage="1" showErrorMessage="1" error="XLBVal:5=15426.66_x000d__x000a_" sqref="I13">
      <formula1>0</formula1>
      <formula2>300</formula2>
    </dataValidation>
    <dataValidation type="textLength" errorStyle="information" allowBlank="1" showInputMessage="1" showErrorMessage="1" error="XLBVal:6=3678_x000d__x000a_" sqref="E183:R184">
      <formula1>0</formula1>
      <formula2>300</formula2>
    </dataValidation>
    <dataValidation type="textLength" errorStyle="information" allowBlank="1" showInputMessage="1" showErrorMessage="1" error="XLBVal:6=2982_x000d__x000a_" sqref="E191">
      <formula1>0</formula1>
      <formula2>300</formula2>
    </dataValidation>
    <dataValidation type="textLength" errorStyle="information" allowBlank="1" showInputMessage="1" showErrorMessage="1" error="XLBVal:6=326.62_x000d__x000a_" sqref="E181:P181">
      <formula1>0</formula1>
      <formula2>300</formula2>
    </dataValidation>
    <dataValidation type="textLength" errorStyle="information" allowBlank="1" showInputMessage="1" showErrorMessage="1" error="XLBVal:6=148.16_x000d__x000a_" sqref="E179:P179">
      <formula1>0</formula1>
      <formula2>300</formula2>
    </dataValidation>
    <dataValidation type="textLength" errorStyle="information" allowBlank="1" showInputMessage="1" showErrorMessage="1" error="XLBVal:6=4_x000d__x000a_" sqref="E195:P195">
      <formula1>0</formula1>
      <formula2>300</formula2>
    </dataValidation>
    <dataValidation type="textLength" errorStyle="information" allowBlank="1" showInputMessage="1" showErrorMessage="1" error="XLBVal:6=1688_x000d__x000a_" sqref="E180:P180">
      <formula1>0</formula1>
      <formula2>300</formula2>
    </dataValidation>
    <dataValidation type="textLength" errorStyle="information" allowBlank="1" showInputMessage="1" showErrorMessage="1" error="XLBVal:6=77.02_x000d__x000a_" sqref="E178:P178">
      <formula1>0</formula1>
      <formula2>300</formula2>
    </dataValidation>
    <dataValidation type="textLength" errorStyle="information" allowBlank="1" showInputMessage="1" showErrorMessage="1" error="XLBVal:6=96.26_x000d__x000a_" sqref="E177:P177">
      <formula1>0</formula1>
      <formula2>300</formula2>
    </dataValidation>
    <dataValidation type="textLength" errorStyle="information" allowBlank="1" showInputMessage="1" showErrorMessage="1" error="XLBVal:6=1481.6_x000d__x000a_" sqref="E176:P176">
      <formula1>0</formula1>
      <formula2>300</formula2>
    </dataValidation>
    <dataValidation type="textLength" errorStyle="information" allowBlank="1" showInputMessage="1" showErrorMessage="1" error="XLBVal:6=3080.32_x000d__x000a_" sqref="E175:P175">
      <formula1>0</formula1>
      <formula2>300</formula2>
    </dataValidation>
    <dataValidation type="textLength" errorStyle="information" allowBlank="1" showInputMessage="1" showErrorMessage="1" error="XLBVal:6=10000_x000d__x000a_" sqref="E163:P163">
      <formula1>0</formula1>
      <formula2>300</formula2>
    </dataValidation>
    <dataValidation type="textLength" errorStyle="information" allowBlank="1" showInputMessage="1" showErrorMessage="1" error="XLBVal:6=5200_x000d__x000a_" sqref="E162:P162">
      <formula1>0</formula1>
      <formula2>300</formula2>
    </dataValidation>
    <dataValidation type="textLength" errorStyle="information" allowBlank="1" showInputMessage="1" showErrorMessage="1" error="XLBVal:6=2420.69_x000d__x000a_" sqref="E166">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dimension ref="A1:U215"/>
  <sheetViews>
    <sheetView zoomScale="50" zoomScaleNormal="50" zoomScaleSheetLayoutView="55" workbookViewId="0">
      <pane xSplit="4" ySplit="9" topLeftCell="E10" activePane="bottomRight" state="frozen"/>
      <selection activeCell="L7" sqref="L7"/>
      <selection pane="topRight" activeCell="L7" sqref="L7"/>
      <selection pane="bottomLeft" activeCell="L7" sqref="L7"/>
      <selection pane="bottomRight" activeCell="V209" sqref="V209"/>
    </sheetView>
  </sheetViews>
  <sheetFormatPr defaultColWidth="8.875" defaultRowHeight="26.25" customHeight="1" outlineLevelRow="1" outlineLevelCol="1"/>
  <cols>
    <col min="1" max="2" width="15.5" style="5" customWidth="1" outlineLevel="1"/>
    <col min="3" max="3" width="9.25" style="5" customWidth="1" outlineLevel="1"/>
    <col min="4" max="4" width="69.375" style="6" customWidth="1"/>
    <col min="5" max="7" width="22.5" style="7" customWidth="1"/>
    <col min="8" max="9" width="24.5" style="7" customWidth="1"/>
    <col min="10" max="10" width="22.5" style="5" customWidth="1"/>
    <col min="11" max="16" width="21.875" style="5" customWidth="1"/>
    <col min="17" max="17" width="24.5" style="5" customWidth="1"/>
    <col min="18" max="18" width="12" style="5" customWidth="1"/>
    <col min="19" max="19" width="9.625" style="5" hidden="1" customWidth="1"/>
    <col min="20" max="20" width="22.5" style="8" hidden="1" customWidth="1"/>
    <col min="21" max="21" width="22.5" style="5" hidden="1" customWidth="1"/>
    <col min="22" max="16384" width="8.875" style="5"/>
  </cols>
  <sheetData>
    <row r="1" spans="1:21" s="1" customFormat="1" ht="15" customHeight="1" outlineLevel="1">
      <c r="E1" s="9"/>
      <c r="F1" s="9"/>
      <c r="G1" s="9"/>
      <c r="H1" s="9"/>
      <c r="I1" s="9"/>
      <c r="J1" s="9"/>
      <c r="K1" s="9"/>
      <c r="L1" s="9"/>
      <c r="M1" s="9"/>
      <c r="N1" s="9"/>
      <c r="O1" s="9"/>
      <c r="P1" s="9"/>
      <c r="Q1" s="9"/>
      <c r="T1" s="32"/>
    </row>
    <row r="2" spans="1:21" s="1" customFormat="1" ht="15" customHeight="1" outlineLevel="1">
      <c r="E2" s="9"/>
      <c r="F2" s="9"/>
      <c r="G2" s="9"/>
      <c r="H2" s="9"/>
      <c r="I2" s="9"/>
      <c r="J2" s="9"/>
      <c r="K2" s="9"/>
      <c r="L2" s="9"/>
      <c r="M2" s="9"/>
      <c r="N2" s="9"/>
      <c r="O2" s="9"/>
      <c r="P2" s="9"/>
      <c r="Q2" s="9"/>
      <c r="T2" s="32"/>
    </row>
    <row r="3" spans="1:21" s="1" customFormat="1" ht="15" customHeight="1" outlineLevel="1">
      <c r="E3" s="9"/>
      <c r="F3" s="9"/>
      <c r="G3" s="9"/>
      <c r="H3" s="9"/>
      <c r="I3" s="9"/>
      <c r="J3" s="9"/>
      <c r="K3" s="9"/>
      <c r="L3" s="9"/>
      <c r="M3" s="9"/>
      <c r="N3" s="9"/>
      <c r="O3" s="9"/>
      <c r="P3" s="9"/>
      <c r="Q3" s="9"/>
      <c r="T3" s="32"/>
    </row>
    <row r="4" spans="1:21" s="2" customFormat="1" ht="24.95" customHeight="1">
      <c r="D4" s="10" t="str">
        <f>Summary!$D$4</f>
        <v>Hotel Budget Report</v>
      </c>
      <c r="E4" s="11"/>
      <c r="F4" s="11"/>
      <c r="G4" s="12"/>
      <c r="H4" s="13"/>
      <c r="I4" s="13"/>
      <c r="T4" s="33"/>
    </row>
    <row r="5" spans="1:21" s="2" customFormat="1" ht="24.95" customHeight="1">
      <c r="D5" s="10" t="str">
        <f>Summary!$D$5</f>
        <v>酒店预算报表</v>
      </c>
      <c r="E5" s="11"/>
      <c r="F5" s="11"/>
      <c r="G5" s="12"/>
      <c r="H5" s="13"/>
      <c r="I5" s="13"/>
      <c r="T5" s="33"/>
    </row>
    <row r="6" spans="1:21" s="2" customFormat="1" ht="24.95" customHeight="1">
      <c r="D6" s="14" t="s">
        <v>1069</v>
      </c>
      <c r="E6" s="13"/>
      <c r="F6" s="13"/>
      <c r="G6" s="13"/>
      <c r="H6" s="13"/>
      <c r="I6" s="13"/>
      <c r="T6" s="33"/>
    </row>
    <row r="7" spans="1:21" s="2" customFormat="1" ht="24.95" customHeight="1">
      <c r="D7" s="15" t="s">
        <v>1185</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S9" s="34" t="s">
        <v>24</v>
      </c>
      <c r="T9" s="35"/>
    </row>
    <row r="10" spans="1:21" s="4" customFormat="1" ht="39.950000000000003" customHeight="1">
      <c r="A10" s="19" t="s">
        <v>19</v>
      </c>
      <c r="B10" s="19" t="s">
        <v>20</v>
      </c>
      <c r="C10" s="19"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T10" s="36" t="s">
        <v>24</v>
      </c>
      <c r="U10" s="37" t="s">
        <v>25</v>
      </c>
    </row>
    <row r="11" spans="1:21" s="3" customFormat="1" ht="24.95" customHeight="1">
      <c r="D11" s="21"/>
      <c r="E11" s="22"/>
      <c r="F11" s="22"/>
      <c r="G11" s="22"/>
      <c r="H11" s="23"/>
      <c r="I11" s="23"/>
      <c r="T11" s="35"/>
    </row>
    <row r="12" spans="1:21" s="3" customFormat="1" ht="24.95" customHeight="1">
      <c r="A12" s="3" t="s">
        <v>482</v>
      </c>
      <c r="B12" s="3" t="s">
        <v>1070</v>
      </c>
      <c r="D12" s="21" t="s">
        <v>137</v>
      </c>
      <c r="E12" s="43">
        <f>+E192</f>
        <v>37400</v>
      </c>
      <c r="F12" s="43">
        <f t="shared" ref="F12:P12" si="0">+F192</f>
        <v>41400</v>
      </c>
      <c r="G12" s="43">
        <f t="shared" si="0"/>
        <v>35400</v>
      </c>
      <c r="H12" s="43">
        <f t="shared" si="0"/>
        <v>37400</v>
      </c>
      <c r="I12" s="43">
        <f t="shared" si="0"/>
        <v>37400</v>
      </c>
      <c r="J12" s="43">
        <f t="shared" si="0"/>
        <v>37400</v>
      </c>
      <c r="K12" s="43">
        <f t="shared" si="0"/>
        <v>35400</v>
      </c>
      <c r="L12" s="43">
        <f t="shared" si="0"/>
        <v>35400</v>
      </c>
      <c r="M12" s="43">
        <f t="shared" si="0"/>
        <v>37400</v>
      </c>
      <c r="N12" s="43">
        <f t="shared" si="0"/>
        <v>41400</v>
      </c>
      <c r="O12" s="43">
        <f t="shared" si="0"/>
        <v>35400</v>
      </c>
      <c r="P12" s="43">
        <f t="shared" si="0"/>
        <v>35400</v>
      </c>
      <c r="Q12" s="43">
        <f>SUM(E12:P12)</f>
        <v>446800</v>
      </c>
      <c r="R12" s="39">
        <f>Q12/Summary!$Q$16</f>
        <v>1.3434446162912299E-2</v>
      </c>
      <c r="S12" s="39">
        <f>+'[5]Staff Canteen-Jon'!$S12</f>
        <v>4.3597577033727894E-3</v>
      </c>
      <c r="T12" s="35"/>
      <c r="U12" s="40" t="e">
        <f>-IF(Q12-T12=0,0,(Q12-T12)/T12)</f>
        <v>#DIV/0!</v>
      </c>
    </row>
    <row r="13" spans="1:21" s="3" customFormat="1" ht="24.95" customHeight="1">
      <c r="D13" s="26"/>
      <c r="E13" s="24"/>
      <c r="F13" s="24"/>
      <c r="G13" s="24"/>
      <c r="H13" s="44"/>
      <c r="I13" s="44"/>
      <c r="T13" s="35"/>
      <c r="U13" s="40"/>
    </row>
    <row r="14" spans="1:21" s="3" customFormat="1" ht="24.95" customHeight="1">
      <c r="D14" s="21" t="s">
        <v>138</v>
      </c>
      <c r="E14" s="24"/>
      <c r="F14" s="24"/>
      <c r="G14" s="24"/>
      <c r="H14" s="25"/>
      <c r="I14" s="25"/>
      <c r="T14" s="35"/>
      <c r="U14" s="40"/>
    </row>
    <row r="15" spans="1:21" s="3" customFormat="1" ht="24.95" hidden="1" customHeight="1">
      <c r="A15" s="3" t="s">
        <v>484</v>
      </c>
      <c r="B15" s="3" t="s">
        <v>1070</v>
      </c>
      <c r="D15" s="26" t="s">
        <v>485</v>
      </c>
      <c r="E15" s="27">
        <v>0</v>
      </c>
      <c r="F15" s="27">
        <v>0</v>
      </c>
      <c r="G15" s="27">
        <v>0</v>
      </c>
      <c r="H15" s="27">
        <v>0</v>
      </c>
      <c r="I15" s="27">
        <v>0</v>
      </c>
      <c r="J15" s="27">
        <v>0</v>
      </c>
      <c r="K15" s="27">
        <v>0</v>
      </c>
      <c r="L15" s="27">
        <v>0</v>
      </c>
      <c r="M15" s="27">
        <v>0</v>
      </c>
      <c r="N15" s="27">
        <v>0</v>
      </c>
      <c r="O15" s="27">
        <v>0</v>
      </c>
      <c r="P15" s="27">
        <v>0</v>
      </c>
      <c r="Q15" s="41">
        <f>SUM(E15:P15)</f>
        <v>0</v>
      </c>
      <c r="T15" s="35"/>
      <c r="U15" s="40">
        <f t="shared" ref="U15:U22" si="1">IF(Q15-T15=0,0,(Q15-T15)/T15)</f>
        <v>0</v>
      </c>
    </row>
    <row r="16" spans="1:21" s="3" customFormat="1" ht="24.95" hidden="1" customHeight="1">
      <c r="A16" s="3" t="s">
        <v>486</v>
      </c>
      <c r="B16" s="3" t="s">
        <v>1070</v>
      </c>
      <c r="D16" s="28" t="s">
        <v>487</v>
      </c>
      <c r="E16" s="27">
        <v>0</v>
      </c>
      <c r="F16" s="27">
        <v>0</v>
      </c>
      <c r="G16" s="27">
        <v>0</v>
      </c>
      <c r="H16" s="27">
        <v>0</v>
      </c>
      <c r="I16" s="27">
        <v>0</v>
      </c>
      <c r="J16" s="27">
        <v>0</v>
      </c>
      <c r="K16" s="27">
        <v>0</v>
      </c>
      <c r="L16" s="27">
        <v>0</v>
      </c>
      <c r="M16" s="27">
        <v>0</v>
      </c>
      <c r="N16" s="27">
        <v>0</v>
      </c>
      <c r="O16" s="27">
        <v>0</v>
      </c>
      <c r="P16" s="27">
        <v>0</v>
      </c>
      <c r="Q16" s="41">
        <f t="shared" ref="Q16:Q79" si="2">SUM(E16:P16)</f>
        <v>0</v>
      </c>
      <c r="T16" s="35"/>
      <c r="U16" s="40">
        <f t="shared" si="1"/>
        <v>0</v>
      </c>
    </row>
    <row r="17" spans="1:21" s="3" customFormat="1" ht="24.95" hidden="1" customHeight="1">
      <c r="A17" s="3" t="s">
        <v>488</v>
      </c>
      <c r="B17" s="3" t="s">
        <v>1070</v>
      </c>
      <c r="D17" s="26" t="s">
        <v>489</v>
      </c>
      <c r="E17" s="27">
        <v>0</v>
      </c>
      <c r="F17" s="27">
        <v>0</v>
      </c>
      <c r="G17" s="27">
        <v>0</v>
      </c>
      <c r="H17" s="27">
        <v>0</v>
      </c>
      <c r="I17" s="27">
        <v>0</v>
      </c>
      <c r="J17" s="27">
        <v>0</v>
      </c>
      <c r="K17" s="27">
        <v>0</v>
      </c>
      <c r="L17" s="27">
        <v>0</v>
      </c>
      <c r="M17" s="27">
        <v>0</v>
      </c>
      <c r="N17" s="27">
        <v>0</v>
      </c>
      <c r="O17" s="27">
        <v>0</v>
      </c>
      <c r="P17" s="27">
        <v>0</v>
      </c>
      <c r="Q17" s="41">
        <f t="shared" si="2"/>
        <v>0</v>
      </c>
      <c r="T17" s="35"/>
      <c r="U17" s="40">
        <f t="shared" si="1"/>
        <v>0</v>
      </c>
    </row>
    <row r="18" spans="1:21" s="3" customFormat="1" ht="24.95" hidden="1" customHeight="1">
      <c r="A18" s="3" t="s">
        <v>490</v>
      </c>
      <c r="B18" s="3" t="s">
        <v>1070</v>
      </c>
      <c r="D18" s="26" t="s">
        <v>491</v>
      </c>
      <c r="E18" s="27">
        <v>0</v>
      </c>
      <c r="F18" s="27">
        <v>0</v>
      </c>
      <c r="G18" s="27">
        <v>0</v>
      </c>
      <c r="H18" s="27">
        <v>0</v>
      </c>
      <c r="I18" s="27">
        <v>0</v>
      </c>
      <c r="J18" s="27">
        <v>0</v>
      </c>
      <c r="K18" s="27">
        <v>0</v>
      </c>
      <c r="L18" s="27">
        <v>0</v>
      </c>
      <c r="M18" s="27">
        <v>0</v>
      </c>
      <c r="N18" s="27">
        <v>0</v>
      </c>
      <c r="O18" s="27">
        <v>0</v>
      </c>
      <c r="P18" s="27">
        <v>0</v>
      </c>
      <c r="Q18" s="41">
        <f t="shared" si="2"/>
        <v>0</v>
      </c>
      <c r="T18" s="35"/>
      <c r="U18" s="40">
        <f t="shared" si="1"/>
        <v>0</v>
      </c>
    </row>
    <row r="19" spans="1:21" s="3" customFormat="1" ht="24.95" hidden="1" customHeight="1">
      <c r="A19" s="3" t="s">
        <v>492</v>
      </c>
      <c r="B19" s="3" t="s">
        <v>1070</v>
      </c>
      <c r="D19" s="29" t="s">
        <v>493</v>
      </c>
      <c r="E19" s="27">
        <v>0</v>
      </c>
      <c r="F19" s="27">
        <v>0</v>
      </c>
      <c r="G19" s="27">
        <v>0</v>
      </c>
      <c r="H19" s="27">
        <v>0</v>
      </c>
      <c r="I19" s="27">
        <v>0</v>
      </c>
      <c r="J19" s="27">
        <v>0</v>
      </c>
      <c r="K19" s="27">
        <v>0</v>
      </c>
      <c r="L19" s="27">
        <v>0</v>
      </c>
      <c r="M19" s="27">
        <v>0</v>
      </c>
      <c r="N19" s="27">
        <v>0</v>
      </c>
      <c r="O19" s="27">
        <v>0</v>
      </c>
      <c r="P19" s="27">
        <v>0</v>
      </c>
      <c r="Q19" s="41">
        <f t="shared" si="2"/>
        <v>0</v>
      </c>
      <c r="T19" s="35"/>
      <c r="U19" s="40">
        <f t="shared" si="1"/>
        <v>0</v>
      </c>
    </row>
    <row r="20" spans="1:21" s="3" customFormat="1" ht="24.95" hidden="1" customHeight="1">
      <c r="A20" s="3" t="s">
        <v>494</v>
      </c>
      <c r="B20" s="3" t="s">
        <v>1070</v>
      </c>
      <c r="D20" s="29" t="s">
        <v>495</v>
      </c>
      <c r="E20" s="27">
        <v>0</v>
      </c>
      <c r="F20" s="27">
        <v>0</v>
      </c>
      <c r="G20" s="27">
        <v>0</v>
      </c>
      <c r="H20" s="27">
        <v>0</v>
      </c>
      <c r="I20" s="27">
        <v>0</v>
      </c>
      <c r="J20" s="27">
        <v>0</v>
      </c>
      <c r="K20" s="27">
        <v>0</v>
      </c>
      <c r="L20" s="27">
        <v>0</v>
      </c>
      <c r="M20" s="27">
        <v>0</v>
      </c>
      <c r="N20" s="27">
        <v>0</v>
      </c>
      <c r="O20" s="27">
        <v>0</v>
      </c>
      <c r="P20" s="27">
        <v>0</v>
      </c>
      <c r="Q20" s="41">
        <f t="shared" si="2"/>
        <v>0</v>
      </c>
      <c r="T20" s="35"/>
      <c r="U20" s="40">
        <f t="shared" si="1"/>
        <v>0</v>
      </c>
    </row>
    <row r="21" spans="1:21" s="3" customFormat="1" ht="24.95" hidden="1" customHeight="1">
      <c r="A21" s="3" t="s">
        <v>496</v>
      </c>
      <c r="B21" s="3" t="s">
        <v>1070</v>
      </c>
      <c r="D21" s="26" t="s">
        <v>497</v>
      </c>
      <c r="E21" s="27">
        <v>0</v>
      </c>
      <c r="F21" s="27">
        <v>0</v>
      </c>
      <c r="G21" s="27">
        <v>0</v>
      </c>
      <c r="H21" s="27">
        <v>0</v>
      </c>
      <c r="I21" s="27">
        <v>0</v>
      </c>
      <c r="J21" s="27">
        <v>0</v>
      </c>
      <c r="K21" s="27">
        <v>0</v>
      </c>
      <c r="L21" s="27">
        <v>0</v>
      </c>
      <c r="M21" s="27">
        <v>0</v>
      </c>
      <c r="N21" s="27">
        <v>0</v>
      </c>
      <c r="O21" s="27">
        <v>0</v>
      </c>
      <c r="P21" s="27">
        <v>0</v>
      </c>
      <c r="Q21" s="41">
        <f t="shared" si="2"/>
        <v>0</v>
      </c>
      <c r="T21" s="35"/>
      <c r="U21" s="40">
        <f t="shared" si="1"/>
        <v>0</v>
      </c>
    </row>
    <row r="22" spans="1:21" s="3" customFormat="1" ht="24.95" hidden="1" customHeight="1">
      <c r="A22" s="3" t="s">
        <v>498</v>
      </c>
      <c r="B22" s="3" t="s">
        <v>1070</v>
      </c>
      <c r="D22" s="29" t="s">
        <v>499</v>
      </c>
      <c r="E22" s="27">
        <v>0</v>
      </c>
      <c r="F22" s="27">
        <v>0</v>
      </c>
      <c r="G22" s="27">
        <v>0</v>
      </c>
      <c r="H22" s="27">
        <v>0</v>
      </c>
      <c r="I22" s="27">
        <v>0</v>
      </c>
      <c r="J22" s="27">
        <v>0</v>
      </c>
      <c r="K22" s="27">
        <v>0</v>
      </c>
      <c r="L22" s="27">
        <v>0</v>
      </c>
      <c r="M22" s="27">
        <v>0</v>
      </c>
      <c r="N22" s="27">
        <v>0</v>
      </c>
      <c r="O22" s="27">
        <v>0</v>
      </c>
      <c r="P22" s="27">
        <v>0</v>
      </c>
      <c r="Q22" s="41">
        <f t="shared" si="2"/>
        <v>0</v>
      </c>
      <c r="T22" s="35"/>
      <c r="U22" s="40">
        <f t="shared" si="1"/>
        <v>0</v>
      </c>
    </row>
    <row r="23" spans="1:21" s="3" customFormat="1" ht="24.95" customHeight="1">
      <c r="A23" s="3" t="s">
        <v>500</v>
      </c>
      <c r="B23" s="3" t="s">
        <v>1070</v>
      </c>
      <c r="D23" s="26" t="s">
        <v>501</v>
      </c>
      <c r="E23" s="27"/>
      <c r="F23" s="27"/>
      <c r="G23" s="27"/>
      <c r="H23" s="27"/>
      <c r="I23" s="27"/>
      <c r="J23" s="27"/>
      <c r="K23" s="27"/>
      <c r="L23" s="27"/>
      <c r="M23" s="27"/>
      <c r="N23" s="27"/>
      <c r="O23" s="27"/>
      <c r="P23" s="27"/>
      <c r="Q23" s="41">
        <f t="shared" si="2"/>
        <v>0</v>
      </c>
      <c r="R23" s="39">
        <f>Q23/Summary!$Q$16</f>
        <v>0</v>
      </c>
      <c r="S23" s="39"/>
      <c r="T23" s="35"/>
      <c r="U23" s="40">
        <f t="shared" ref="U23:U54" si="3">-IF(Q23-T23=0,0,(Q23-T23)/T23)</f>
        <v>0</v>
      </c>
    </row>
    <row r="24" spans="1:21" s="3" customFormat="1" ht="24.95" hidden="1" customHeight="1">
      <c r="A24" s="3" t="s">
        <v>502</v>
      </c>
      <c r="B24" s="3" t="s">
        <v>1070</v>
      </c>
      <c r="D24" s="26" t="s">
        <v>503</v>
      </c>
      <c r="E24" s="27"/>
      <c r="F24" s="27"/>
      <c r="G24" s="27"/>
      <c r="H24" s="27"/>
      <c r="I24" s="27"/>
      <c r="J24" s="27"/>
      <c r="K24" s="27"/>
      <c r="L24" s="27"/>
      <c r="M24" s="27"/>
      <c r="N24" s="27"/>
      <c r="O24" s="27"/>
      <c r="P24" s="27"/>
      <c r="Q24" s="41">
        <f t="shared" si="2"/>
        <v>0</v>
      </c>
      <c r="R24" s="39">
        <f>Q24/Summary!$Q$16</f>
        <v>0</v>
      </c>
      <c r="S24" s="39"/>
      <c r="T24" s="35"/>
      <c r="U24" s="40">
        <f t="shared" si="3"/>
        <v>0</v>
      </c>
    </row>
    <row r="25" spans="1:21" s="3" customFormat="1" ht="24.95" hidden="1" customHeight="1">
      <c r="A25" s="3" t="s">
        <v>504</v>
      </c>
      <c r="B25" s="3" t="s">
        <v>1070</v>
      </c>
      <c r="D25" s="26" t="s">
        <v>505</v>
      </c>
      <c r="E25" s="27"/>
      <c r="F25" s="27"/>
      <c r="G25" s="27"/>
      <c r="H25" s="27"/>
      <c r="I25" s="27"/>
      <c r="J25" s="27"/>
      <c r="K25" s="27"/>
      <c r="L25" s="27"/>
      <c r="M25" s="27"/>
      <c r="N25" s="27"/>
      <c r="O25" s="27"/>
      <c r="P25" s="27"/>
      <c r="Q25" s="41">
        <f t="shared" si="2"/>
        <v>0</v>
      </c>
      <c r="R25" s="39">
        <f>Q25/Summary!$Q$16</f>
        <v>0</v>
      </c>
      <c r="S25" s="39"/>
      <c r="T25" s="35"/>
      <c r="U25" s="40">
        <f t="shared" si="3"/>
        <v>0</v>
      </c>
    </row>
    <row r="26" spans="1:21" s="3" customFormat="1" ht="24.95" hidden="1" customHeight="1">
      <c r="A26" s="3" t="s">
        <v>506</v>
      </c>
      <c r="B26" s="3" t="s">
        <v>1070</v>
      </c>
      <c r="D26" s="26" t="s">
        <v>507</v>
      </c>
      <c r="E26" s="27"/>
      <c r="F26" s="27"/>
      <c r="G26" s="27"/>
      <c r="H26" s="27"/>
      <c r="I26" s="27"/>
      <c r="J26" s="27"/>
      <c r="K26" s="27"/>
      <c r="L26" s="27"/>
      <c r="M26" s="27"/>
      <c r="N26" s="27"/>
      <c r="O26" s="27"/>
      <c r="P26" s="27"/>
      <c r="Q26" s="41">
        <f t="shared" si="2"/>
        <v>0</v>
      </c>
      <c r="R26" s="39">
        <f>Q26/Summary!$Q$16</f>
        <v>0</v>
      </c>
      <c r="S26" s="39"/>
      <c r="T26" s="35"/>
      <c r="U26" s="40">
        <f t="shared" si="3"/>
        <v>0</v>
      </c>
    </row>
    <row r="27" spans="1:21" s="3" customFormat="1" ht="24.95" hidden="1" customHeight="1">
      <c r="A27" s="3" t="s">
        <v>508</v>
      </c>
      <c r="B27" s="3" t="s">
        <v>1070</v>
      </c>
      <c r="D27" s="26" t="s">
        <v>509</v>
      </c>
      <c r="E27" s="27"/>
      <c r="F27" s="27"/>
      <c r="G27" s="27"/>
      <c r="H27" s="27"/>
      <c r="I27" s="27"/>
      <c r="J27" s="27"/>
      <c r="K27" s="27"/>
      <c r="L27" s="27"/>
      <c r="M27" s="27"/>
      <c r="N27" s="27"/>
      <c r="O27" s="27"/>
      <c r="P27" s="27"/>
      <c r="Q27" s="41">
        <f t="shared" si="2"/>
        <v>0</v>
      </c>
      <c r="R27" s="39">
        <f>Q27/Summary!$Q$16</f>
        <v>0</v>
      </c>
      <c r="S27" s="39"/>
      <c r="T27" s="35"/>
      <c r="U27" s="40">
        <f t="shared" si="3"/>
        <v>0</v>
      </c>
    </row>
    <row r="28" spans="1:21" s="3" customFormat="1" ht="24.95" hidden="1" customHeight="1">
      <c r="A28" s="3" t="s">
        <v>510</v>
      </c>
      <c r="B28" s="3" t="s">
        <v>1070</v>
      </c>
      <c r="D28" s="26" t="s">
        <v>511</v>
      </c>
      <c r="E28" s="27"/>
      <c r="F28" s="27"/>
      <c r="G28" s="27"/>
      <c r="H28" s="27"/>
      <c r="I28" s="27"/>
      <c r="J28" s="27"/>
      <c r="K28" s="27"/>
      <c r="L28" s="27"/>
      <c r="M28" s="27"/>
      <c r="N28" s="27"/>
      <c r="O28" s="27"/>
      <c r="P28" s="27"/>
      <c r="Q28" s="41">
        <f t="shared" si="2"/>
        <v>0</v>
      </c>
      <c r="R28" s="39">
        <f>Q28/Summary!$Q$16</f>
        <v>0</v>
      </c>
      <c r="S28" s="39"/>
      <c r="T28" s="35"/>
      <c r="U28" s="40">
        <f t="shared" si="3"/>
        <v>0</v>
      </c>
    </row>
    <row r="29" spans="1:21" s="3" customFormat="1" ht="24.95" hidden="1" customHeight="1">
      <c r="A29" s="3" t="s">
        <v>512</v>
      </c>
      <c r="B29" s="3" t="s">
        <v>1070</v>
      </c>
      <c r="D29" s="26" t="s">
        <v>169</v>
      </c>
      <c r="E29" s="27"/>
      <c r="F29" s="27"/>
      <c r="G29" s="27"/>
      <c r="H29" s="27"/>
      <c r="I29" s="27"/>
      <c r="J29" s="27"/>
      <c r="K29" s="27"/>
      <c r="L29" s="27"/>
      <c r="M29" s="27"/>
      <c r="N29" s="27"/>
      <c r="O29" s="27"/>
      <c r="P29" s="27"/>
      <c r="Q29" s="41">
        <f t="shared" si="2"/>
        <v>0</v>
      </c>
      <c r="R29" s="39">
        <f>Q29/Summary!$Q$16</f>
        <v>0</v>
      </c>
      <c r="S29" s="39"/>
      <c r="T29" s="35"/>
      <c r="U29" s="40">
        <f t="shared" si="3"/>
        <v>0</v>
      </c>
    </row>
    <row r="30" spans="1:21" s="3" customFormat="1" ht="24.95" hidden="1" customHeight="1">
      <c r="A30" s="3" t="s">
        <v>513</v>
      </c>
      <c r="B30" s="3" t="s">
        <v>1070</v>
      </c>
      <c r="D30" s="26" t="s">
        <v>171</v>
      </c>
      <c r="E30" s="27"/>
      <c r="F30" s="27"/>
      <c r="G30" s="27"/>
      <c r="H30" s="27"/>
      <c r="I30" s="27"/>
      <c r="J30" s="27"/>
      <c r="K30" s="27"/>
      <c r="L30" s="27"/>
      <c r="M30" s="27"/>
      <c r="N30" s="27"/>
      <c r="O30" s="27"/>
      <c r="P30" s="27"/>
      <c r="Q30" s="41">
        <f t="shared" si="2"/>
        <v>0</v>
      </c>
      <c r="R30" s="39">
        <f>Q30/Summary!$Q$16</f>
        <v>0</v>
      </c>
      <c r="S30" s="39"/>
      <c r="T30" s="35"/>
      <c r="U30" s="40">
        <f t="shared" si="3"/>
        <v>0</v>
      </c>
    </row>
    <row r="31" spans="1:21" s="3" customFormat="1" ht="24.95" hidden="1" customHeight="1">
      <c r="A31" s="3" t="s">
        <v>514</v>
      </c>
      <c r="B31" s="3" t="s">
        <v>1070</v>
      </c>
      <c r="D31" s="26" t="s">
        <v>515</v>
      </c>
      <c r="E31" s="27"/>
      <c r="F31" s="27"/>
      <c r="G31" s="27"/>
      <c r="H31" s="27"/>
      <c r="I31" s="27"/>
      <c r="J31" s="27"/>
      <c r="K31" s="27"/>
      <c r="L31" s="27"/>
      <c r="M31" s="27"/>
      <c r="N31" s="27"/>
      <c r="O31" s="27"/>
      <c r="P31" s="27"/>
      <c r="Q31" s="41">
        <f t="shared" si="2"/>
        <v>0</v>
      </c>
      <c r="R31" s="39">
        <f>Q31/Summary!$Q$16</f>
        <v>0</v>
      </c>
      <c r="S31" s="39"/>
      <c r="T31" s="35"/>
      <c r="U31" s="40">
        <f t="shared" si="3"/>
        <v>0</v>
      </c>
    </row>
    <row r="32" spans="1:21" s="3" customFormat="1" ht="24.95" hidden="1" customHeight="1">
      <c r="A32" s="3" t="s">
        <v>516</v>
      </c>
      <c r="B32" s="3" t="s">
        <v>1070</v>
      </c>
      <c r="D32" s="26" t="s">
        <v>517</v>
      </c>
      <c r="E32" s="27"/>
      <c r="F32" s="27"/>
      <c r="G32" s="27"/>
      <c r="H32" s="27"/>
      <c r="I32" s="27"/>
      <c r="J32" s="27"/>
      <c r="K32" s="27"/>
      <c r="L32" s="27"/>
      <c r="M32" s="27"/>
      <c r="N32" s="27"/>
      <c r="O32" s="27"/>
      <c r="P32" s="27"/>
      <c r="Q32" s="41">
        <f t="shared" si="2"/>
        <v>0</v>
      </c>
      <c r="R32" s="39">
        <f>Q32/Summary!$Q$16</f>
        <v>0</v>
      </c>
      <c r="S32" s="39"/>
      <c r="T32" s="35"/>
      <c r="U32" s="40">
        <f t="shared" si="3"/>
        <v>0</v>
      </c>
    </row>
    <row r="33" spans="1:21" s="3" customFormat="1" ht="24.95" hidden="1" customHeight="1">
      <c r="A33" s="3" t="s">
        <v>518</v>
      </c>
      <c r="B33" s="3" t="s">
        <v>1070</v>
      </c>
      <c r="D33" s="26" t="s">
        <v>519</v>
      </c>
      <c r="E33" s="27"/>
      <c r="F33" s="27"/>
      <c r="G33" s="27"/>
      <c r="H33" s="27"/>
      <c r="I33" s="27"/>
      <c r="J33" s="27"/>
      <c r="K33" s="27"/>
      <c r="L33" s="27"/>
      <c r="M33" s="27"/>
      <c r="N33" s="27"/>
      <c r="O33" s="27"/>
      <c r="P33" s="27"/>
      <c r="Q33" s="41">
        <f t="shared" si="2"/>
        <v>0</v>
      </c>
      <c r="R33" s="39">
        <f>Q33/Summary!$Q$16</f>
        <v>0</v>
      </c>
      <c r="S33" s="39"/>
      <c r="T33" s="35"/>
      <c r="U33" s="40">
        <f t="shared" si="3"/>
        <v>0</v>
      </c>
    </row>
    <row r="34" spans="1:21" s="3" customFormat="1" ht="24.95" hidden="1" customHeight="1">
      <c r="A34" s="3" t="s">
        <v>520</v>
      </c>
      <c r="B34" s="3" t="s">
        <v>1070</v>
      </c>
      <c r="D34" s="26" t="s">
        <v>521</v>
      </c>
      <c r="E34" s="27"/>
      <c r="F34" s="27"/>
      <c r="G34" s="27"/>
      <c r="H34" s="27"/>
      <c r="I34" s="27"/>
      <c r="J34" s="27"/>
      <c r="K34" s="27"/>
      <c r="L34" s="27"/>
      <c r="M34" s="27"/>
      <c r="N34" s="27"/>
      <c r="O34" s="27"/>
      <c r="P34" s="27"/>
      <c r="Q34" s="41">
        <f t="shared" si="2"/>
        <v>0</v>
      </c>
      <c r="R34" s="39">
        <f>Q34/Summary!$Q$16</f>
        <v>0</v>
      </c>
      <c r="S34" s="39"/>
      <c r="T34" s="35"/>
      <c r="U34" s="40">
        <f t="shared" si="3"/>
        <v>0</v>
      </c>
    </row>
    <row r="35" spans="1:21" s="3" customFormat="1" ht="24.95" customHeight="1">
      <c r="A35" s="3" t="s">
        <v>522</v>
      </c>
      <c r="B35" s="3" t="s">
        <v>1070</v>
      </c>
      <c r="D35" s="26" t="s">
        <v>523</v>
      </c>
      <c r="E35" s="27">
        <v>500</v>
      </c>
      <c r="F35" s="27">
        <v>500</v>
      </c>
      <c r="G35" s="27">
        <v>500</v>
      </c>
      <c r="H35" s="27">
        <v>500</v>
      </c>
      <c r="I35" s="27">
        <v>500</v>
      </c>
      <c r="J35" s="27">
        <v>500</v>
      </c>
      <c r="K35" s="27">
        <v>500</v>
      </c>
      <c r="L35" s="27">
        <v>500</v>
      </c>
      <c r="M35" s="27">
        <v>500</v>
      </c>
      <c r="N35" s="27">
        <v>500</v>
      </c>
      <c r="O35" s="27">
        <v>500</v>
      </c>
      <c r="P35" s="27">
        <v>500</v>
      </c>
      <c r="Q35" s="41">
        <f t="shared" si="2"/>
        <v>6000</v>
      </c>
      <c r="R35" s="39">
        <f>Q35/Summary!$Q$16</f>
        <v>1.8040885626113205E-4</v>
      </c>
      <c r="S35" s="39"/>
      <c r="T35" s="35"/>
      <c r="U35" s="40" t="e">
        <f t="shared" si="3"/>
        <v>#DIV/0!</v>
      </c>
    </row>
    <row r="36" spans="1:21" s="3" customFormat="1" ht="24.95" hidden="1" customHeight="1">
      <c r="A36" s="3" t="s">
        <v>524</v>
      </c>
      <c r="B36" s="3" t="s">
        <v>1070</v>
      </c>
      <c r="D36" s="26" t="s">
        <v>525</v>
      </c>
      <c r="E36" s="27"/>
      <c r="F36" s="27"/>
      <c r="G36" s="27"/>
      <c r="H36" s="27"/>
      <c r="I36" s="27"/>
      <c r="J36" s="27"/>
      <c r="K36" s="27"/>
      <c r="L36" s="27"/>
      <c r="M36" s="27"/>
      <c r="N36" s="27"/>
      <c r="O36" s="27"/>
      <c r="P36" s="27"/>
      <c r="Q36" s="41">
        <f t="shared" si="2"/>
        <v>0</v>
      </c>
      <c r="R36" s="39">
        <f>Q36/Summary!$Q$16</f>
        <v>0</v>
      </c>
      <c r="S36" s="39"/>
      <c r="T36" s="35"/>
      <c r="U36" s="40">
        <f t="shared" si="3"/>
        <v>0</v>
      </c>
    </row>
    <row r="37" spans="1:21" s="3" customFormat="1" ht="24.95" hidden="1" customHeight="1">
      <c r="A37" s="3" t="s">
        <v>526</v>
      </c>
      <c r="B37" s="3" t="s">
        <v>1070</v>
      </c>
      <c r="D37" s="26" t="s">
        <v>527</v>
      </c>
      <c r="E37" s="27"/>
      <c r="F37" s="27"/>
      <c r="G37" s="27"/>
      <c r="H37" s="27"/>
      <c r="I37" s="27"/>
      <c r="J37" s="27"/>
      <c r="K37" s="27"/>
      <c r="L37" s="27"/>
      <c r="M37" s="27"/>
      <c r="N37" s="27"/>
      <c r="O37" s="27"/>
      <c r="P37" s="27"/>
      <c r="Q37" s="41">
        <f t="shared" si="2"/>
        <v>0</v>
      </c>
      <c r="R37" s="39">
        <f>Q37/Summary!$Q$16</f>
        <v>0</v>
      </c>
      <c r="S37" s="39"/>
      <c r="T37" s="35"/>
      <c r="U37" s="40">
        <f t="shared" si="3"/>
        <v>0</v>
      </c>
    </row>
    <row r="38" spans="1:21" s="3" customFormat="1" ht="24.95" hidden="1" customHeight="1">
      <c r="A38" s="3" t="s">
        <v>528</v>
      </c>
      <c r="B38" s="3" t="s">
        <v>1070</v>
      </c>
      <c r="D38" s="26" t="s">
        <v>529</v>
      </c>
      <c r="E38" s="27"/>
      <c r="F38" s="27"/>
      <c r="G38" s="27"/>
      <c r="H38" s="27"/>
      <c r="I38" s="27"/>
      <c r="J38" s="27"/>
      <c r="K38" s="27"/>
      <c r="L38" s="27"/>
      <c r="M38" s="27"/>
      <c r="N38" s="27"/>
      <c r="O38" s="27"/>
      <c r="P38" s="27"/>
      <c r="Q38" s="41">
        <f t="shared" si="2"/>
        <v>0</v>
      </c>
      <c r="R38" s="39">
        <f>Q38/Summary!$Q$16</f>
        <v>0</v>
      </c>
      <c r="S38" s="39"/>
      <c r="T38" s="35"/>
      <c r="U38" s="40">
        <f t="shared" si="3"/>
        <v>0</v>
      </c>
    </row>
    <row r="39" spans="1:21" s="3" customFormat="1" ht="24.95" hidden="1" customHeight="1">
      <c r="A39" s="3" t="s">
        <v>530</v>
      </c>
      <c r="B39" s="3" t="s">
        <v>1070</v>
      </c>
      <c r="D39" s="26" t="s">
        <v>531</v>
      </c>
      <c r="E39" s="27"/>
      <c r="F39" s="27"/>
      <c r="G39" s="27"/>
      <c r="H39" s="27"/>
      <c r="I39" s="27"/>
      <c r="J39" s="27"/>
      <c r="K39" s="27"/>
      <c r="L39" s="27"/>
      <c r="M39" s="27"/>
      <c r="N39" s="27"/>
      <c r="O39" s="27"/>
      <c r="P39" s="27"/>
      <c r="Q39" s="41">
        <f t="shared" si="2"/>
        <v>0</v>
      </c>
      <c r="R39" s="39">
        <f>Q39/Summary!$Q$16</f>
        <v>0</v>
      </c>
      <c r="S39" s="39"/>
      <c r="T39" s="35"/>
      <c r="U39" s="40">
        <f t="shared" si="3"/>
        <v>0</v>
      </c>
    </row>
    <row r="40" spans="1:21" s="3" customFormat="1" ht="24.95" hidden="1" customHeight="1">
      <c r="A40" s="3" t="s">
        <v>532</v>
      </c>
      <c r="B40" s="3" t="s">
        <v>1070</v>
      </c>
      <c r="D40" s="26" t="s">
        <v>1182</v>
      </c>
      <c r="E40" s="27"/>
      <c r="F40" s="27"/>
      <c r="G40" s="27"/>
      <c r="H40" s="27"/>
      <c r="I40" s="27"/>
      <c r="J40" s="27"/>
      <c r="K40" s="27"/>
      <c r="L40" s="27"/>
      <c r="M40" s="27"/>
      <c r="N40" s="27"/>
      <c r="O40" s="27"/>
      <c r="P40" s="27"/>
      <c r="Q40" s="41">
        <f t="shared" si="2"/>
        <v>0</v>
      </c>
      <c r="R40" s="39">
        <f>Q40/Summary!$Q$16</f>
        <v>0</v>
      </c>
      <c r="S40" s="39"/>
      <c r="T40" s="35"/>
      <c r="U40" s="40">
        <f t="shared" si="3"/>
        <v>0</v>
      </c>
    </row>
    <row r="41" spans="1:21" s="3" customFormat="1" ht="24.95" customHeight="1">
      <c r="A41" s="3" t="s">
        <v>534</v>
      </c>
      <c r="B41" s="3" t="s">
        <v>1070</v>
      </c>
      <c r="D41" s="26" t="s">
        <v>535</v>
      </c>
      <c r="E41" s="27"/>
      <c r="F41" s="27"/>
      <c r="G41" s="27"/>
      <c r="H41" s="27"/>
      <c r="I41" s="27"/>
      <c r="J41" s="27"/>
      <c r="K41" s="27"/>
      <c r="L41" s="27"/>
      <c r="M41" s="27"/>
      <c r="N41" s="27"/>
      <c r="O41" s="27"/>
      <c r="P41" s="27"/>
      <c r="Q41" s="41">
        <f t="shared" si="2"/>
        <v>0</v>
      </c>
      <c r="R41" s="39">
        <f>Q41/Summary!$Q$16</f>
        <v>0</v>
      </c>
      <c r="S41" s="39"/>
      <c r="T41" s="35"/>
      <c r="U41" s="40">
        <f t="shared" si="3"/>
        <v>0</v>
      </c>
    </row>
    <row r="42" spans="1:21" s="3" customFormat="1" ht="24.95" hidden="1" customHeight="1">
      <c r="A42" s="3" t="s">
        <v>536</v>
      </c>
      <c r="B42" s="3" t="s">
        <v>1070</v>
      </c>
      <c r="D42" s="26" t="s">
        <v>537</v>
      </c>
      <c r="E42" s="27"/>
      <c r="F42" s="27"/>
      <c r="G42" s="27"/>
      <c r="H42" s="27"/>
      <c r="I42" s="27"/>
      <c r="J42" s="27"/>
      <c r="K42" s="27"/>
      <c r="L42" s="27"/>
      <c r="M42" s="27"/>
      <c r="N42" s="27"/>
      <c r="O42" s="27"/>
      <c r="P42" s="27"/>
      <c r="Q42" s="41">
        <f t="shared" si="2"/>
        <v>0</v>
      </c>
      <c r="R42" s="39">
        <f>Q42/Summary!$Q$16</f>
        <v>0</v>
      </c>
      <c r="S42" s="39"/>
      <c r="T42" s="35"/>
      <c r="U42" s="40">
        <f t="shared" si="3"/>
        <v>0</v>
      </c>
    </row>
    <row r="43" spans="1:21" s="3" customFormat="1" ht="24.95" customHeight="1">
      <c r="A43" s="3" t="s">
        <v>538</v>
      </c>
      <c r="B43" s="3" t="s">
        <v>1070</v>
      </c>
      <c r="D43" s="26" t="s">
        <v>539</v>
      </c>
      <c r="E43" s="27"/>
      <c r="F43" s="27"/>
      <c r="G43" s="27"/>
      <c r="H43" s="27"/>
      <c r="I43" s="27"/>
      <c r="J43" s="27"/>
      <c r="K43" s="27"/>
      <c r="L43" s="27"/>
      <c r="M43" s="27"/>
      <c r="N43" s="27"/>
      <c r="O43" s="27"/>
      <c r="P43" s="27"/>
      <c r="Q43" s="41">
        <f t="shared" si="2"/>
        <v>0</v>
      </c>
      <c r="R43" s="39">
        <f>Q43/Summary!$Q$16</f>
        <v>0</v>
      </c>
      <c r="S43" s="39"/>
      <c r="T43" s="35"/>
      <c r="U43" s="40">
        <f t="shared" si="3"/>
        <v>0</v>
      </c>
    </row>
    <row r="44" spans="1:21" s="3" customFormat="1" ht="24.95" hidden="1" customHeight="1">
      <c r="A44" s="3" t="s">
        <v>540</v>
      </c>
      <c r="B44" s="3" t="s">
        <v>1070</v>
      </c>
      <c r="D44" s="26" t="s">
        <v>541</v>
      </c>
      <c r="E44" s="27"/>
      <c r="F44" s="27"/>
      <c r="G44" s="27"/>
      <c r="H44" s="27"/>
      <c r="I44" s="27"/>
      <c r="J44" s="27"/>
      <c r="K44" s="27"/>
      <c r="L44" s="27"/>
      <c r="M44" s="27"/>
      <c r="N44" s="27"/>
      <c r="O44" s="27"/>
      <c r="P44" s="27"/>
      <c r="Q44" s="41">
        <f t="shared" si="2"/>
        <v>0</v>
      </c>
      <c r="R44" s="39">
        <f>Q44/Summary!$Q$16</f>
        <v>0</v>
      </c>
      <c r="S44" s="39"/>
      <c r="T44" s="35"/>
      <c r="U44" s="40">
        <f t="shared" si="3"/>
        <v>0</v>
      </c>
    </row>
    <row r="45" spans="1:21" s="3" customFormat="1" ht="24.95" hidden="1" customHeight="1">
      <c r="A45" s="3" t="s">
        <v>542</v>
      </c>
      <c r="B45" s="3" t="s">
        <v>1070</v>
      </c>
      <c r="D45" s="26" t="s">
        <v>543</v>
      </c>
      <c r="E45" s="27"/>
      <c r="F45" s="27"/>
      <c r="G45" s="27"/>
      <c r="H45" s="27"/>
      <c r="I45" s="27"/>
      <c r="J45" s="27"/>
      <c r="K45" s="27"/>
      <c r="L45" s="27"/>
      <c r="M45" s="27"/>
      <c r="N45" s="27"/>
      <c r="O45" s="27"/>
      <c r="P45" s="27"/>
      <c r="Q45" s="41">
        <f t="shared" si="2"/>
        <v>0</v>
      </c>
      <c r="R45" s="39">
        <f>Q45/Summary!$Q$16</f>
        <v>0</v>
      </c>
      <c r="S45" s="39"/>
      <c r="T45" s="35"/>
      <c r="U45" s="40">
        <f t="shared" si="3"/>
        <v>0</v>
      </c>
    </row>
    <row r="46" spans="1:21" s="3" customFormat="1" ht="24.95" hidden="1" customHeight="1">
      <c r="A46" s="3" t="s">
        <v>544</v>
      </c>
      <c r="B46" s="3" t="s">
        <v>1070</v>
      </c>
      <c r="D46" s="29" t="s">
        <v>545</v>
      </c>
      <c r="E46" s="27"/>
      <c r="F46" s="27"/>
      <c r="G46" s="27"/>
      <c r="H46" s="27"/>
      <c r="I46" s="27"/>
      <c r="J46" s="27"/>
      <c r="K46" s="27"/>
      <c r="L46" s="27"/>
      <c r="M46" s="27"/>
      <c r="N46" s="27"/>
      <c r="O46" s="27"/>
      <c r="P46" s="27"/>
      <c r="Q46" s="41">
        <f t="shared" si="2"/>
        <v>0</v>
      </c>
      <c r="R46" s="39">
        <f>Q46/Summary!$Q$16</f>
        <v>0</v>
      </c>
      <c r="S46" s="39"/>
      <c r="T46" s="35"/>
      <c r="U46" s="40">
        <f t="shared" si="3"/>
        <v>0</v>
      </c>
    </row>
    <row r="47" spans="1:21" s="3" customFormat="1" ht="24.95" hidden="1" customHeight="1">
      <c r="A47" s="3" t="s">
        <v>546</v>
      </c>
      <c r="B47" s="3" t="s">
        <v>1070</v>
      </c>
      <c r="D47" s="26" t="s">
        <v>547</v>
      </c>
      <c r="E47" s="27"/>
      <c r="F47" s="27"/>
      <c r="G47" s="27"/>
      <c r="H47" s="27"/>
      <c r="I47" s="27"/>
      <c r="J47" s="27"/>
      <c r="K47" s="27"/>
      <c r="L47" s="27"/>
      <c r="M47" s="27"/>
      <c r="N47" s="27"/>
      <c r="O47" s="27"/>
      <c r="P47" s="27"/>
      <c r="Q47" s="41">
        <f t="shared" si="2"/>
        <v>0</v>
      </c>
      <c r="R47" s="39">
        <f>Q47/Summary!$Q$16</f>
        <v>0</v>
      </c>
      <c r="S47" s="39"/>
      <c r="T47" s="35"/>
      <c r="U47" s="40">
        <f t="shared" si="3"/>
        <v>0</v>
      </c>
    </row>
    <row r="48" spans="1:21" s="3" customFormat="1" ht="24.95" hidden="1" customHeight="1">
      <c r="A48" s="3" t="s">
        <v>548</v>
      </c>
      <c r="B48" s="3" t="s">
        <v>1070</v>
      </c>
      <c r="D48" s="26" t="s">
        <v>549</v>
      </c>
      <c r="E48" s="27"/>
      <c r="F48" s="27"/>
      <c r="G48" s="27"/>
      <c r="H48" s="27"/>
      <c r="I48" s="27"/>
      <c r="J48" s="27"/>
      <c r="K48" s="27"/>
      <c r="L48" s="27"/>
      <c r="M48" s="27"/>
      <c r="N48" s="27"/>
      <c r="O48" s="27"/>
      <c r="P48" s="27"/>
      <c r="Q48" s="41">
        <f t="shared" si="2"/>
        <v>0</v>
      </c>
      <c r="R48" s="39">
        <f>Q48/Summary!$Q$16</f>
        <v>0</v>
      </c>
      <c r="S48" s="39"/>
      <c r="T48" s="35"/>
      <c r="U48" s="40">
        <f t="shared" si="3"/>
        <v>0</v>
      </c>
    </row>
    <row r="49" spans="1:21" s="3" customFormat="1" ht="24.95" hidden="1" customHeight="1">
      <c r="A49" s="3" t="s">
        <v>550</v>
      </c>
      <c r="B49" s="3" t="s">
        <v>1070</v>
      </c>
      <c r="D49" s="26" t="s">
        <v>551</v>
      </c>
      <c r="E49" s="27"/>
      <c r="F49" s="27"/>
      <c r="G49" s="27"/>
      <c r="H49" s="27"/>
      <c r="I49" s="27"/>
      <c r="J49" s="27"/>
      <c r="K49" s="27"/>
      <c r="L49" s="27"/>
      <c r="M49" s="27"/>
      <c r="N49" s="27"/>
      <c r="O49" s="27"/>
      <c r="P49" s="27"/>
      <c r="Q49" s="41">
        <f t="shared" si="2"/>
        <v>0</v>
      </c>
      <c r="R49" s="39">
        <f>Q49/Summary!$Q$16</f>
        <v>0</v>
      </c>
      <c r="S49" s="39"/>
      <c r="T49" s="35"/>
      <c r="U49" s="40">
        <f t="shared" si="3"/>
        <v>0</v>
      </c>
    </row>
    <row r="50" spans="1:21" s="3" customFormat="1" ht="24.95" hidden="1" customHeight="1">
      <c r="A50" s="3" t="s">
        <v>552</v>
      </c>
      <c r="B50" s="3" t="s">
        <v>1070</v>
      </c>
      <c r="D50" s="26" t="s">
        <v>553</v>
      </c>
      <c r="E50" s="27"/>
      <c r="F50" s="27"/>
      <c r="G50" s="27"/>
      <c r="H50" s="27"/>
      <c r="I50" s="27"/>
      <c r="J50" s="27"/>
      <c r="K50" s="27"/>
      <c r="L50" s="27"/>
      <c r="M50" s="27"/>
      <c r="N50" s="27"/>
      <c r="O50" s="27"/>
      <c r="P50" s="27"/>
      <c r="Q50" s="41">
        <f t="shared" si="2"/>
        <v>0</v>
      </c>
      <c r="R50" s="39">
        <f>Q50/Summary!$Q$16</f>
        <v>0</v>
      </c>
      <c r="S50" s="39"/>
      <c r="T50" s="35"/>
      <c r="U50" s="40">
        <f t="shared" si="3"/>
        <v>0</v>
      </c>
    </row>
    <row r="51" spans="1:21" s="3" customFormat="1" ht="24.95" hidden="1" customHeight="1">
      <c r="A51" s="3" t="s">
        <v>554</v>
      </c>
      <c r="B51" s="3" t="s">
        <v>1070</v>
      </c>
      <c r="D51" s="26" t="s">
        <v>555</v>
      </c>
      <c r="E51" s="27"/>
      <c r="F51" s="27"/>
      <c r="G51" s="27"/>
      <c r="H51" s="27"/>
      <c r="I51" s="27"/>
      <c r="J51" s="27"/>
      <c r="K51" s="27"/>
      <c r="L51" s="27"/>
      <c r="M51" s="27"/>
      <c r="N51" s="27"/>
      <c r="O51" s="27"/>
      <c r="P51" s="27"/>
      <c r="Q51" s="41">
        <f t="shared" si="2"/>
        <v>0</v>
      </c>
      <c r="R51" s="39">
        <f>Q51/Summary!$Q$16</f>
        <v>0</v>
      </c>
      <c r="S51" s="39"/>
      <c r="T51" s="35"/>
      <c r="U51" s="40">
        <f t="shared" si="3"/>
        <v>0</v>
      </c>
    </row>
    <row r="52" spans="1:21" s="3" customFormat="1" ht="24.95" hidden="1" customHeight="1">
      <c r="A52" s="3" t="s">
        <v>556</v>
      </c>
      <c r="B52" s="3" t="s">
        <v>1070</v>
      </c>
      <c r="D52" s="26" t="s">
        <v>557</v>
      </c>
      <c r="E52" s="27"/>
      <c r="F52" s="27"/>
      <c r="G52" s="27"/>
      <c r="H52" s="27"/>
      <c r="I52" s="27"/>
      <c r="J52" s="27"/>
      <c r="K52" s="27"/>
      <c r="L52" s="27"/>
      <c r="M52" s="27"/>
      <c r="N52" s="27"/>
      <c r="O52" s="27"/>
      <c r="P52" s="27"/>
      <c r="Q52" s="41">
        <f t="shared" si="2"/>
        <v>0</v>
      </c>
      <c r="R52" s="39">
        <f>Q52/Summary!$Q$16</f>
        <v>0</v>
      </c>
      <c r="S52" s="39"/>
      <c r="T52" s="35"/>
      <c r="U52" s="40">
        <f t="shared" si="3"/>
        <v>0</v>
      </c>
    </row>
    <row r="53" spans="1:21" s="3" customFormat="1" ht="24.95" customHeight="1">
      <c r="A53" s="3" t="s">
        <v>558</v>
      </c>
      <c r="B53" s="3" t="s">
        <v>1070</v>
      </c>
      <c r="D53" s="29" t="s">
        <v>559</v>
      </c>
      <c r="E53" s="27"/>
      <c r="F53" s="27"/>
      <c r="G53" s="27"/>
      <c r="H53" s="27"/>
      <c r="I53" s="27"/>
      <c r="J53" s="27"/>
      <c r="K53" s="27"/>
      <c r="L53" s="27"/>
      <c r="M53" s="27"/>
      <c r="N53" s="27"/>
      <c r="O53" s="27"/>
      <c r="P53" s="27"/>
      <c r="Q53" s="41">
        <f t="shared" si="2"/>
        <v>0</v>
      </c>
      <c r="R53" s="39">
        <f>Q53/Summary!$Q$16</f>
        <v>0</v>
      </c>
      <c r="S53" s="39"/>
      <c r="T53" s="35"/>
      <c r="U53" s="40">
        <f t="shared" si="3"/>
        <v>0</v>
      </c>
    </row>
    <row r="54" spans="1:21" s="3" customFormat="1" ht="24.95" hidden="1" customHeight="1">
      <c r="A54" s="3" t="s">
        <v>560</v>
      </c>
      <c r="B54" s="3" t="s">
        <v>1070</v>
      </c>
      <c r="D54" s="26" t="s">
        <v>561</v>
      </c>
      <c r="E54" s="27"/>
      <c r="F54" s="27"/>
      <c r="G54" s="27"/>
      <c r="H54" s="27"/>
      <c r="I54" s="27"/>
      <c r="J54" s="27"/>
      <c r="K54" s="27"/>
      <c r="L54" s="27"/>
      <c r="M54" s="27"/>
      <c r="N54" s="27"/>
      <c r="O54" s="27"/>
      <c r="P54" s="27"/>
      <c r="Q54" s="41">
        <f t="shared" si="2"/>
        <v>0</v>
      </c>
      <c r="R54" s="39">
        <f>Q54/Summary!$Q$16</f>
        <v>0</v>
      </c>
      <c r="S54" s="39"/>
      <c r="T54" s="35"/>
      <c r="U54" s="40">
        <f t="shared" si="3"/>
        <v>0</v>
      </c>
    </row>
    <row r="55" spans="1:21" s="3" customFormat="1" ht="24.95" hidden="1" customHeight="1">
      <c r="A55" s="3" t="s">
        <v>562</v>
      </c>
      <c r="B55" s="3" t="s">
        <v>1070</v>
      </c>
      <c r="D55" s="29" t="s">
        <v>563</v>
      </c>
      <c r="E55" s="27"/>
      <c r="F55" s="27"/>
      <c r="G55" s="27"/>
      <c r="H55" s="27"/>
      <c r="I55" s="27"/>
      <c r="J55" s="27"/>
      <c r="K55" s="27"/>
      <c r="L55" s="27"/>
      <c r="M55" s="27"/>
      <c r="N55" s="27"/>
      <c r="O55" s="27"/>
      <c r="P55" s="27"/>
      <c r="Q55" s="41">
        <f t="shared" si="2"/>
        <v>0</v>
      </c>
      <c r="R55" s="39">
        <f>Q55/Summary!$Q$16</f>
        <v>0</v>
      </c>
      <c r="S55" s="39"/>
      <c r="T55" s="35"/>
      <c r="U55" s="40">
        <f t="shared" ref="U55:U86" si="4">-IF(Q55-T55=0,0,(Q55-T55)/T55)</f>
        <v>0</v>
      </c>
    </row>
    <row r="56" spans="1:21" s="3" customFormat="1" ht="24.95" hidden="1" customHeight="1">
      <c r="A56" s="3" t="s">
        <v>564</v>
      </c>
      <c r="B56" s="3" t="s">
        <v>1070</v>
      </c>
      <c r="D56" s="26" t="s">
        <v>565</v>
      </c>
      <c r="E56" s="27"/>
      <c r="F56" s="27"/>
      <c r="G56" s="27"/>
      <c r="H56" s="27"/>
      <c r="I56" s="27"/>
      <c r="J56" s="27"/>
      <c r="K56" s="27"/>
      <c r="L56" s="27"/>
      <c r="M56" s="27"/>
      <c r="N56" s="27"/>
      <c r="O56" s="27"/>
      <c r="P56" s="27"/>
      <c r="Q56" s="41">
        <f t="shared" si="2"/>
        <v>0</v>
      </c>
      <c r="R56" s="39">
        <f>Q56/Summary!$Q$16</f>
        <v>0</v>
      </c>
      <c r="S56" s="39"/>
      <c r="T56" s="35"/>
      <c r="U56" s="40">
        <f t="shared" si="4"/>
        <v>0</v>
      </c>
    </row>
    <row r="57" spans="1:21" s="3" customFormat="1" ht="24.95" hidden="1" customHeight="1">
      <c r="A57" s="3" t="s">
        <v>566</v>
      </c>
      <c r="B57" s="3" t="s">
        <v>1070</v>
      </c>
      <c r="D57" s="26" t="s">
        <v>567</v>
      </c>
      <c r="E57" s="27"/>
      <c r="F57" s="27"/>
      <c r="G57" s="27"/>
      <c r="H57" s="27"/>
      <c r="I57" s="27"/>
      <c r="J57" s="27"/>
      <c r="K57" s="27"/>
      <c r="L57" s="27"/>
      <c r="M57" s="27"/>
      <c r="N57" s="27"/>
      <c r="O57" s="27"/>
      <c r="P57" s="27"/>
      <c r="Q57" s="41">
        <f t="shared" si="2"/>
        <v>0</v>
      </c>
      <c r="R57" s="39">
        <f>Q57/Summary!$Q$16</f>
        <v>0</v>
      </c>
      <c r="S57" s="39"/>
      <c r="T57" s="35"/>
      <c r="U57" s="40">
        <f t="shared" si="4"/>
        <v>0</v>
      </c>
    </row>
    <row r="58" spans="1:21" s="3" customFormat="1" ht="24.95" hidden="1" customHeight="1">
      <c r="A58" s="3" t="s">
        <v>568</v>
      </c>
      <c r="B58" s="3" t="s">
        <v>1070</v>
      </c>
      <c r="D58" s="26" t="s">
        <v>569</v>
      </c>
      <c r="E58" s="27"/>
      <c r="F58" s="27"/>
      <c r="G58" s="27"/>
      <c r="H58" s="27"/>
      <c r="I58" s="27"/>
      <c r="J58" s="27"/>
      <c r="K58" s="27"/>
      <c r="L58" s="27"/>
      <c r="M58" s="27"/>
      <c r="N58" s="27"/>
      <c r="O58" s="27"/>
      <c r="P58" s="27"/>
      <c r="Q58" s="41">
        <f t="shared" si="2"/>
        <v>0</v>
      </c>
      <c r="R58" s="39">
        <f>Q58/Summary!$Q$16</f>
        <v>0</v>
      </c>
      <c r="S58" s="39"/>
      <c r="T58" s="35"/>
      <c r="U58" s="40">
        <f t="shared" si="4"/>
        <v>0</v>
      </c>
    </row>
    <row r="59" spans="1:21" s="3" customFormat="1" ht="24.95" hidden="1" customHeight="1">
      <c r="A59" s="3" t="s">
        <v>570</v>
      </c>
      <c r="B59" s="3" t="s">
        <v>1070</v>
      </c>
      <c r="D59" s="26" t="s">
        <v>571</v>
      </c>
      <c r="E59" s="27"/>
      <c r="F59" s="27"/>
      <c r="G59" s="27"/>
      <c r="H59" s="27"/>
      <c r="I59" s="27"/>
      <c r="J59" s="27"/>
      <c r="K59" s="27"/>
      <c r="L59" s="27"/>
      <c r="M59" s="27"/>
      <c r="N59" s="27"/>
      <c r="O59" s="27"/>
      <c r="P59" s="27"/>
      <c r="Q59" s="41">
        <f t="shared" si="2"/>
        <v>0</v>
      </c>
      <c r="R59" s="39">
        <f>Q59/Summary!$Q$16</f>
        <v>0</v>
      </c>
      <c r="S59" s="39"/>
      <c r="T59" s="35"/>
      <c r="U59" s="40">
        <f t="shared" si="4"/>
        <v>0</v>
      </c>
    </row>
    <row r="60" spans="1:21" s="3" customFormat="1" ht="24.95" hidden="1" customHeight="1">
      <c r="A60" s="3" t="s">
        <v>572</v>
      </c>
      <c r="B60" s="3" t="s">
        <v>1070</v>
      </c>
      <c r="D60" s="26" t="s">
        <v>573</v>
      </c>
      <c r="E60" s="27"/>
      <c r="F60" s="27"/>
      <c r="G60" s="27"/>
      <c r="H60" s="27"/>
      <c r="I60" s="27"/>
      <c r="J60" s="27"/>
      <c r="K60" s="27"/>
      <c r="L60" s="27"/>
      <c r="M60" s="27"/>
      <c r="N60" s="27"/>
      <c r="O60" s="27"/>
      <c r="P60" s="27"/>
      <c r="Q60" s="41">
        <f t="shared" si="2"/>
        <v>0</v>
      </c>
      <c r="R60" s="39">
        <f>Q60/Summary!$Q$16</f>
        <v>0</v>
      </c>
      <c r="S60" s="39"/>
      <c r="T60" s="35"/>
      <c r="U60" s="40">
        <f t="shared" si="4"/>
        <v>0</v>
      </c>
    </row>
    <row r="61" spans="1:21" s="3" customFormat="1" ht="24.95" hidden="1" customHeight="1">
      <c r="A61" s="3" t="s">
        <v>574</v>
      </c>
      <c r="B61" s="3" t="s">
        <v>1070</v>
      </c>
      <c r="D61" s="26" t="s">
        <v>575</v>
      </c>
      <c r="E61" s="27"/>
      <c r="F61" s="27"/>
      <c r="G61" s="27"/>
      <c r="H61" s="27"/>
      <c r="I61" s="27"/>
      <c r="J61" s="27"/>
      <c r="K61" s="27"/>
      <c r="L61" s="27"/>
      <c r="M61" s="27"/>
      <c r="N61" s="27"/>
      <c r="O61" s="27"/>
      <c r="P61" s="27"/>
      <c r="Q61" s="41">
        <f t="shared" si="2"/>
        <v>0</v>
      </c>
      <c r="R61" s="39">
        <f>Q61/Summary!$Q$16</f>
        <v>0</v>
      </c>
      <c r="S61" s="39"/>
      <c r="T61" s="35"/>
      <c r="U61" s="40">
        <f t="shared" si="4"/>
        <v>0</v>
      </c>
    </row>
    <row r="62" spans="1:21" s="3" customFormat="1" ht="24.95" hidden="1" customHeight="1">
      <c r="A62" s="3" t="s">
        <v>576</v>
      </c>
      <c r="B62" s="3" t="s">
        <v>1070</v>
      </c>
      <c r="D62" s="26" t="s">
        <v>577</v>
      </c>
      <c r="E62" s="27"/>
      <c r="F62" s="27"/>
      <c r="G62" s="27"/>
      <c r="H62" s="27"/>
      <c r="I62" s="27"/>
      <c r="J62" s="27"/>
      <c r="K62" s="27"/>
      <c r="L62" s="27"/>
      <c r="M62" s="27"/>
      <c r="N62" s="27"/>
      <c r="O62" s="27"/>
      <c r="P62" s="27"/>
      <c r="Q62" s="41">
        <f t="shared" si="2"/>
        <v>0</v>
      </c>
      <c r="R62" s="39">
        <f>Q62/Summary!$Q$16</f>
        <v>0</v>
      </c>
      <c r="S62" s="39"/>
      <c r="T62" s="35"/>
      <c r="U62" s="40">
        <f t="shared" si="4"/>
        <v>0</v>
      </c>
    </row>
    <row r="63" spans="1:21" s="3" customFormat="1" ht="24.95" hidden="1" customHeight="1">
      <c r="A63" s="3" t="s">
        <v>578</v>
      </c>
      <c r="B63" s="3" t="s">
        <v>1070</v>
      </c>
      <c r="D63" s="26" t="s">
        <v>579</v>
      </c>
      <c r="E63" s="27"/>
      <c r="F63" s="27"/>
      <c r="G63" s="27"/>
      <c r="H63" s="27"/>
      <c r="I63" s="27"/>
      <c r="J63" s="27"/>
      <c r="K63" s="27"/>
      <c r="L63" s="27"/>
      <c r="M63" s="27"/>
      <c r="N63" s="27"/>
      <c r="O63" s="27"/>
      <c r="P63" s="27"/>
      <c r="Q63" s="41">
        <f t="shared" si="2"/>
        <v>0</v>
      </c>
      <c r="R63" s="39">
        <f>Q63/Summary!$Q$16</f>
        <v>0</v>
      </c>
      <c r="S63" s="39"/>
      <c r="T63" s="35"/>
      <c r="U63" s="40">
        <f t="shared" si="4"/>
        <v>0</v>
      </c>
    </row>
    <row r="64" spans="1:21" s="3" customFormat="1" ht="24.95" customHeight="1">
      <c r="A64" s="3" t="s">
        <v>580</v>
      </c>
      <c r="B64" s="3" t="s">
        <v>1070</v>
      </c>
      <c r="D64" s="26" t="s">
        <v>581</v>
      </c>
      <c r="E64" s="27">
        <v>50000</v>
      </c>
      <c r="F64" s="27">
        <v>50000</v>
      </c>
      <c r="G64" s="27">
        <v>50000</v>
      </c>
      <c r="H64" s="27">
        <v>50000</v>
      </c>
      <c r="I64" s="27">
        <v>50000</v>
      </c>
      <c r="J64" s="27">
        <v>50000</v>
      </c>
      <c r="K64" s="27">
        <v>50000</v>
      </c>
      <c r="L64" s="27">
        <v>50000</v>
      </c>
      <c r="M64" s="27">
        <v>50000</v>
      </c>
      <c r="N64" s="27">
        <v>50000</v>
      </c>
      <c r="O64" s="27">
        <v>50000</v>
      </c>
      <c r="P64" s="27">
        <v>50000</v>
      </c>
      <c r="Q64" s="41">
        <f t="shared" si="2"/>
        <v>600000</v>
      </c>
      <c r="R64" s="39">
        <f>Q64/Summary!$Q$16</f>
        <v>1.8040885626113206E-2</v>
      </c>
      <c r="S64" s="39"/>
      <c r="T64" s="35"/>
      <c r="U64" s="40" t="e">
        <f t="shared" si="4"/>
        <v>#DIV/0!</v>
      </c>
    </row>
    <row r="65" spans="1:21" s="3" customFormat="1" ht="24.95" hidden="1" customHeight="1">
      <c r="A65" s="3" t="s">
        <v>582</v>
      </c>
      <c r="B65" s="3" t="s">
        <v>1070</v>
      </c>
      <c r="D65" s="26" t="s">
        <v>583</v>
      </c>
      <c r="E65" s="27"/>
      <c r="F65" s="27"/>
      <c r="G65" s="27"/>
      <c r="H65" s="27"/>
      <c r="I65" s="27"/>
      <c r="J65" s="27"/>
      <c r="K65" s="27"/>
      <c r="L65" s="27"/>
      <c r="M65" s="27"/>
      <c r="N65" s="27"/>
      <c r="O65" s="27"/>
      <c r="P65" s="27"/>
      <c r="Q65" s="41">
        <f t="shared" si="2"/>
        <v>0</v>
      </c>
      <c r="R65" s="39">
        <f>Q65/Summary!$Q$16</f>
        <v>0</v>
      </c>
      <c r="S65" s="39"/>
      <c r="T65" s="35"/>
      <c r="U65" s="40">
        <f t="shared" si="4"/>
        <v>0</v>
      </c>
    </row>
    <row r="66" spans="1:21" s="3" customFormat="1" ht="24.95" hidden="1" customHeight="1">
      <c r="A66" s="3" t="s">
        <v>584</v>
      </c>
      <c r="B66" s="3" t="s">
        <v>1070</v>
      </c>
      <c r="D66" s="26" t="s">
        <v>585</v>
      </c>
      <c r="E66" s="27"/>
      <c r="F66" s="27"/>
      <c r="G66" s="27"/>
      <c r="H66" s="27"/>
      <c r="I66" s="27"/>
      <c r="J66" s="27"/>
      <c r="K66" s="27"/>
      <c r="L66" s="27"/>
      <c r="M66" s="27"/>
      <c r="N66" s="27"/>
      <c r="O66" s="27"/>
      <c r="P66" s="27"/>
      <c r="Q66" s="41">
        <f t="shared" si="2"/>
        <v>0</v>
      </c>
      <c r="R66" s="39">
        <f>Q66/Summary!$Q$16</f>
        <v>0</v>
      </c>
      <c r="S66" s="39"/>
      <c r="T66" s="35"/>
      <c r="U66" s="40">
        <f t="shared" si="4"/>
        <v>0</v>
      </c>
    </row>
    <row r="67" spans="1:21" s="3" customFormat="1" ht="24.95" hidden="1" customHeight="1">
      <c r="A67" s="3" t="s">
        <v>586</v>
      </c>
      <c r="B67" s="3" t="s">
        <v>1070</v>
      </c>
      <c r="D67" s="26" t="s">
        <v>587</v>
      </c>
      <c r="E67" s="27"/>
      <c r="F67" s="27"/>
      <c r="G67" s="27"/>
      <c r="H67" s="27"/>
      <c r="I67" s="27"/>
      <c r="J67" s="27"/>
      <c r="K67" s="27"/>
      <c r="L67" s="27"/>
      <c r="M67" s="27"/>
      <c r="N67" s="27"/>
      <c r="O67" s="27"/>
      <c r="P67" s="27"/>
      <c r="Q67" s="41">
        <f t="shared" si="2"/>
        <v>0</v>
      </c>
      <c r="R67" s="39">
        <f>Q67/Summary!$Q$16</f>
        <v>0</v>
      </c>
      <c r="S67" s="39"/>
      <c r="T67" s="35"/>
      <c r="U67" s="40">
        <f t="shared" si="4"/>
        <v>0</v>
      </c>
    </row>
    <row r="68" spans="1:21" s="3" customFormat="1" ht="24.95" hidden="1" customHeight="1">
      <c r="A68" s="3" t="s">
        <v>588</v>
      </c>
      <c r="B68" s="3" t="s">
        <v>1070</v>
      </c>
      <c r="D68" s="26" t="s">
        <v>589</v>
      </c>
      <c r="E68" s="27"/>
      <c r="F68" s="27"/>
      <c r="G68" s="27"/>
      <c r="H68" s="27"/>
      <c r="I68" s="27"/>
      <c r="J68" s="27"/>
      <c r="K68" s="27"/>
      <c r="L68" s="27"/>
      <c r="M68" s="27"/>
      <c r="N68" s="27"/>
      <c r="O68" s="27"/>
      <c r="P68" s="27"/>
      <c r="Q68" s="41">
        <f t="shared" si="2"/>
        <v>0</v>
      </c>
      <c r="R68" s="39">
        <f>Q68/Summary!$Q$16</f>
        <v>0</v>
      </c>
      <c r="S68" s="39"/>
      <c r="T68" s="35"/>
      <c r="U68" s="40">
        <f t="shared" si="4"/>
        <v>0</v>
      </c>
    </row>
    <row r="69" spans="1:21" s="3" customFormat="1" ht="24.95" hidden="1" customHeight="1">
      <c r="A69" s="3" t="s">
        <v>590</v>
      </c>
      <c r="B69" s="3" t="s">
        <v>1070</v>
      </c>
      <c r="D69" s="26" t="s">
        <v>591</v>
      </c>
      <c r="E69" s="27"/>
      <c r="F69" s="27"/>
      <c r="G69" s="27"/>
      <c r="H69" s="27"/>
      <c r="I69" s="27"/>
      <c r="J69" s="27"/>
      <c r="K69" s="27"/>
      <c r="L69" s="27"/>
      <c r="M69" s="27"/>
      <c r="N69" s="27"/>
      <c r="O69" s="27"/>
      <c r="P69" s="27"/>
      <c r="Q69" s="41">
        <f t="shared" si="2"/>
        <v>0</v>
      </c>
      <c r="R69" s="39">
        <f>Q69/Summary!$Q$16</f>
        <v>0</v>
      </c>
      <c r="S69" s="39"/>
      <c r="T69" s="35"/>
      <c r="U69" s="40">
        <f t="shared" si="4"/>
        <v>0</v>
      </c>
    </row>
    <row r="70" spans="1:21" s="3" customFormat="1" ht="24.95" hidden="1" customHeight="1">
      <c r="A70" s="3" t="s">
        <v>592</v>
      </c>
      <c r="B70" s="3" t="s">
        <v>1070</v>
      </c>
      <c r="D70" s="26" t="s">
        <v>593</v>
      </c>
      <c r="E70" s="27"/>
      <c r="F70" s="27"/>
      <c r="G70" s="27"/>
      <c r="H70" s="27"/>
      <c r="I70" s="27"/>
      <c r="J70" s="27"/>
      <c r="K70" s="27"/>
      <c r="L70" s="27"/>
      <c r="M70" s="27"/>
      <c r="N70" s="27"/>
      <c r="O70" s="27"/>
      <c r="P70" s="27"/>
      <c r="Q70" s="41">
        <f t="shared" si="2"/>
        <v>0</v>
      </c>
      <c r="R70" s="39">
        <f>Q70/Summary!$Q$16</f>
        <v>0</v>
      </c>
      <c r="S70" s="39"/>
      <c r="T70" s="35"/>
      <c r="U70" s="40">
        <f t="shared" si="4"/>
        <v>0</v>
      </c>
    </row>
    <row r="71" spans="1:21" s="3" customFormat="1" ht="24.95" hidden="1" customHeight="1">
      <c r="A71" s="3" t="s">
        <v>594</v>
      </c>
      <c r="B71" s="3" t="s">
        <v>1070</v>
      </c>
      <c r="D71" s="26" t="s">
        <v>595</v>
      </c>
      <c r="E71" s="27"/>
      <c r="F71" s="27"/>
      <c r="G71" s="27"/>
      <c r="H71" s="27"/>
      <c r="I71" s="27"/>
      <c r="J71" s="27"/>
      <c r="K71" s="27"/>
      <c r="L71" s="27"/>
      <c r="M71" s="27"/>
      <c r="N71" s="27"/>
      <c r="O71" s="27"/>
      <c r="P71" s="27"/>
      <c r="Q71" s="41">
        <f t="shared" si="2"/>
        <v>0</v>
      </c>
      <c r="R71" s="39">
        <f>Q71/Summary!$Q$16</f>
        <v>0</v>
      </c>
      <c r="S71" s="39"/>
      <c r="T71" s="35"/>
      <c r="U71" s="40">
        <f t="shared" si="4"/>
        <v>0</v>
      </c>
    </row>
    <row r="72" spans="1:21" s="3" customFormat="1" ht="24.95" hidden="1" customHeight="1">
      <c r="A72" s="3" t="s">
        <v>596</v>
      </c>
      <c r="B72" s="3" t="s">
        <v>1070</v>
      </c>
      <c r="D72" s="26" t="s">
        <v>597</v>
      </c>
      <c r="E72" s="27"/>
      <c r="F72" s="27"/>
      <c r="G72" s="27"/>
      <c r="H72" s="27"/>
      <c r="I72" s="27"/>
      <c r="J72" s="27"/>
      <c r="K72" s="27"/>
      <c r="L72" s="27"/>
      <c r="M72" s="27"/>
      <c r="N72" s="27"/>
      <c r="O72" s="27"/>
      <c r="P72" s="27"/>
      <c r="Q72" s="41">
        <f t="shared" si="2"/>
        <v>0</v>
      </c>
      <c r="R72" s="39">
        <f>Q72/Summary!$Q$16</f>
        <v>0</v>
      </c>
      <c r="S72" s="39"/>
      <c r="T72" s="35"/>
      <c r="U72" s="40">
        <f t="shared" si="4"/>
        <v>0</v>
      </c>
    </row>
    <row r="73" spans="1:21" s="3" customFormat="1" ht="24.95" hidden="1" customHeight="1">
      <c r="A73" s="3" t="s">
        <v>598</v>
      </c>
      <c r="B73" s="3" t="s">
        <v>1070</v>
      </c>
      <c r="D73" s="26" t="s">
        <v>599</v>
      </c>
      <c r="E73" s="27"/>
      <c r="F73" s="27"/>
      <c r="G73" s="27"/>
      <c r="H73" s="27"/>
      <c r="I73" s="27"/>
      <c r="J73" s="27"/>
      <c r="K73" s="27"/>
      <c r="L73" s="27"/>
      <c r="M73" s="27"/>
      <c r="N73" s="27"/>
      <c r="O73" s="27"/>
      <c r="P73" s="27"/>
      <c r="Q73" s="41">
        <f t="shared" si="2"/>
        <v>0</v>
      </c>
      <c r="R73" s="39">
        <f>Q73/Summary!$Q$16</f>
        <v>0</v>
      </c>
      <c r="S73" s="39"/>
      <c r="T73" s="35"/>
      <c r="U73" s="40">
        <f t="shared" si="4"/>
        <v>0</v>
      </c>
    </row>
    <row r="74" spans="1:21" s="3" customFormat="1" ht="24.95" hidden="1" customHeight="1">
      <c r="A74" s="3" t="s">
        <v>600</v>
      </c>
      <c r="B74" s="3" t="s">
        <v>1070</v>
      </c>
      <c r="D74" s="26" t="s">
        <v>601</v>
      </c>
      <c r="E74" s="27"/>
      <c r="F74" s="27"/>
      <c r="G74" s="27"/>
      <c r="H74" s="27"/>
      <c r="I74" s="27"/>
      <c r="J74" s="27"/>
      <c r="K74" s="27"/>
      <c r="L74" s="27"/>
      <c r="M74" s="27"/>
      <c r="N74" s="27"/>
      <c r="O74" s="27"/>
      <c r="P74" s="27"/>
      <c r="Q74" s="41">
        <f t="shared" si="2"/>
        <v>0</v>
      </c>
      <c r="R74" s="39">
        <f>Q74/Summary!$Q$16</f>
        <v>0</v>
      </c>
      <c r="S74" s="39"/>
      <c r="T74" s="35"/>
      <c r="U74" s="40">
        <f t="shared" si="4"/>
        <v>0</v>
      </c>
    </row>
    <row r="75" spans="1:21" s="3" customFormat="1" ht="24.95" hidden="1" customHeight="1">
      <c r="A75" s="3" t="s">
        <v>602</v>
      </c>
      <c r="B75" s="3" t="s">
        <v>1070</v>
      </c>
      <c r="D75" s="26" t="s">
        <v>603</v>
      </c>
      <c r="E75" s="27"/>
      <c r="F75" s="27"/>
      <c r="G75" s="27"/>
      <c r="H75" s="27"/>
      <c r="I75" s="27"/>
      <c r="J75" s="27"/>
      <c r="K75" s="27"/>
      <c r="L75" s="27"/>
      <c r="M75" s="27"/>
      <c r="N75" s="27"/>
      <c r="O75" s="27"/>
      <c r="P75" s="27"/>
      <c r="Q75" s="41">
        <f t="shared" si="2"/>
        <v>0</v>
      </c>
      <c r="R75" s="39">
        <f>Q75/Summary!$Q$16</f>
        <v>0</v>
      </c>
      <c r="S75" s="39"/>
      <c r="T75" s="35"/>
      <c r="U75" s="40">
        <f t="shared" si="4"/>
        <v>0</v>
      </c>
    </row>
    <row r="76" spans="1:21" s="3" customFormat="1" ht="24.95" hidden="1" customHeight="1">
      <c r="A76" s="3" t="s">
        <v>604</v>
      </c>
      <c r="B76" s="3" t="s">
        <v>1070</v>
      </c>
      <c r="D76" s="26" t="s">
        <v>605</v>
      </c>
      <c r="E76" s="27"/>
      <c r="F76" s="27"/>
      <c r="G76" s="27"/>
      <c r="H76" s="27"/>
      <c r="I76" s="27"/>
      <c r="J76" s="27"/>
      <c r="K76" s="27"/>
      <c r="L76" s="27"/>
      <c r="M76" s="27"/>
      <c r="N76" s="27"/>
      <c r="O76" s="27"/>
      <c r="P76" s="27"/>
      <c r="Q76" s="41">
        <f t="shared" si="2"/>
        <v>0</v>
      </c>
      <c r="R76" s="39">
        <f>Q76/Summary!$Q$16</f>
        <v>0</v>
      </c>
      <c r="S76" s="39"/>
      <c r="T76" s="35"/>
      <c r="U76" s="40">
        <f t="shared" si="4"/>
        <v>0</v>
      </c>
    </row>
    <row r="77" spans="1:21" s="3" customFormat="1" ht="24.95" hidden="1" customHeight="1">
      <c r="A77" s="3" t="s">
        <v>606</v>
      </c>
      <c r="B77" s="3" t="s">
        <v>1070</v>
      </c>
      <c r="D77" s="26" t="s">
        <v>607</v>
      </c>
      <c r="E77" s="27"/>
      <c r="F77" s="27"/>
      <c r="G77" s="27"/>
      <c r="H77" s="27"/>
      <c r="I77" s="27"/>
      <c r="J77" s="27"/>
      <c r="K77" s="27"/>
      <c r="L77" s="27"/>
      <c r="M77" s="27"/>
      <c r="N77" s="27"/>
      <c r="O77" s="27"/>
      <c r="P77" s="27"/>
      <c r="Q77" s="41">
        <f t="shared" si="2"/>
        <v>0</v>
      </c>
      <c r="R77" s="39">
        <f>Q77/Summary!$Q$16</f>
        <v>0</v>
      </c>
      <c r="S77" s="39"/>
      <c r="T77" s="35"/>
      <c r="U77" s="40">
        <f t="shared" si="4"/>
        <v>0</v>
      </c>
    </row>
    <row r="78" spans="1:21" s="3" customFormat="1" ht="24.95" hidden="1" customHeight="1">
      <c r="A78" s="3" t="s">
        <v>608</v>
      </c>
      <c r="B78" s="3" t="s">
        <v>1070</v>
      </c>
      <c r="D78" s="26" t="s">
        <v>609</v>
      </c>
      <c r="E78" s="27"/>
      <c r="F78" s="27"/>
      <c r="G78" s="27"/>
      <c r="H78" s="27"/>
      <c r="I78" s="27"/>
      <c r="J78" s="27"/>
      <c r="K78" s="27"/>
      <c r="L78" s="27"/>
      <c r="M78" s="27"/>
      <c r="N78" s="27"/>
      <c r="O78" s="27"/>
      <c r="P78" s="27"/>
      <c r="Q78" s="41">
        <f t="shared" si="2"/>
        <v>0</v>
      </c>
      <c r="R78" s="39">
        <f>Q78/Summary!$Q$16</f>
        <v>0</v>
      </c>
      <c r="S78" s="39"/>
      <c r="T78" s="35"/>
      <c r="U78" s="40">
        <f t="shared" si="4"/>
        <v>0</v>
      </c>
    </row>
    <row r="79" spans="1:21" s="3" customFormat="1" ht="24.95" hidden="1" customHeight="1">
      <c r="A79" s="3" t="s">
        <v>865</v>
      </c>
      <c r="B79" s="3" t="s">
        <v>1070</v>
      </c>
      <c r="D79" s="26" t="s">
        <v>866</v>
      </c>
      <c r="E79" s="27"/>
      <c r="F79" s="27"/>
      <c r="G79" s="27"/>
      <c r="H79" s="27"/>
      <c r="I79" s="27"/>
      <c r="J79" s="27"/>
      <c r="K79" s="27"/>
      <c r="L79" s="27"/>
      <c r="M79" s="27"/>
      <c r="N79" s="27"/>
      <c r="O79" s="27"/>
      <c r="P79" s="27"/>
      <c r="Q79" s="41">
        <f t="shared" si="2"/>
        <v>0</v>
      </c>
      <c r="R79" s="39">
        <f>Q79/Summary!$Q$16</f>
        <v>0</v>
      </c>
      <c r="S79" s="39"/>
      <c r="T79" s="35"/>
      <c r="U79" s="40">
        <f t="shared" si="4"/>
        <v>0</v>
      </c>
    </row>
    <row r="80" spans="1:21" s="3" customFormat="1" ht="24.95" hidden="1" customHeight="1">
      <c r="A80" s="3" t="s">
        <v>867</v>
      </c>
      <c r="B80" s="3" t="s">
        <v>1070</v>
      </c>
      <c r="D80" s="26" t="s">
        <v>868</v>
      </c>
      <c r="E80" s="27"/>
      <c r="F80" s="27"/>
      <c r="G80" s="27"/>
      <c r="H80" s="27"/>
      <c r="I80" s="27"/>
      <c r="J80" s="27"/>
      <c r="K80" s="27"/>
      <c r="L80" s="27"/>
      <c r="M80" s="27"/>
      <c r="N80" s="27"/>
      <c r="O80" s="27"/>
      <c r="P80" s="27"/>
      <c r="Q80" s="41">
        <f t="shared" ref="Q80:Q143" si="5">SUM(E80:P80)</f>
        <v>0</v>
      </c>
      <c r="R80" s="39">
        <f>Q80/Summary!$Q$16</f>
        <v>0</v>
      </c>
      <c r="S80" s="39"/>
      <c r="T80" s="35"/>
      <c r="U80" s="40">
        <f t="shared" si="4"/>
        <v>0</v>
      </c>
    </row>
    <row r="81" spans="1:21" s="3" customFormat="1" ht="24.95" hidden="1" customHeight="1">
      <c r="A81" s="3" t="s">
        <v>869</v>
      </c>
      <c r="B81" s="3" t="s">
        <v>1070</v>
      </c>
      <c r="D81" s="26" t="s">
        <v>870</v>
      </c>
      <c r="E81" s="27"/>
      <c r="F81" s="27"/>
      <c r="G81" s="27"/>
      <c r="H81" s="27"/>
      <c r="I81" s="27"/>
      <c r="J81" s="27"/>
      <c r="K81" s="27"/>
      <c r="L81" s="27"/>
      <c r="M81" s="27"/>
      <c r="N81" s="27"/>
      <c r="O81" s="27"/>
      <c r="P81" s="27"/>
      <c r="Q81" s="41">
        <f t="shared" si="5"/>
        <v>0</v>
      </c>
      <c r="R81" s="39">
        <f>Q81/Summary!$Q$16</f>
        <v>0</v>
      </c>
      <c r="S81" s="39"/>
      <c r="T81" s="35"/>
      <c r="U81" s="40">
        <f t="shared" si="4"/>
        <v>0</v>
      </c>
    </row>
    <row r="82" spans="1:21" s="3" customFormat="1" ht="24.95" hidden="1" customHeight="1">
      <c r="A82" s="3" t="s">
        <v>871</v>
      </c>
      <c r="B82" s="3" t="s">
        <v>1070</v>
      </c>
      <c r="D82" s="26" t="s">
        <v>872</v>
      </c>
      <c r="E82" s="27"/>
      <c r="F82" s="27"/>
      <c r="G82" s="27"/>
      <c r="H82" s="27"/>
      <c r="I82" s="27"/>
      <c r="J82" s="27"/>
      <c r="K82" s="27"/>
      <c r="L82" s="27"/>
      <c r="M82" s="27"/>
      <c r="N82" s="27"/>
      <c r="O82" s="27"/>
      <c r="P82" s="27"/>
      <c r="Q82" s="41">
        <f t="shared" si="5"/>
        <v>0</v>
      </c>
      <c r="R82" s="39">
        <f>Q82/Summary!$Q$16</f>
        <v>0</v>
      </c>
      <c r="S82" s="39"/>
      <c r="T82" s="35"/>
      <c r="U82" s="40">
        <f t="shared" si="4"/>
        <v>0</v>
      </c>
    </row>
    <row r="83" spans="1:21" s="3" customFormat="1" ht="24.95" hidden="1" customHeight="1">
      <c r="A83" s="3" t="s">
        <v>873</v>
      </c>
      <c r="B83" s="3" t="s">
        <v>1070</v>
      </c>
      <c r="D83" s="26" t="s">
        <v>874</v>
      </c>
      <c r="E83" s="27"/>
      <c r="F83" s="27"/>
      <c r="G83" s="27"/>
      <c r="H83" s="27"/>
      <c r="I83" s="27"/>
      <c r="J83" s="27"/>
      <c r="K83" s="27"/>
      <c r="L83" s="27"/>
      <c r="M83" s="27"/>
      <c r="N83" s="27"/>
      <c r="O83" s="27"/>
      <c r="P83" s="27"/>
      <c r="Q83" s="41">
        <f t="shared" si="5"/>
        <v>0</v>
      </c>
      <c r="R83" s="39">
        <f>Q83/Summary!$Q$16</f>
        <v>0</v>
      </c>
      <c r="S83" s="39"/>
      <c r="T83" s="35"/>
      <c r="U83" s="40">
        <f t="shared" si="4"/>
        <v>0</v>
      </c>
    </row>
    <row r="84" spans="1:21" s="3" customFormat="1" ht="24.95" hidden="1" customHeight="1">
      <c r="A84" s="3" t="s">
        <v>875</v>
      </c>
      <c r="B84" s="3" t="s">
        <v>1070</v>
      </c>
      <c r="D84" s="26" t="s">
        <v>876</v>
      </c>
      <c r="E84" s="27"/>
      <c r="F84" s="27"/>
      <c r="G84" s="27"/>
      <c r="H84" s="27"/>
      <c r="I84" s="27"/>
      <c r="J84" s="27"/>
      <c r="K84" s="27"/>
      <c r="L84" s="27"/>
      <c r="M84" s="27"/>
      <c r="N84" s="27"/>
      <c r="O84" s="27"/>
      <c r="P84" s="27"/>
      <c r="Q84" s="41">
        <f t="shared" si="5"/>
        <v>0</v>
      </c>
      <c r="R84" s="39">
        <f>Q84/Summary!$Q$16</f>
        <v>0</v>
      </c>
      <c r="S84" s="39"/>
      <c r="T84" s="35"/>
      <c r="U84" s="40">
        <f t="shared" si="4"/>
        <v>0</v>
      </c>
    </row>
    <row r="85" spans="1:21" s="3" customFormat="1" ht="24.95" hidden="1" customHeight="1">
      <c r="A85" s="3" t="s">
        <v>877</v>
      </c>
      <c r="B85" s="3" t="s">
        <v>1070</v>
      </c>
      <c r="D85" s="26" t="s">
        <v>878</v>
      </c>
      <c r="E85" s="27"/>
      <c r="F85" s="27"/>
      <c r="G85" s="27"/>
      <c r="H85" s="27"/>
      <c r="I85" s="27"/>
      <c r="J85" s="27"/>
      <c r="K85" s="27"/>
      <c r="L85" s="27"/>
      <c r="M85" s="27"/>
      <c r="N85" s="27"/>
      <c r="O85" s="27"/>
      <c r="P85" s="27"/>
      <c r="Q85" s="41">
        <f t="shared" si="5"/>
        <v>0</v>
      </c>
      <c r="R85" s="39">
        <f>Q85/Summary!$Q$16</f>
        <v>0</v>
      </c>
      <c r="S85" s="39"/>
      <c r="T85" s="35"/>
      <c r="U85" s="40">
        <f t="shared" si="4"/>
        <v>0</v>
      </c>
    </row>
    <row r="86" spans="1:21" s="3" customFormat="1" ht="24.95" hidden="1" customHeight="1">
      <c r="A86" s="3" t="s">
        <v>879</v>
      </c>
      <c r="B86" s="3" t="s">
        <v>1070</v>
      </c>
      <c r="D86" s="26" t="s">
        <v>880</v>
      </c>
      <c r="E86" s="27"/>
      <c r="F86" s="27"/>
      <c r="G86" s="27"/>
      <c r="H86" s="27"/>
      <c r="I86" s="27"/>
      <c r="J86" s="27"/>
      <c r="K86" s="27"/>
      <c r="L86" s="27"/>
      <c r="M86" s="27"/>
      <c r="N86" s="27"/>
      <c r="O86" s="27"/>
      <c r="P86" s="27"/>
      <c r="Q86" s="41">
        <f t="shared" si="5"/>
        <v>0</v>
      </c>
      <c r="R86" s="39">
        <f>Q86/Summary!$Q$16</f>
        <v>0</v>
      </c>
      <c r="S86" s="39"/>
      <c r="T86" s="35"/>
      <c r="U86" s="40">
        <f t="shared" si="4"/>
        <v>0</v>
      </c>
    </row>
    <row r="87" spans="1:21" s="3" customFormat="1" ht="24.95" hidden="1" customHeight="1">
      <c r="A87" s="3" t="s">
        <v>881</v>
      </c>
      <c r="B87" s="3" t="s">
        <v>1070</v>
      </c>
      <c r="D87" s="26" t="s">
        <v>882</v>
      </c>
      <c r="E87" s="27"/>
      <c r="F87" s="27"/>
      <c r="G87" s="27"/>
      <c r="H87" s="27"/>
      <c r="I87" s="27"/>
      <c r="J87" s="27"/>
      <c r="K87" s="27"/>
      <c r="L87" s="27"/>
      <c r="M87" s="27"/>
      <c r="N87" s="27"/>
      <c r="O87" s="27"/>
      <c r="P87" s="27"/>
      <c r="Q87" s="41">
        <f t="shared" si="5"/>
        <v>0</v>
      </c>
      <c r="R87" s="39">
        <f>Q87/Summary!$Q$16</f>
        <v>0</v>
      </c>
      <c r="S87" s="39"/>
      <c r="T87" s="35"/>
      <c r="U87" s="40">
        <f t="shared" ref="U87:U118" si="6">-IF(Q87-T87=0,0,(Q87-T87)/T87)</f>
        <v>0</v>
      </c>
    </row>
    <row r="88" spans="1:21" s="3" customFormat="1" ht="24.95" hidden="1" customHeight="1">
      <c r="A88" s="3" t="s">
        <v>268</v>
      </c>
      <c r="B88" s="3" t="s">
        <v>1070</v>
      </c>
      <c r="D88" s="26" t="s">
        <v>269</v>
      </c>
      <c r="E88" s="27"/>
      <c r="F88" s="27"/>
      <c r="G88" s="27"/>
      <c r="H88" s="27"/>
      <c r="I88" s="27"/>
      <c r="J88" s="27"/>
      <c r="K88" s="27"/>
      <c r="L88" s="27"/>
      <c r="M88" s="27"/>
      <c r="N88" s="27"/>
      <c r="O88" s="27"/>
      <c r="P88" s="27"/>
      <c r="Q88" s="41">
        <f t="shared" si="5"/>
        <v>0</v>
      </c>
      <c r="R88" s="39">
        <f>Q88/Summary!$Q$16</f>
        <v>0</v>
      </c>
      <c r="S88" s="39"/>
      <c r="T88" s="35"/>
      <c r="U88" s="40">
        <f t="shared" si="6"/>
        <v>0</v>
      </c>
    </row>
    <row r="89" spans="1:21" s="3" customFormat="1" ht="24.95" hidden="1" customHeight="1">
      <c r="A89" s="3" t="s">
        <v>883</v>
      </c>
      <c r="B89" s="3" t="s">
        <v>1070</v>
      </c>
      <c r="D89" s="26" t="s">
        <v>884</v>
      </c>
      <c r="E89" s="27"/>
      <c r="F89" s="27"/>
      <c r="G89" s="27"/>
      <c r="H89" s="27"/>
      <c r="I89" s="27"/>
      <c r="J89" s="27"/>
      <c r="K89" s="27"/>
      <c r="L89" s="27"/>
      <c r="M89" s="27"/>
      <c r="N89" s="27"/>
      <c r="O89" s="27"/>
      <c r="P89" s="27"/>
      <c r="Q89" s="41">
        <f t="shared" si="5"/>
        <v>0</v>
      </c>
      <c r="R89" s="39">
        <f>Q89/Summary!$Q$16</f>
        <v>0</v>
      </c>
      <c r="S89" s="39"/>
      <c r="T89" s="35"/>
      <c r="U89" s="40">
        <f t="shared" si="6"/>
        <v>0</v>
      </c>
    </row>
    <row r="90" spans="1:21" s="3" customFormat="1" ht="24.95" hidden="1" customHeight="1">
      <c r="A90" s="3" t="s">
        <v>270</v>
      </c>
      <c r="B90" s="3" t="s">
        <v>1070</v>
      </c>
      <c r="D90" s="26" t="s">
        <v>271</v>
      </c>
      <c r="E90" s="27"/>
      <c r="F90" s="27"/>
      <c r="G90" s="27"/>
      <c r="H90" s="27"/>
      <c r="I90" s="27"/>
      <c r="J90" s="27"/>
      <c r="K90" s="27"/>
      <c r="L90" s="27"/>
      <c r="M90" s="27"/>
      <c r="N90" s="27"/>
      <c r="O90" s="27"/>
      <c r="P90" s="27"/>
      <c r="Q90" s="41">
        <f t="shared" si="5"/>
        <v>0</v>
      </c>
      <c r="R90" s="39">
        <f>Q90/Summary!$Q$16</f>
        <v>0</v>
      </c>
      <c r="S90" s="39"/>
      <c r="T90" s="35"/>
      <c r="U90" s="40">
        <f t="shared" si="6"/>
        <v>0</v>
      </c>
    </row>
    <row r="91" spans="1:21" s="3" customFormat="1" ht="24.95" hidden="1" customHeight="1">
      <c r="A91" s="3" t="s">
        <v>885</v>
      </c>
      <c r="B91" s="3" t="s">
        <v>1070</v>
      </c>
      <c r="D91" s="26" t="s">
        <v>886</v>
      </c>
      <c r="E91" s="27"/>
      <c r="F91" s="27"/>
      <c r="G91" s="27"/>
      <c r="H91" s="27"/>
      <c r="I91" s="27"/>
      <c r="J91" s="27"/>
      <c r="K91" s="27"/>
      <c r="L91" s="27"/>
      <c r="M91" s="27"/>
      <c r="N91" s="27"/>
      <c r="O91" s="27"/>
      <c r="P91" s="27"/>
      <c r="Q91" s="41">
        <f t="shared" si="5"/>
        <v>0</v>
      </c>
      <c r="R91" s="39">
        <f>Q91/Summary!$Q$16</f>
        <v>0</v>
      </c>
      <c r="S91" s="39"/>
      <c r="T91" s="35"/>
      <c r="U91" s="40">
        <f t="shared" si="6"/>
        <v>0</v>
      </c>
    </row>
    <row r="92" spans="1:21" s="3" customFormat="1" ht="24.95" hidden="1" customHeight="1">
      <c r="A92" s="3" t="s">
        <v>887</v>
      </c>
      <c r="B92" s="3" t="s">
        <v>1070</v>
      </c>
      <c r="D92" s="26" t="s">
        <v>888</v>
      </c>
      <c r="E92" s="27"/>
      <c r="F92" s="27"/>
      <c r="G92" s="27"/>
      <c r="H92" s="27"/>
      <c r="I92" s="27"/>
      <c r="J92" s="27"/>
      <c r="K92" s="27"/>
      <c r="L92" s="27"/>
      <c r="M92" s="27"/>
      <c r="N92" s="27"/>
      <c r="O92" s="27"/>
      <c r="P92" s="27"/>
      <c r="Q92" s="41">
        <f t="shared" si="5"/>
        <v>0</v>
      </c>
      <c r="R92" s="39">
        <f>Q92/Summary!$Q$16</f>
        <v>0</v>
      </c>
      <c r="S92" s="39"/>
      <c r="T92" s="35"/>
      <c r="U92" s="40">
        <f t="shared" si="6"/>
        <v>0</v>
      </c>
    </row>
    <row r="93" spans="1:21" s="3" customFormat="1" ht="24.95" hidden="1" customHeight="1">
      <c r="A93" s="3" t="s">
        <v>889</v>
      </c>
      <c r="B93" s="3" t="s">
        <v>1070</v>
      </c>
      <c r="D93" s="26" t="s">
        <v>890</v>
      </c>
      <c r="E93" s="27"/>
      <c r="F93" s="27"/>
      <c r="G93" s="27"/>
      <c r="H93" s="27"/>
      <c r="I93" s="27"/>
      <c r="J93" s="27"/>
      <c r="K93" s="27"/>
      <c r="L93" s="27"/>
      <c r="M93" s="27"/>
      <c r="N93" s="27"/>
      <c r="O93" s="27"/>
      <c r="P93" s="27"/>
      <c r="Q93" s="41">
        <f t="shared" si="5"/>
        <v>0</v>
      </c>
      <c r="R93" s="39">
        <f>Q93/Summary!$Q$16</f>
        <v>0</v>
      </c>
      <c r="S93" s="39"/>
      <c r="T93" s="35"/>
      <c r="U93" s="40">
        <f t="shared" si="6"/>
        <v>0</v>
      </c>
    </row>
    <row r="94" spans="1:21" s="3" customFormat="1" ht="24.95" hidden="1" customHeight="1">
      <c r="A94" s="3" t="s">
        <v>891</v>
      </c>
      <c r="B94" s="3" t="s">
        <v>1070</v>
      </c>
      <c r="D94" s="26" t="s">
        <v>892</v>
      </c>
      <c r="E94" s="27"/>
      <c r="F94" s="27"/>
      <c r="G94" s="27"/>
      <c r="H94" s="27"/>
      <c r="I94" s="27"/>
      <c r="J94" s="27"/>
      <c r="K94" s="27"/>
      <c r="L94" s="27"/>
      <c r="M94" s="27"/>
      <c r="N94" s="27"/>
      <c r="O94" s="27"/>
      <c r="P94" s="27"/>
      <c r="Q94" s="41">
        <f t="shared" si="5"/>
        <v>0</v>
      </c>
      <c r="R94" s="39">
        <f>Q94/Summary!$Q$16</f>
        <v>0</v>
      </c>
      <c r="S94" s="39"/>
      <c r="T94" s="35"/>
      <c r="U94" s="40">
        <f t="shared" si="6"/>
        <v>0</v>
      </c>
    </row>
    <row r="95" spans="1:21" s="3" customFormat="1" ht="24.95" hidden="1" customHeight="1">
      <c r="A95" s="3" t="s">
        <v>893</v>
      </c>
      <c r="B95" s="3" t="s">
        <v>1070</v>
      </c>
      <c r="D95" s="26" t="s">
        <v>894</v>
      </c>
      <c r="E95" s="27"/>
      <c r="F95" s="27"/>
      <c r="G95" s="27"/>
      <c r="H95" s="27"/>
      <c r="I95" s="27"/>
      <c r="J95" s="27"/>
      <c r="K95" s="27"/>
      <c r="L95" s="27"/>
      <c r="M95" s="27"/>
      <c r="N95" s="27"/>
      <c r="O95" s="27"/>
      <c r="P95" s="27"/>
      <c r="Q95" s="41">
        <f t="shared" si="5"/>
        <v>0</v>
      </c>
      <c r="R95" s="39">
        <f>Q95/Summary!$Q$16</f>
        <v>0</v>
      </c>
      <c r="S95" s="39"/>
      <c r="T95" s="35"/>
      <c r="U95" s="40">
        <f t="shared" si="6"/>
        <v>0</v>
      </c>
    </row>
    <row r="96" spans="1:21" s="3" customFormat="1" ht="24.95" hidden="1" customHeight="1">
      <c r="A96" s="3" t="s">
        <v>895</v>
      </c>
      <c r="B96" s="3" t="s">
        <v>1070</v>
      </c>
      <c r="D96" s="26" t="s">
        <v>896</v>
      </c>
      <c r="E96" s="27"/>
      <c r="F96" s="27"/>
      <c r="G96" s="27"/>
      <c r="H96" s="27"/>
      <c r="I96" s="27"/>
      <c r="J96" s="27"/>
      <c r="K96" s="27"/>
      <c r="L96" s="27"/>
      <c r="M96" s="27"/>
      <c r="N96" s="27"/>
      <c r="O96" s="27"/>
      <c r="P96" s="27"/>
      <c r="Q96" s="41">
        <f t="shared" si="5"/>
        <v>0</v>
      </c>
      <c r="R96" s="39">
        <f>Q96/Summary!$Q$16</f>
        <v>0</v>
      </c>
      <c r="S96" s="39"/>
      <c r="T96" s="35"/>
      <c r="U96" s="40">
        <f t="shared" si="6"/>
        <v>0</v>
      </c>
    </row>
    <row r="97" spans="1:21" s="3" customFormat="1" ht="24.95" hidden="1" customHeight="1">
      <c r="A97" s="3" t="s">
        <v>897</v>
      </c>
      <c r="B97" s="3" t="s">
        <v>1070</v>
      </c>
      <c r="D97" s="26" t="s">
        <v>898</v>
      </c>
      <c r="E97" s="27"/>
      <c r="F97" s="27"/>
      <c r="G97" s="27"/>
      <c r="H97" s="27"/>
      <c r="I97" s="27"/>
      <c r="J97" s="27"/>
      <c r="K97" s="27"/>
      <c r="L97" s="27"/>
      <c r="M97" s="27"/>
      <c r="N97" s="27"/>
      <c r="O97" s="27"/>
      <c r="P97" s="27"/>
      <c r="Q97" s="41">
        <f t="shared" si="5"/>
        <v>0</v>
      </c>
      <c r="R97" s="39">
        <f>Q97/Summary!$Q$16</f>
        <v>0</v>
      </c>
      <c r="S97" s="39"/>
      <c r="T97" s="35"/>
      <c r="U97" s="40">
        <f t="shared" si="6"/>
        <v>0</v>
      </c>
    </row>
    <row r="98" spans="1:21" s="3" customFormat="1" ht="24.95" hidden="1" customHeight="1">
      <c r="A98" s="3" t="s">
        <v>899</v>
      </c>
      <c r="B98" s="3" t="s">
        <v>1070</v>
      </c>
      <c r="D98" s="26" t="s">
        <v>900</v>
      </c>
      <c r="E98" s="27"/>
      <c r="F98" s="27"/>
      <c r="G98" s="27"/>
      <c r="H98" s="27"/>
      <c r="I98" s="27"/>
      <c r="J98" s="27"/>
      <c r="K98" s="27"/>
      <c r="L98" s="27"/>
      <c r="M98" s="27"/>
      <c r="N98" s="27"/>
      <c r="O98" s="27"/>
      <c r="P98" s="27"/>
      <c r="Q98" s="41">
        <f t="shared" si="5"/>
        <v>0</v>
      </c>
      <c r="R98" s="39">
        <f>Q98/Summary!$Q$16</f>
        <v>0</v>
      </c>
      <c r="S98" s="39"/>
      <c r="T98" s="35"/>
      <c r="U98" s="40">
        <f t="shared" si="6"/>
        <v>0</v>
      </c>
    </row>
    <row r="99" spans="1:21" s="3" customFormat="1" ht="24.95" hidden="1" customHeight="1">
      <c r="A99" s="3" t="s">
        <v>901</v>
      </c>
      <c r="B99" s="3" t="s">
        <v>1070</v>
      </c>
      <c r="D99" s="26" t="s">
        <v>902</v>
      </c>
      <c r="E99" s="27"/>
      <c r="F99" s="27"/>
      <c r="G99" s="27"/>
      <c r="H99" s="27"/>
      <c r="I99" s="27"/>
      <c r="J99" s="27"/>
      <c r="K99" s="27"/>
      <c r="L99" s="27"/>
      <c r="M99" s="27"/>
      <c r="N99" s="27"/>
      <c r="O99" s="27"/>
      <c r="P99" s="27"/>
      <c r="Q99" s="41">
        <f t="shared" si="5"/>
        <v>0</v>
      </c>
      <c r="R99" s="39">
        <f>Q99/Summary!$Q$16</f>
        <v>0</v>
      </c>
      <c r="S99" s="39"/>
      <c r="T99" s="35"/>
      <c r="U99" s="40">
        <f t="shared" si="6"/>
        <v>0</v>
      </c>
    </row>
    <row r="100" spans="1:21" s="3" customFormat="1" ht="24.95" hidden="1" customHeight="1">
      <c r="A100" s="3" t="s">
        <v>903</v>
      </c>
      <c r="B100" s="3" t="s">
        <v>1070</v>
      </c>
      <c r="D100" s="26" t="s">
        <v>904</v>
      </c>
      <c r="E100" s="27"/>
      <c r="F100" s="27"/>
      <c r="G100" s="27"/>
      <c r="H100" s="27"/>
      <c r="I100" s="27"/>
      <c r="J100" s="27"/>
      <c r="K100" s="27"/>
      <c r="L100" s="27"/>
      <c r="M100" s="27"/>
      <c r="N100" s="27"/>
      <c r="O100" s="27"/>
      <c r="P100" s="27"/>
      <c r="Q100" s="41">
        <f t="shared" si="5"/>
        <v>0</v>
      </c>
      <c r="R100" s="39">
        <f>Q100/Summary!$Q$16</f>
        <v>0</v>
      </c>
      <c r="S100" s="39"/>
      <c r="T100" s="35"/>
      <c r="U100" s="40">
        <f t="shared" si="6"/>
        <v>0</v>
      </c>
    </row>
    <row r="101" spans="1:21" s="3" customFormat="1" ht="24.95" hidden="1" customHeight="1">
      <c r="A101" s="3" t="s">
        <v>905</v>
      </c>
      <c r="B101" s="3" t="s">
        <v>1070</v>
      </c>
      <c r="D101" s="26" t="s">
        <v>906</v>
      </c>
      <c r="E101" s="27"/>
      <c r="F101" s="27"/>
      <c r="G101" s="27"/>
      <c r="H101" s="27"/>
      <c r="I101" s="27"/>
      <c r="J101" s="27"/>
      <c r="K101" s="27"/>
      <c r="L101" s="27"/>
      <c r="M101" s="27"/>
      <c r="N101" s="27"/>
      <c r="O101" s="27"/>
      <c r="P101" s="27"/>
      <c r="Q101" s="41">
        <f t="shared" si="5"/>
        <v>0</v>
      </c>
      <c r="R101" s="39">
        <f>Q101/Summary!$Q$16</f>
        <v>0</v>
      </c>
      <c r="S101" s="39"/>
      <c r="T101" s="35"/>
      <c r="U101" s="40">
        <f t="shared" si="6"/>
        <v>0</v>
      </c>
    </row>
    <row r="102" spans="1:21" s="3" customFormat="1" ht="24.95" hidden="1" customHeight="1">
      <c r="A102" s="3" t="s">
        <v>907</v>
      </c>
      <c r="B102" s="3" t="s">
        <v>1070</v>
      </c>
      <c r="D102" s="26" t="s">
        <v>908</v>
      </c>
      <c r="E102" s="27"/>
      <c r="F102" s="27"/>
      <c r="G102" s="27"/>
      <c r="H102" s="27"/>
      <c r="I102" s="27"/>
      <c r="J102" s="27"/>
      <c r="K102" s="27"/>
      <c r="L102" s="27"/>
      <c r="M102" s="27"/>
      <c r="N102" s="27"/>
      <c r="O102" s="27"/>
      <c r="P102" s="27"/>
      <c r="Q102" s="41">
        <f t="shared" si="5"/>
        <v>0</v>
      </c>
      <c r="R102" s="39">
        <f>Q102/Summary!$Q$16</f>
        <v>0</v>
      </c>
      <c r="S102" s="39"/>
      <c r="T102" s="35"/>
      <c r="U102" s="40">
        <f t="shared" si="6"/>
        <v>0</v>
      </c>
    </row>
    <row r="103" spans="1:21" s="3" customFormat="1" ht="24.95" hidden="1" customHeight="1">
      <c r="A103" s="3" t="s">
        <v>909</v>
      </c>
      <c r="B103" s="3" t="s">
        <v>1070</v>
      </c>
      <c r="D103" s="26" t="s">
        <v>910</v>
      </c>
      <c r="E103" s="27"/>
      <c r="F103" s="27"/>
      <c r="G103" s="27"/>
      <c r="H103" s="27"/>
      <c r="I103" s="27"/>
      <c r="J103" s="27"/>
      <c r="K103" s="27"/>
      <c r="L103" s="27"/>
      <c r="M103" s="27"/>
      <c r="N103" s="27"/>
      <c r="O103" s="27"/>
      <c r="P103" s="27"/>
      <c r="Q103" s="41">
        <f t="shared" si="5"/>
        <v>0</v>
      </c>
      <c r="R103" s="39">
        <f>Q103/Summary!$Q$16</f>
        <v>0</v>
      </c>
      <c r="S103" s="39"/>
      <c r="T103" s="35"/>
      <c r="U103" s="40">
        <f t="shared" si="6"/>
        <v>0</v>
      </c>
    </row>
    <row r="104" spans="1:21" s="3" customFormat="1" ht="24.95" hidden="1" customHeight="1">
      <c r="A104" s="3" t="s">
        <v>911</v>
      </c>
      <c r="B104" s="3" t="s">
        <v>1070</v>
      </c>
      <c r="D104" s="26" t="s">
        <v>912</v>
      </c>
      <c r="E104" s="27"/>
      <c r="F104" s="27"/>
      <c r="G104" s="27"/>
      <c r="H104" s="27"/>
      <c r="I104" s="27"/>
      <c r="J104" s="27"/>
      <c r="K104" s="27"/>
      <c r="L104" s="27"/>
      <c r="M104" s="27"/>
      <c r="N104" s="27"/>
      <c r="O104" s="27"/>
      <c r="P104" s="27"/>
      <c r="Q104" s="41">
        <f t="shared" si="5"/>
        <v>0</v>
      </c>
      <c r="R104" s="39">
        <f>Q104/Summary!$Q$16</f>
        <v>0</v>
      </c>
      <c r="S104" s="39"/>
      <c r="T104" s="35"/>
      <c r="U104" s="40">
        <f t="shared" si="6"/>
        <v>0</v>
      </c>
    </row>
    <row r="105" spans="1:21" s="3" customFormat="1" ht="24.95" hidden="1" customHeight="1">
      <c r="A105" s="3" t="s">
        <v>913</v>
      </c>
      <c r="B105" s="3" t="s">
        <v>1070</v>
      </c>
      <c r="D105" s="26" t="s">
        <v>914</v>
      </c>
      <c r="E105" s="27"/>
      <c r="F105" s="27"/>
      <c r="G105" s="27"/>
      <c r="H105" s="27"/>
      <c r="I105" s="27"/>
      <c r="J105" s="27"/>
      <c r="K105" s="27"/>
      <c r="L105" s="27"/>
      <c r="M105" s="27"/>
      <c r="N105" s="27"/>
      <c r="O105" s="27"/>
      <c r="P105" s="27"/>
      <c r="Q105" s="41">
        <f t="shared" si="5"/>
        <v>0</v>
      </c>
      <c r="R105" s="39">
        <f>Q105/Summary!$Q$16</f>
        <v>0</v>
      </c>
      <c r="S105" s="39"/>
      <c r="T105" s="35"/>
      <c r="U105" s="40">
        <f t="shared" si="6"/>
        <v>0</v>
      </c>
    </row>
    <row r="106" spans="1:21" s="3" customFormat="1" ht="24.95" hidden="1" customHeight="1">
      <c r="A106" s="3" t="s">
        <v>915</v>
      </c>
      <c r="B106" s="3" t="s">
        <v>1070</v>
      </c>
      <c r="D106" s="26" t="s">
        <v>916</v>
      </c>
      <c r="E106" s="27"/>
      <c r="F106" s="27"/>
      <c r="G106" s="27"/>
      <c r="H106" s="27"/>
      <c r="I106" s="27"/>
      <c r="J106" s="27"/>
      <c r="K106" s="27"/>
      <c r="L106" s="27"/>
      <c r="M106" s="27"/>
      <c r="N106" s="27"/>
      <c r="O106" s="27"/>
      <c r="P106" s="27"/>
      <c r="Q106" s="41">
        <f t="shared" si="5"/>
        <v>0</v>
      </c>
      <c r="R106" s="39">
        <f>Q106/Summary!$Q$16</f>
        <v>0</v>
      </c>
      <c r="S106" s="39"/>
      <c r="T106" s="35"/>
      <c r="U106" s="40">
        <f t="shared" si="6"/>
        <v>0</v>
      </c>
    </row>
    <row r="107" spans="1:21" s="3" customFormat="1" ht="24.95" hidden="1" customHeight="1">
      <c r="A107" s="3" t="s">
        <v>917</v>
      </c>
      <c r="B107" s="3" t="s">
        <v>1070</v>
      </c>
      <c r="D107" s="26" t="s">
        <v>918</v>
      </c>
      <c r="E107" s="27"/>
      <c r="F107" s="27"/>
      <c r="G107" s="27"/>
      <c r="H107" s="27"/>
      <c r="I107" s="27"/>
      <c r="J107" s="27"/>
      <c r="K107" s="27"/>
      <c r="L107" s="27"/>
      <c r="M107" s="27"/>
      <c r="N107" s="27"/>
      <c r="O107" s="27"/>
      <c r="P107" s="27"/>
      <c r="Q107" s="41">
        <f t="shared" si="5"/>
        <v>0</v>
      </c>
      <c r="R107" s="39">
        <f>Q107/Summary!$Q$16</f>
        <v>0</v>
      </c>
      <c r="S107" s="39"/>
      <c r="T107" s="35"/>
      <c r="U107" s="40">
        <f t="shared" si="6"/>
        <v>0</v>
      </c>
    </row>
    <row r="108" spans="1:21" s="3" customFormat="1" ht="24.95" hidden="1" customHeight="1">
      <c r="A108" s="3" t="s">
        <v>919</v>
      </c>
      <c r="B108" s="3" t="s">
        <v>1070</v>
      </c>
      <c r="D108" s="26" t="s">
        <v>920</v>
      </c>
      <c r="E108" s="27"/>
      <c r="F108" s="27"/>
      <c r="G108" s="27"/>
      <c r="H108" s="27"/>
      <c r="I108" s="27"/>
      <c r="J108" s="27"/>
      <c r="K108" s="27"/>
      <c r="L108" s="27"/>
      <c r="M108" s="27"/>
      <c r="N108" s="27"/>
      <c r="O108" s="27"/>
      <c r="P108" s="27"/>
      <c r="Q108" s="41">
        <f t="shared" si="5"/>
        <v>0</v>
      </c>
      <c r="R108" s="39">
        <f>Q108/Summary!$Q$16</f>
        <v>0</v>
      </c>
      <c r="S108" s="39"/>
      <c r="T108" s="35"/>
      <c r="U108" s="40">
        <f t="shared" si="6"/>
        <v>0</v>
      </c>
    </row>
    <row r="109" spans="1:21" s="3" customFormat="1" ht="24.95" hidden="1" customHeight="1">
      <c r="A109" s="3" t="s">
        <v>921</v>
      </c>
      <c r="B109" s="3" t="s">
        <v>1070</v>
      </c>
      <c r="D109" s="26" t="s">
        <v>922</v>
      </c>
      <c r="E109" s="27"/>
      <c r="F109" s="27"/>
      <c r="G109" s="27"/>
      <c r="H109" s="27"/>
      <c r="I109" s="27"/>
      <c r="J109" s="27"/>
      <c r="K109" s="27"/>
      <c r="L109" s="27"/>
      <c r="M109" s="27"/>
      <c r="N109" s="27"/>
      <c r="O109" s="27"/>
      <c r="P109" s="27"/>
      <c r="Q109" s="41">
        <f t="shared" si="5"/>
        <v>0</v>
      </c>
      <c r="R109" s="39">
        <f>Q109/Summary!$Q$16</f>
        <v>0</v>
      </c>
      <c r="S109" s="39"/>
      <c r="T109" s="35"/>
      <c r="U109" s="40">
        <f t="shared" si="6"/>
        <v>0</v>
      </c>
    </row>
    <row r="110" spans="1:21" s="3" customFormat="1" ht="24.95" hidden="1" customHeight="1">
      <c r="A110" s="3" t="s">
        <v>923</v>
      </c>
      <c r="B110" s="3" t="s">
        <v>1070</v>
      </c>
      <c r="D110" s="26" t="s">
        <v>924</v>
      </c>
      <c r="E110" s="27"/>
      <c r="F110" s="27"/>
      <c r="G110" s="27"/>
      <c r="H110" s="27"/>
      <c r="I110" s="27"/>
      <c r="J110" s="27"/>
      <c r="K110" s="27"/>
      <c r="L110" s="27"/>
      <c r="M110" s="27"/>
      <c r="N110" s="27"/>
      <c r="O110" s="27"/>
      <c r="P110" s="27"/>
      <c r="Q110" s="41">
        <f t="shared" si="5"/>
        <v>0</v>
      </c>
      <c r="R110" s="39">
        <f>Q110/Summary!$Q$16</f>
        <v>0</v>
      </c>
      <c r="S110" s="39"/>
      <c r="T110" s="35"/>
      <c r="U110" s="40">
        <f t="shared" si="6"/>
        <v>0</v>
      </c>
    </row>
    <row r="111" spans="1:21" s="3" customFormat="1" ht="24.95" hidden="1" customHeight="1">
      <c r="A111" s="3" t="s">
        <v>925</v>
      </c>
      <c r="B111" s="3" t="s">
        <v>1070</v>
      </c>
      <c r="D111" s="26" t="s">
        <v>926</v>
      </c>
      <c r="E111" s="27"/>
      <c r="F111" s="27"/>
      <c r="G111" s="27"/>
      <c r="H111" s="27"/>
      <c r="I111" s="27"/>
      <c r="J111" s="27"/>
      <c r="K111" s="27"/>
      <c r="L111" s="27"/>
      <c r="M111" s="27"/>
      <c r="N111" s="27"/>
      <c r="O111" s="27"/>
      <c r="P111" s="27"/>
      <c r="Q111" s="41">
        <f t="shared" si="5"/>
        <v>0</v>
      </c>
      <c r="R111" s="39">
        <f>Q111/Summary!$Q$16</f>
        <v>0</v>
      </c>
      <c r="S111" s="39"/>
      <c r="T111" s="35"/>
      <c r="U111" s="40">
        <f t="shared" si="6"/>
        <v>0</v>
      </c>
    </row>
    <row r="112" spans="1:21" s="3" customFormat="1" ht="24.95" hidden="1" customHeight="1">
      <c r="A112" s="3" t="s">
        <v>927</v>
      </c>
      <c r="B112" s="3" t="s">
        <v>1070</v>
      </c>
      <c r="D112" s="26" t="s">
        <v>928</v>
      </c>
      <c r="E112" s="27"/>
      <c r="F112" s="27"/>
      <c r="G112" s="27"/>
      <c r="H112" s="27"/>
      <c r="I112" s="27"/>
      <c r="J112" s="27"/>
      <c r="K112" s="27"/>
      <c r="L112" s="27"/>
      <c r="M112" s="27"/>
      <c r="N112" s="27"/>
      <c r="O112" s="27"/>
      <c r="P112" s="27"/>
      <c r="Q112" s="41">
        <f t="shared" si="5"/>
        <v>0</v>
      </c>
      <c r="R112" s="39">
        <f>Q112/Summary!$Q$16</f>
        <v>0</v>
      </c>
      <c r="S112" s="39"/>
      <c r="T112" s="35"/>
      <c r="U112" s="40">
        <f t="shared" si="6"/>
        <v>0</v>
      </c>
    </row>
    <row r="113" spans="1:21" s="3" customFormat="1" ht="24.95" hidden="1" customHeight="1">
      <c r="A113" s="3" t="s">
        <v>929</v>
      </c>
      <c r="B113" s="3" t="s">
        <v>1070</v>
      </c>
      <c r="D113" s="26" t="s">
        <v>930</v>
      </c>
      <c r="E113" s="27"/>
      <c r="F113" s="27"/>
      <c r="G113" s="27"/>
      <c r="H113" s="27"/>
      <c r="I113" s="27"/>
      <c r="J113" s="27"/>
      <c r="K113" s="27"/>
      <c r="L113" s="27"/>
      <c r="M113" s="27"/>
      <c r="N113" s="27"/>
      <c r="O113" s="27"/>
      <c r="P113" s="27"/>
      <c r="Q113" s="41">
        <f t="shared" si="5"/>
        <v>0</v>
      </c>
      <c r="R113" s="39">
        <f>Q113/Summary!$Q$16</f>
        <v>0</v>
      </c>
      <c r="S113" s="39"/>
      <c r="T113" s="35"/>
      <c r="U113" s="40">
        <f t="shared" si="6"/>
        <v>0</v>
      </c>
    </row>
    <row r="114" spans="1:21" s="3" customFormat="1" ht="24.95" hidden="1" customHeight="1">
      <c r="A114" s="3" t="s">
        <v>931</v>
      </c>
      <c r="B114" s="3" t="s">
        <v>1070</v>
      </c>
      <c r="D114" s="26" t="s">
        <v>932</v>
      </c>
      <c r="E114" s="27"/>
      <c r="F114" s="27"/>
      <c r="G114" s="27"/>
      <c r="H114" s="27"/>
      <c r="I114" s="27"/>
      <c r="J114" s="27"/>
      <c r="K114" s="27"/>
      <c r="L114" s="27"/>
      <c r="M114" s="27"/>
      <c r="N114" s="27"/>
      <c r="O114" s="27"/>
      <c r="P114" s="27"/>
      <c r="Q114" s="41">
        <f t="shared" si="5"/>
        <v>0</v>
      </c>
      <c r="R114" s="39">
        <f>Q114/Summary!$Q$16</f>
        <v>0</v>
      </c>
      <c r="S114" s="39"/>
      <c r="T114" s="35"/>
      <c r="U114" s="40">
        <f t="shared" si="6"/>
        <v>0</v>
      </c>
    </row>
    <row r="115" spans="1:21" s="3" customFormat="1" ht="24.95" hidden="1" customHeight="1">
      <c r="A115" s="3" t="s">
        <v>933</v>
      </c>
      <c r="B115" s="3" t="s">
        <v>1070</v>
      </c>
      <c r="D115" s="26" t="s">
        <v>934</v>
      </c>
      <c r="E115" s="27"/>
      <c r="F115" s="27"/>
      <c r="G115" s="27"/>
      <c r="H115" s="27"/>
      <c r="I115" s="27"/>
      <c r="J115" s="27"/>
      <c r="K115" s="27"/>
      <c r="L115" s="27"/>
      <c r="M115" s="27"/>
      <c r="N115" s="27"/>
      <c r="O115" s="27"/>
      <c r="P115" s="27"/>
      <c r="Q115" s="41">
        <f t="shared" si="5"/>
        <v>0</v>
      </c>
      <c r="R115" s="39">
        <f>Q115/Summary!$Q$16</f>
        <v>0</v>
      </c>
      <c r="S115" s="39"/>
      <c r="T115" s="35"/>
      <c r="U115" s="40">
        <f t="shared" si="6"/>
        <v>0</v>
      </c>
    </row>
    <row r="116" spans="1:21" s="3" customFormat="1" ht="24.95" hidden="1" customHeight="1">
      <c r="A116" s="3" t="s">
        <v>935</v>
      </c>
      <c r="B116" s="3" t="s">
        <v>1070</v>
      </c>
      <c r="D116" s="26" t="s">
        <v>936</v>
      </c>
      <c r="E116" s="27"/>
      <c r="F116" s="27"/>
      <c r="G116" s="27"/>
      <c r="H116" s="27"/>
      <c r="I116" s="27"/>
      <c r="J116" s="27"/>
      <c r="K116" s="27"/>
      <c r="L116" s="27"/>
      <c r="M116" s="27"/>
      <c r="N116" s="27"/>
      <c r="O116" s="27"/>
      <c r="P116" s="27"/>
      <c r="Q116" s="41">
        <f t="shared" si="5"/>
        <v>0</v>
      </c>
      <c r="R116" s="39">
        <f>Q116/Summary!$Q$16</f>
        <v>0</v>
      </c>
      <c r="S116" s="39"/>
      <c r="T116" s="35"/>
      <c r="U116" s="40">
        <f t="shared" si="6"/>
        <v>0</v>
      </c>
    </row>
    <row r="117" spans="1:21" s="3" customFormat="1" ht="24.95" hidden="1" customHeight="1">
      <c r="A117" s="3" t="s">
        <v>937</v>
      </c>
      <c r="B117" s="3" t="s">
        <v>1070</v>
      </c>
      <c r="D117" s="26" t="s">
        <v>938</v>
      </c>
      <c r="E117" s="27"/>
      <c r="F117" s="27"/>
      <c r="G117" s="27"/>
      <c r="H117" s="27"/>
      <c r="I117" s="27"/>
      <c r="J117" s="27"/>
      <c r="K117" s="27"/>
      <c r="L117" s="27"/>
      <c r="M117" s="27"/>
      <c r="N117" s="27"/>
      <c r="O117" s="27"/>
      <c r="P117" s="27"/>
      <c r="Q117" s="41">
        <f t="shared" si="5"/>
        <v>0</v>
      </c>
      <c r="R117" s="39">
        <f>Q117/Summary!$Q$16</f>
        <v>0</v>
      </c>
      <c r="S117" s="39"/>
      <c r="T117" s="35"/>
      <c r="U117" s="40">
        <f t="shared" si="6"/>
        <v>0</v>
      </c>
    </row>
    <row r="118" spans="1:21" s="3" customFormat="1" ht="24.95" hidden="1" customHeight="1">
      <c r="A118" s="3" t="s">
        <v>939</v>
      </c>
      <c r="B118" s="3" t="s">
        <v>1070</v>
      </c>
      <c r="D118" s="26" t="s">
        <v>940</v>
      </c>
      <c r="E118" s="27"/>
      <c r="F118" s="27"/>
      <c r="G118" s="27"/>
      <c r="H118" s="27"/>
      <c r="I118" s="27"/>
      <c r="J118" s="27"/>
      <c r="K118" s="27"/>
      <c r="L118" s="27"/>
      <c r="M118" s="27"/>
      <c r="N118" s="27"/>
      <c r="O118" s="27"/>
      <c r="P118" s="27"/>
      <c r="Q118" s="41">
        <f t="shared" si="5"/>
        <v>0</v>
      </c>
      <c r="R118" s="39">
        <f>Q118/Summary!$Q$16</f>
        <v>0</v>
      </c>
      <c r="S118" s="39"/>
      <c r="T118" s="35"/>
      <c r="U118" s="40">
        <f t="shared" si="6"/>
        <v>0</v>
      </c>
    </row>
    <row r="119" spans="1:21" s="3" customFormat="1" ht="24.95" hidden="1" customHeight="1">
      <c r="A119" s="3" t="s">
        <v>941</v>
      </c>
      <c r="B119" s="3" t="s">
        <v>1070</v>
      </c>
      <c r="D119" s="26" t="s">
        <v>942</v>
      </c>
      <c r="E119" s="27"/>
      <c r="F119" s="27"/>
      <c r="G119" s="27"/>
      <c r="H119" s="27"/>
      <c r="I119" s="27"/>
      <c r="J119" s="27"/>
      <c r="K119" s="27"/>
      <c r="L119" s="27"/>
      <c r="M119" s="27"/>
      <c r="N119" s="27"/>
      <c r="O119" s="27"/>
      <c r="P119" s="27"/>
      <c r="Q119" s="41">
        <f t="shared" si="5"/>
        <v>0</v>
      </c>
      <c r="R119" s="39">
        <f>Q119/Summary!$Q$16</f>
        <v>0</v>
      </c>
      <c r="S119" s="39"/>
      <c r="T119" s="35"/>
      <c r="U119" s="40">
        <f t="shared" ref="U119:U150" si="7">-IF(Q119-T119=0,0,(Q119-T119)/T119)</f>
        <v>0</v>
      </c>
    </row>
    <row r="120" spans="1:21" s="3" customFormat="1" ht="24.95" hidden="1" customHeight="1">
      <c r="A120" s="3" t="s">
        <v>943</v>
      </c>
      <c r="B120" s="3" t="s">
        <v>1070</v>
      </c>
      <c r="D120" s="26" t="s">
        <v>944</v>
      </c>
      <c r="E120" s="27"/>
      <c r="F120" s="27"/>
      <c r="G120" s="27"/>
      <c r="H120" s="27"/>
      <c r="I120" s="27"/>
      <c r="J120" s="27"/>
      <c r="K120" s="27"/>
      <c r="L120" s="27"/>
      <c r="M120" s="27"/>
      <c r="N120" s="27"/>
      <c r="O120" s="27"/>
      <c r="P120" s="27"/>
      <c r="Q120" s="41">
        <f t="shared" si="5"/>
        <v>0</v>
      </c>
      <c r="R120" s="39">
        <f>Q120/Summary!$Q$16</f>
        <v>0</v>
      </c>
      <c r="S120" s="39"/>
      <c r="T120" s="35"/>
      <c r="U120" s="40">
        <f t="shared" si="7"/>
        <v>0</v>
      </c>
    </row>
    <row r="121" spans="1:21" s="3" customFormat="1" ht="24.95" hidden="1" customHeight="1">
      <c r="A121" s="3" t="s">
        <v>945</v>
      </c>
      <c r="B121" s="3" t="s">
        <v>1070</v>
      </c>
      <c r="D121" s="26" t="s">
        <v>946</v>
      </c>
      <c r="E121" s="27"/>
      <c r="F121" s="27"/>
      <c r="G121" s="27"/>
      <c r="H121" s="27"/>
      <c r="I121" s="27"/>
      <c r="J121" s="27"/>
      <c r="K121" s="27"/>
      <c r="L121" s="27"/>
      <c r="M121" s="27"/>
      <c r="N121" s="27"/>
      <c r="O121" s="27"/>
      <c r="P121" s="27"/>
      <c r="Q121" s="41">
        <f t="shared" si="5"/>
        <v>0</v>
      </c>
      <c r="R121" s="39">
        <f>Q121/Summary!$Q$16</f>
        <v>0</v>
      </c>
      <c r="S121" s="39"/>
      <c r="T121" s="35"/>
      <c r="U121" s="40">
        <f t="shared" si="7"/>
        <v>0</v>
      </c>
    </row>
    <row r="122" spans="1:21" s="3" customFormat="1" ht="24.95" hidden="1" customHeight="1">
      <c r="A122" s="3" t="s">
        <v>947</v>
      </c>
      <c r="B122" s="3" t="s">
        <v>1070</v>
      </c>
      <c r="D122" s="26" t="s">
        <v>948</v>
      </c>
      <c r="E122" s="27"/>
      <c r="F122" s="27"/>
      <c r="G122" s="27"/>
      <c r="H122" s="27"/>
      <c r="I122" s="27"/>
      <c r="J122" s="27"/>
      <c r="K122" s="27"/>
      <c r="L122" s="27"/>
      <c r="M122" s="27"/>
      <c r="N122" s="27"/>
      <c r="O122" s="27"/>
      <c r="P122" s="27"/>
      <c r="Q122" s="41">
        <f t="shared" si="5"/>
        <v>0</v>
      </c>
      <c r="R122" s="39">
        <f>Q122/Summary!$Q$16</f>
        <v>0</v>
      </c>
      <c r="S122" s="39"/>
      <c r="T122" s="35"/>
      <c r="U122" s="40">
        <f t="shared" si="7"/>
        <v>0</v>
      </c>
    </row>
    <row r="123" spans="1:21" s="3" customFormat="1" ht="24.95" hidden="1" customHeight="1">
      <c r="A123" s="3" t="s">
        <v>949</v>
      </c>
      <c r="B123" s="3" t="s">
        <v>1070</v>
      </c>
      <c r="D123" s="26" t="s">
        <v>950</v>
      </c>
      <c r="E123" s="27"/>
      <c r="F123" s="27"/>
      <c r="G123" s="27"/>
      <c r="H123" s="27"/>
      <c r="I123" s="27"/>
      <c r="J123" s="27"/>
      <c r="K123" s="27"/>
      <c r="L123" s="27"/>
      <c r="M123" s="27"/>
      <c r="N123" s="27"/>
      <c r="O123" s="27"/>
      <c r="P123" s="27"/>
      <c r="Q123" s="41">
        <f t="shared" si="5"/>
        <v>0</v>
      </c>
      <c r="R123" s="39">
        <f>Q123/Summary!$Q$16</f>
        <v>0</v>
      </c>
      <c r="S123" s="39"/>
      <c r="T123" s="35"/>
      <c r="U123" s="40">
        <f t="shared" si="7"/>
        <v>0</v>
      </c>
    </row>
    <row r="124" spans="1:21" s="3" customFormat="1" ht="24.95" hidden="1" customHeight="1">
      <c r="A124" s="3" t="s">
        <v>951</v>
      </c>
      <c r="B124" s="3" t="s">
        <v>1070</v>
      </c>
      <c r="D124" s="26" t="s">
        <v>952</v>
      </c>
      <c r="E124" s="27"/>
      <c r="F124" s="27"/>
      <c r="G124" s="27"/>
      <c r="H124" s="27"/>
      <c r="I124" s="27"/>
      <c r="J124" s="27"/>
      <c r="K124" s="27"/>
      <c r="L124" s="27"/>
      <c r="M124" s="27"/>
      <c r="N124" s="27"/>
      <c r="O124" s="27"/>
      <c r="P124" s="27"/>
      <c r="Q124" s="41">
        <f t="shared" si="5"/>
        <v>0</v>
      </c>
      <c r="R124" s="39">
        <f>Q124/Summary!$Q$16</f>
        <v>0</v>
      </c>
      <c r="S124" s="39"/>
      <c r="T124" s="35"/>
      <c r="U124" s="40">
        <f t="shared" si="7"/>
        <v>0</v>
      </c>
    </row>
    <row r="125" spans="1:21" s="3" customFormat="1" ht="24.95" hidden="1" customHeight="1">
      <c r="A125" s="3" t="s">
        <v>953</v>
      </c>
      <c r="B125" s="3" t="s">
        <v>1070</v>
      </c>
      <c r="D125" s="26" t="s">
        <v>954</v>
      </c>
      <c r="E125" s="27"/>
      <c r="F125" s="27"/>
      <c r="G125" s="27"/>
      <c r="H125" s="27"/>
      <c r="I125" s="27"/>
      <c r="J125" s="27"/>
      <c r="K125" s="27"/>
      <c r="L125" s="27"/>
      <c r="M125" s="27"/>
      <c r="N125" s="27"/>
      <c r="O125" s="27"/>
      <c r="P125" s="27"/>
      <c r="Q125" s="41">
        <f t="shared" si="5"/>
        <v>0</v>
      </c>
      <c r="R125" s="39">
        <f>Q125/Summary!$Q$16</f>
        <v>0</v>
      </c>
      <c r="S125" s="39"/>
      <c r="T125" s="35"/>
      <c r="U125" s="40">
        <f t="shared" si="7"/>
        <v>0</v>
      </c>
    </row>
    <row r="126" spans="1:21" s="3" customFormat="1" ht="24.95" hidden="1" customHeight="1">
      <c r="A126" s="3" t="s">
        <v>955</v>
      </c>
      <c r="B126" s="3" t="s">
        <v>1070</v>
      </c>
      <c r="D126" s="26" t="s">
        <v>956</v>
      </c>
      <c r="E126" s="27"/>
      <c r="F126" s="27"/>
      <c r="G126" s="27"/>
      <c r="H126" s="27"/>
      <c r="I126" s="27"/>
      <c r="J126" s="27"/>
      <c r="K126" s="27"/>
      <c r="L126" s="27"/>
      <c r="M126" s="27"/>
      <c r="N126" s="27"/>
      <c r="O126" s="27"/>
      <c r="P126" s="27"/>
      <c r="Q126" s="41">
        <f t="shared" si="5"/>
        <v>0</v>
      </c>
      <c r="R126" s="39">
        <f>Q126/Summary!$Q$16</f>
        <v>0</v>
      </c>
      <c r="S126" s="39"/>
      <c r="T126" s="35"/>
      <c r="U126" s="40">
        <f t="shared" si="7"/>
        <v>0</v>
      </c>
    </row>
    <row r="127" spans="1:21" s="3" customFormat="1" ht="24.95" hidden="1" customHeight="1">
      <c r="A127" s="3" t="s">
        <v>957</v>
      </c>
      <c r="B127" s="3" t="s">
        <v>1070</v>
      </c>
      <c r="D127" s="26" t="s">
        <v>958</v>
      </c>
      <c r="E127" s="27"/>
      <c r="F127" s="27"/>
      <c r="G127" s="27"/>
      <c r="H127" s="27"/>
      <c r="I127" s="27"/>
      <c r="J127" s="27"/>
      <c r="K127" s="27"/>
      <c r="L127" s="27"/>
      <c r="M127" s="27"/>
      <c r="N127" s="27"/>
      <c r="O127" s="27"/>
      <c r="P127" s="27"/>
      <c r="Q127" s="41">
        <f t="shared" si="5"/>
        <v>0</v>
      </c>
      <c r="R127" s="39">
        <f>Q127/Summary!$Q$16</f>
        <v>0</v>
      </c>
      <c r="S127" s="39"/>
      <c r="T127" s="35"/>
      <c r="U127" s="40">
        <f t="shared" si="7"/>
        <v>0</v>
      </c>
    </row>
    <row r="128" spans="1:21" s="3" customFormat="1" ht="24.95" hidden="1" customHeight="1">
      <c r="A128" s="3" t="s">
        <v>959</v>
      </c>
      <c r="B128" s="3" t="s">
        <v>1070</v>
      </c>
      <c r="D128" s="26" t="s">
        <v>960</v>
      </c>
      <c r="E128" s="27"/>
      <c r="F128" s="27"/>
      <c r="G128" s="27"/>
      <c r="H128" s="27"/>
      <c r="I128" s="27"/>
      <c r="J128" s="27"/>
      <c r="K128" s="27"/>
      <c r="L128" s="27"/>
      <c r="M128" s="27"/>
      <c r="N128" s="27"/>
      <c r="O128" s="27"/>
      <c r="P128" s="27"/>
      <c r="Q128" s="41">
        <f t="shared" si="5"/>
        <v>0</v>
      </c>
      <c r="R128" s="39">
        <f>Q128/Summary!$Q$16</f>
        <v>0</v>
      </c>
      <c r="S128" s="39"/>
      <c r="T128" s="35"/>
      <c r="U128" s="40">
        <f t="shared" si="7"/>
        <v>0</v>
      </c>
    </row>
    <row r="129" spans="1:21" s="3" customFormat="1" ht="24.95" hidden="1" customHeight="1">
      <c r="A129" s="3" t="s">
        <v>961</v>
      </c>
      <c r="B129" s="3" t="s">
        <v>1070</v>
      </c>
      <c r="D129" s="26" t="s">
        <v>962</v>
      </c>
      <c r="E129" s="27"/>
      <c r="F129" s="27"/>
      <c r="G129" s="27"/>
      <c r="H129" s="27"/>
      <c r="I129" s="27"/>
      <c r="J129" s="27"/>
      <c r="K129" s="27"/>
      <c r="L129" s="27"/>
      <c r="M129" s="27"/>
      <c r="N129" s="27"/>
      <c r="O129" s="27"/>
      <c r="P129" s="27"/>
      <c r="Q129" s="41">
        <f t="shared" si="5"/>
        <v>0</v>
      </c>
      <c r="R129" s="39">
        <f>Q129/Summary!$Q$16</f>
        <v>0</v>
      </c>
      <c r="S129" s="39"/>
      <c r="T129" s="35"/>
      <c r="U129" s="40">
        <f t="shared" si="7"/>
        <v>0</v>
      </c>
    </row>
    <row r="130" spans="1:21" s="3" customFormat="1" ht="24.95" hidden="1" customHeight="1">
      <c r="A130" s="3" t="s">
        <v>963</v>
      </c>
      <c r="B130" s="3" t="s">
        <v>1070</v>
      </c>
      <c r="D130" s="26" t="s">
        <v>964</v>
      </c>
      <c r="E130" s="27"/>
      <c r="F130" s="27"/>
      <c r="G130" s="27"/>
      <c r="H130" s="27"/>
      <c r="I130" s="27"/>
      <c r="J130" s="27"/>
      <c r="K130" s="27"/>
      <c r="L130" s="27"/>
      <c r="M130" s="27"/>
      <c r="N130" s="27"/>
      <c r="O130" s="27"/>
      <c r="P130" s="27"/>
      <c r="Q130" s="41">
        <f t="shared" si="5"/>
        <v>0</v>
      </c>
      <c r="R130" s="39">
        <f>Q130/Summary!$Q$16</f>
        <v>0</v>
      </c>
      <c r="S130" s="39"/>
      <c r="T130" s="35"/>
      <c r="U130" s="40">
        <f t="shared" si="7"/>
        <v>0</v>
      </c>
    </row>
    <row r="131" spans="1:21" s="3" customFormat="1" ht="24.95" hidden="1" customHeight="1">
      <c r="A131" s="3" t="s">
        <v>965</v>
      </c>
      <c r="B131" s="3" t="s">
        <v>1070</v>
      </c>
      <c r="D131" s="26" t="s">
        <v>966</v>
      </c>
      <c r="E131" s="27"/>
      <c r="F131" s="27"/>
      <c r="G131" s="27"/>
      <c r="H131" s="27"/>
      <c r="I131" s="27"/>
      <c r="J131" s="27"/>
      <c r="K131" s="27"/>
      <c r="L131" s="27"/>
      <c r="M131" s="27"/>
      <c r="N131" s="27"/>
      <c r="O131" s="27"/>
      <c r="P131" s="27"/>
      <c r="Q131" s="41">
        <f t="shared" si="5"/>
        <v>0</v>
      </c>
      <c r="R131" s="39">
        <f>Q131/Summary!$Q$16</f>
        <v>0</v>
      </c>
      <c r="S131" s="39"/>
      <c r="T131" s="35"/>
      <c r="U131" s="40">
        <f t="shared" si="7"/>
        <v>0</v>
      </c>
    </row>
    <row r="132" spans="1:21" s="3" customFormat="1" ht="24.95" hidden="1" customHeight="1">
      <c r="A132" s="3" t="s">
        <v>967</v>
      </c>
      <c r="B132" s="3" t="s">
        <v>1070</v>
      </c>
      <c r="D132" s="26" t="s">
        <v>968</v>
      </c>
      <c r="E132" s="27"/>
      <c r="F132" s="27"/>
      <c r="G132" s="27"/>
      <c r="H132" s="27"/>
      <c r="I132" s="27"/>
      <c r="J132" s="27"/>
      <c r="K132" s="27"/>
      <c r="L132" s="27"/>
      <c r="M132" s="27"/>
      <c r="N132" s="27"/>
      <c r="O132" s="27"/>
      <c r="P132" s="27"/>
      <c r="Q132" s="41">
        <f t="shared" si="5"/>
        <v>0</v>
      </c>
      <c r="R132" s="39">
        <f>Q132/Summary!$Q$16</f>
        <v>0</v>
      </c>
      <c r="S132" s="39"/>
      <c r="T132" s="35"/>
      <c r="U132" s="40">
        <f t="shared" si="7"/>
        <v>0</v>
      </c>
    </row>
    <row r="133" spans="1:21" s="3" customFormat="1" ht="24.95" hidden="1" customHeight="1">
      <c r="A133" s="3" t="s">
        <v>969</v>
      </c>
      <c r="B133" s="3" t="s">
        <v>1070</v>
      </c>
      <c r="D133" s="26" t="s">
        <v>970</v>
      </c>
      <c r="E133" s="27"/>
      <c r="F133" s="27"/>
      <c r="G133" s="27"/>
      <c r="H133" s="27"/>
      <c r="I133" s="27"/>
      <c r="J133" s="27"/>
      <c r="K133" s="27"/>
      <c r="L133" s="27"/>
      <c r="M133" s="27"/>
      <c r="N133" s="27"/>
      <c r="O133" s="27"/>
      <c r="P133" s="27"/>
      <c r="Q133" s="41">
        <f t="shared" si="5"/>
        <v>0</v>
      </c>
      <c r="R133" s="39">
        <f>Q133/Summary!$Q$16</f>
        <v>0</v>
      </c>
      <c r="S133" s="39"/>
      <c r="T133" s="35"/>
      <c r="U133" s="40">
        <f t="shared" si="7"/>
        <v>0</v>
      </c>
    </row>
    <row r="134" spans="1:21" s="3" customFormat="1" ht="24.95" hidden="1" customHeight="1">
      <c r="A134" s="3" t="s">
        <v>971</v>
      </c>
      <c r="B134" s="3" t="s">
        <v>1070</v>
      </c>
      <c r="D134" s="26" t="s">
        <v>972</v>
      </c>
      <c r="E134" s="27"/>
      <c r="F134" s="27"/>
      <c r="G134" s="27"/>
      <c r="H134" s="27"/>
      <c r="I134" s="27"/>
      <c r="J134" s="27"/>
      <c r="K134" s="27"/>
      <c r="L134" s="27"/>
      <c r="M134" s="27"/>
      <c r="N134" s="27"/>
      <c r="O134" s="27"/>
      <c r="P134" s="27"/>
      <c r="Q134" s="41">
        <f t="shared" si="5"/>
        <v>0</v>
      </c>
      <c r="R134" s="39">
        <f>Q134/Summary!$Q$16</f>
        <v>0</v>
      </c>
      <c r="S134" s="39"/>
      <c r="T134" s="35"/>
      <c r="U134" s="40">
        <f t="shared" si="7"/>
        <v>0</v>
      </c>
    </row>
    <row r="135" spans="1:21" s="3" customFormat="1" ht="24.95" hidden="1" customHeight="1">
      <c r="A135" s="3" t="s">
        <v>973</v>
      </c>
      <c r="B135" s="3" t="s">
        <v>1070</v>
      </c>
      <c r="D135" s="26" t="s">
        <v>974</v>
      </c>
      <c r="E135" s="27"/>
      <c r="F135" s="27"/>
      <c r="G135" s="27"/>
      <c r="H135" s="27"/>
      <c r="I135" s="27"/>
      <c r="J135" s="27"/>
      <c r="K135" s="27"/>
      <c r="L135" s="27"/>
      <c r="M135" s="27"/>
      <c r="N135" s="27"/>
      <c r="O135" s="27"/>
      <c r="P135" s="27"/>
      <c r="Q135" s="41">
        <f t="shared" si="5"/>
        <v>0</v>
      </c>
      <c r="R135" s="39">
        <f>Q135/Summary!$Q$16</f>
        <v>0</v>
      </c>
      <c r="S135" s="39"/>
      <c r="T135" s="35"/>
      <c r="U135" s="40">
        <f t="shared" si="7"/>
        <v>0</v>
      </c>
    </row>
    <row r="136" spans="1:21" s="3" customFormat="1" ht="24.95" hidden="1" customHeight="1">
      <c r="A136" s="3" t="s">
        <v>975</v>
      </c>
      <c r="B136" s="3" t="s">
        <v>1070</v>
      </c>
      <c r="D136" s="26" t="s">
        <v>976</v>
      </c>
      <c r="E136" s="27"/>
      <c r="F136" s="27"/>
      <c r="G136" s="27"/>
      <c r="H136" s="27"/>
      <c r="I136" s="27"/>
      <c r="J136" s="27"/>
      <c r="K136" s="27"/>
      <c r="L136" s="27"/>
      <c r="M136" s="27"/>
      <c r="N136" s="27"/>
      <c r="O136" s="27"/>
      <c r="P136" s="27"/>
      <c r="Q136" s="41">
        <f t="shared" si="5"/>
        <v>0</v>
      </c>
      <c r="R136" s="39">
        <f>Q136/Summary!$Q$16</f>
        <v>0</v>
      </c>
      <c r="S136" s="39"/>
      <c r="T136" s="35"/>
      <c r="U136" s="40">
        <f t="shared" si="7"/>
        <v>0</v>
      </c>
    </row>
    <row r="137" spans="1:21" s="3" customFormat="1" ht="24.95" hidden="1" customHeight="1">
      <c r="A137" s="3" t="s">
        <v>977</v>
      </c>
      <c r="B137" s="3" t="s">
        <v>1070</v>
      </c>
      <c r="D137" s="26" t="s">
        <v>978</v>
      </c>
      <c r="E137" s="27"/>
      <c r="F137" s="27"/>
      <c r="G137" s="27"/>
      <c r="H137" s="27"/>
      <c r="I137" s="27"/>
      <c r="J137" s="27"/>
      <c r="K137" s="27"/>
      <c r="L137" s="27"/>
      <c r="M137" s="27"/>
      <c r="N137" s="27"/>
      <c r="O137" s="27"/>
      <c r="P137" s="27"/>
      <c r="Q137" s="41">
        <f t="shared" si="5"/>
        <v>0</v>
      </c>
      <c r="R137" s="39">
        <f>Q137/Summary!$Q$16</f>
        <v>0</v>
      </c>
      <c r="S137" s="39"/>
      <c r="T137" s="35"/>
      <c r="U137" s="40">
        <f t="shared" si="7"/>
        <v>0</v>
      </c>
    </row>
    <row r="138" spans="1:21" s="3" customFormat="1" ht="24.95" hidden="1" customHeight="1">
      <c r="A138" s="3" t="s">
        <v>979</v>
      </c>
      <c r="B138" s="3" t="s">
        <v>1070</v>
      </c>
      <c r="D138" s="26" t="s">
        <v>980</v>
      </c>
      <c r="E138" s="27"/>
      <c r="F138" s="27"/>
      <c r="G138" s="27"/>
      <c r="H138" s="27"/>
      <c r="I138" s="27"/>
      <c r="J138" s="27"/>
      <c r="K138" s="27"/>
      <c r="L138" s="27"/>
      <c r="M138" s="27"/>
      <c r="N138" s="27"/>
      <c r="O138" s="27"/>
      <c r="P138" s="27"/>
      <c r="Q138" s="41">
        <f t="shared" si="5"/>
        <v>0</v>
      </c>
      <c r="R138" s="39">
        <f>Q138/Summary!$Q$16</f>
        <v>0</v>
      </c>
      <c r="S138" s="39"/>
      <c r="T138" s="35"/>
      <c r="U138" s="40">
        <f t="shared" si="7"/>
        <v>0</v>
      </c>
    </row>
    <row r="139" spans="1:21" s="3" customFormat="1" ht="24.95" hidden="1" customHeight="1">
      <c r="A139" s="3" t="s">
        <v>981</v>
      </c>
      <c r="B139" s="3" t="s">
        <v>1070</v>
      </c>
      <c r="D139" s="26" t="s">
        <v>982</v>
      </c>
      <c r="E139" s="27"/>
      <c r="F139" s="27"/>
      <c r="G139" s="27"/>
      <c r="H139" s="27"/>
      <c r="I139" s="27"/>
      <c r="J139" s="27"/>
      <c r="K139" s="27"/>
      <c r="L139" s="27"/>
      <c r="M139" s="27"/>
      <c r="N139" s="27"/>
      <c r="O139" s="27"/>
      <c r="P139" s="27"/>
      <c r="Q139" s="41">
        <f t="shared" si="5"/>
        <v>0</v>
      </c>
      <c r="R139" s="39">
        <f>Q139/Summary!$Q$16</f>
        <v>0</v>
      </c>
      <c r="S139" s="39"/>
      <c r="T139" s="35"/>
      <c r="U139" s="40">
        <f t="shared" si="7"/>
        <v>0</v>
      </c>
    </row>
    <row r="140" spans="1:21" s="3" customFormat="1" ht="24.95" hidden="1" customHeight="1">
      <c r="A140" s="3" t="s">
        <v>983</v>
      </c>
      <c r="B140" s="3" t="s">
        <v>1070</v>
      </c>
      <c r="D140" s="26" t="s">
        <v>984</v>
      </c>
      <c r="E140" s="27"/>
      <c r="F140" s="27"/>
      <c r="G140" s="27"/>
      <c r="H140" s="27"/>
      <c r="I140" s="27"/>
      <c r="J140" s="27"/>
      <c r="K140" s="27"/>
      <c r="L140" s="27"/>
      <c r="M140" s="27"/>
      <c r="N140" s="27"/>
      <c r="O140" s="27"/>
      <c r="P140" s="27"/>
      <c r="Q140" s="41">
        <f t="shared" si="5"/>
        <v>0</v>
      </c>
      <c r="R140" s="39">
        <f>Q140/Summary!$Q$16</f>
        <v>0</v>
      </c>
      <c r="S140" s="39"/>
      <c r="T140" s="35"/>
      <c r="U140" s="40">
        <f t="shared" si="7"/>
        <v>0</v>
      </c>
    </row>
    <row r="141" spans="1:21" s="3" customFormat="1" ht="24.95" hidden="1" customHeight="1">
      <c r="A141" s="3" t="s">
        <v>985</v>
      </c>
      <c r="B141" s="3" t="s">
        <v>1070</v>
      </c>
      <c r="D141" s="26" t="s">
        <v>986</v>
      </c>
      <c r="E141" s="27"/>
      <c r="F141" s="27"/>
      <c r="G141" s="27"/>
      <c r="H141" s="27"/>
      <c r="I141" s="27"/>
      <c r="J141" s="27"/>
      <c r="K141" s="27"/>
      <c r="L141" s="27"/>
      <c r="M141" s="27"/>
      <c r="N141" s="27"/>
      <c r="O141" s="27"/>
      <c r="P141" s="27"/>
      <c r="Q141" s="41">
        <f t="shared" si="5"/>
        <v>0</v>
      </c>
      <c r="R141" s="39">
        <f>Q141/Summary!$Q$16</f>
        <v>0</v>
      </c>
      <c r="S141" s="39"/>
      <c r="T141" s="35"/>
      <c r="U141" s="40">
        <f t="shared" si="7"/>
        <v>0</v>
      </c>
    </row>
    <row r="142" spans="1:21" s="3" customFormat="1" ht="24.95" hidden="1" customHeight="1">
      <c r="A142" s="3" t="s">
        <v>987</v>
      </c>
      <c r="B142" s="3" t="s">
        <v>1070</v>
      </c>
      <c r="D142" s="26" t="s">
        <v>988</v>
      </c>
      <c r="E142" s="27"/>
      <c r="F142" s="27"/>
      <c r="G142" s="27"/>
      <c r="H142" s="27"/>
      <c r="I142" s="27"/>
      <c r="J142" s="27"/>
      <c r="K142" s="27"/>
      <c r="L142" s="27"/>
      <c r="M142" s="27"/>
      <c r="N142" s="27"/>
      <c r="O142" s="27"/>
      <c r="P142" s="27"/>
      <c r="Q142" s="41">
        <f t="shared" si="5"/>
        <v>0</v>
      </c>
      <c r="R142" s="39">
        <f>Q142/Summary!$Q$16</f>
        <v>0</v>
      </c>
      <c r="S142" s="39"/>
      <c r="T142" s="35"/>
      <c r="U142" s="40">
        <f t="shared" si="7"/>
        <v>0</v>
      </c>
    </row>
    <row r="143" spans="1:21" s="3" customFormat="1" ht="24.95" hidden="1" customHeight="1">
      <c r="A143" s="3" t="s">
        <v>989</v>
      </c>
      <c r="B143" s="3" t="s">
        <v>1070</v>
      </c>
      <c r="D143" s="26" t="s">
        <v>990</v>
      </c>
      <c r="E143" s="27"/>
      <c r="F143" s="27"/>
      <c r="G143" s="27"/>
      <c r="H143" s="27"/>
      <c r="I143" s="27"/>
      <c r="J143" s="27"/>
      <c r="K143" s="27"/>
      <c r="L143" s="27"/>
      <c r="M143" s="27"/>
      <c r="N143" s="27"/>
      <c r="O143" s="27"/>
      <c r="P143" s="27"/>
      <c r="Q143" s="41">
        <f t="shared" si="5"/>
        <v>0</v>
      </c>
      <c r="R143" s="39">
        <f>Q143/Summary!$Q$16</f>
        <v>0</v>
      </c>
      <c r="S143" s="39"/>
      <c r="T143" s="35"/>
      <c r="U143" s="40">
        <f t="shared" si="7"/>
        <v>0</v>
      </c>
    </row>
    <row r="144" spans="1:21" s="3" customFormat="1" ht="24.95" hidden="1" customHeight="1">
      <c r="A144" s="3" t="s">
        <v>991</v>
      </c>
      <c r="B144" s="3" t="s">
        <v>1070</v>
      </c>
      <c r="D144" s="26" t="s">
        <v>992</v>
      </c>
      <c r="E144" s="27"/>
      <c r="F144" s="27"/>
      <c r="G144" s="27"/>
      <c r="H144" s="27"/>
      <c r="I144" s="27"/>
      <c r="J144" s="27"/>
      <c r="K144" s="27"/>
      <c r="L144" s="27"/>
      <c r="M144" s="27"/>
      <c r="N144" s="27"/>
      <c r="O144" s="27"/>
      <c r="P144" s="27"/>
      <c r="Q144" s="41">
        <f t="shared" ref="Q144:Q156" si="8">SUM(E144:P144)</f>
        <v>0</v>
      </c>
      <c r="R144" s="39">
        <f>Q144/Summary!$Q$16</f>
        <v>0</v>
      </c>
      <c r="S144" s="39"/>
      <c r="T144" s="35"/>
      <c r="U144" s="40">
        <f t="shared" si="7"/>
        <v>0</v>
      </c>
    </row>
    <row r="145" spans="1:21" s="3" customFormat="1" ht="24.95" hidden="1" customHeight="1">
      <c r="A145" s="3" t="s">
        <v>993</v>
      </c>
      <c r="B145" s="3" t="s">
        <v>1070</v>
      </c>
      <c r="D145" s="26" t="s">
        <v>994</v>
      </c>
      <c r="E145" s="27"/>
      <c r="F145" s="27"/>
      <c r="G145" s="27"/>
      <c r="H145" s="27"/>
      <c r="I145" s="27"/>
      <c r="J145" s="27"/>
      <c r="K145" s="27"/>
      <c r="L145" s="27"/>
      <c r="M145" s="27"/>
      <c r="N145" s="27"/>
      <c r="O145" s="27"/>
      <c r="P145" s="27"/>
      <c r="Q145" s="41">
        <f t="shared" si="8"/>
        <v>0</v>
      </c>
      <c r="R145" s="39">
        <f>Q145/Summary!$Q$16</f>
        <v>0</v>
      </c>
      <c r="S145" s="39"/>
      <c r="T145" s="35"/>
      <c r="U145" s="40">
        <f t="shared" si="7"/>
        <v>0</v>
      </c>
    </row>
    <row r="146" spans="1:21" s="3" customFormat="1" ht="24.95" hidden="1" customHeight="1">
      <c r="A146" s="3" t="s">
        <v>995</v>
      </c>
      <c r="B146" s="3" t="s">
        <v>1070</v>
      </c>
      <c r="D146" s="26" t="s">
        <v>996</v>
      </c>
      <c r="E146" s="27"/>
      <c r="F146" s="27"/>
      <c r="G146" s="27"/>
      <c r="H146" s="27"/>
      <c r="I146" s="27"/>
      <c r="J146" s="27"/>
      <c r="K146" s="27"/>
      <c r="L146" s="27"/>
      <c r="M146" s="27"/>
      <c r="N146" s="27"/>
      <c r="O146" s="27"/>
      <c r="P146" s="27"/>
      <c r="Q146" s="41">
        <f t="shared" si="8"/>
        <v>0</v>
      </c>
      <c r="R146" s="39">
        <f>Q146/Summary!$Q$16</f>
        <v>0</v>
      </c>
      <c r="S146" s="39"/>
      <c r="T146" s="35"/>
      <c r="U146" s="40">
        <f t="shared" si="7"/>
        <v>0</v>
      </c>
    </row>
    <row r="147" spans="1:21" s="3" customFormat="1" ht="24.95" hidden="1" customHeight="1">
      <c r="A147" s="3" t="s">
        <v>997</v>
      </c>
      <c r="B147" s="3" t="s">
        <v>1070</v>
      </c>
      <c r="D147" s="26" t="s">
        <v>998</v>
      </c>
      <c r="E147" s="27"/>
      <c r="F147" s="27"/>
      <c r="G147" s="27"/>
      <c r="H147" s="27"/>
      <c r="I147" s="27"/>
      <c r="J147" s="27"/>
      <c r="K147" s="27"/>
      <c r="L147" s="27"/>
      <c r="M147" s="27"/>
      <c r="N147" s="27"/>
      <c r="O147" s="27"/>
      <c r="P147" s="27"/>
      <c r="Q147" s="41">
        <f t="shared" si="8"/>
        <v>0</v>
      </c>
      <c r="R147" s="39">
        <f>Q147/Summary!$Q$16</f>
        <v>0</v>
      </c>
      <c r="S147" s="39"/>
      <c r="T147" s="35"/>
      <c r="U147" s="40">
        <f t="shared" si="7"/>
        <v>0</v>
      </c>
    </row>
    <row r="148" spans="1:21" s="3" customFormat="1" ht="24.95" hidden="1" customHeight="1">
      <c r="A148" s="3" t="s">
        <v>999</v>
      </c>
      <c r="B148" s="3" t="s">
        <v>1070</v>
      </c>
      <c r="D148" s="26" t="s">
        <v>1000</v>
      </c>
      <c r="E148" s="27"/>
      <c r="F148" s="27"/>
      <c r="G148" s="27"/>
      <c r="H148" s="27"/>
      <c r="I148" s="27"/>
      <c r="J148" s="27"/>
      <c r="K148" s="27"/>
      <c r="L148" s="27"/>
      <c r="M148" s="27"/>
      <c r="N148" s="27"/>
      <c r="O148" s="27"/>
      <c r="P148" s="27"/>
      <c r="Q148" s="41">
        <f t="shared" si="8"/>
        <v>0</v>
      </c>
      <c r="R148" s="39">
        <f>Q148/Summary!$Q$16</f>
        <v>0</v>
      </c>
      <c r="S148" s="39"/>
      <c r="T148" s="35"/>
      <c r="U148" s="40">
        <f t="shared" si="7"/>
        <v>0</v>
      </c>
    </row>
    <row r="149" spans="1:21" s="3" customFormat="1" ht="24.95" hidden="1" customHeight="1">
      <c r="A149" s="3" t="s">
        <v>1001</v>
      </c>
      <c r="B149" s="3" t="s">
        <v>1070</v>
      </c>
      <c r="D149" s="26" t="s">
        <v>1002</v>
      </c>
      <c r="E149" s="27"/>
      <c r="F149" s="27"/>
      <c r="G149" s="27"/>
      <c r="H149" s="27"/>
      <c r="I149" s="27"/>
      <c r="J149" s="27"/>
      <c r="K149" s="27"/>
      <c r="L149" s="27"/>
      <c r="M149" s="27"/>
      <c r="N149" s="27"/>
      <c r="O149" s="27"/>
      <c r="P149" s="27"/>
      <c r="Q149" s="41">
        <f t="shared" si="8"/>
        <v>0</v>
      </c>
      <c r="R149" s="39">
        <f>Q149/Summary!$Q$16</f>
        <v>0</v>
      </c>
      <c r="S149" s="39"/>
      <c r="T149" s="35"/>
      <c r="U149" s="40">
        <f t="shared" si="7"/>
        <v>0</v>
      </c>
    </row>
    <row r="150" spans="1:21" s="3" customFormat="1" ht="24.95" hidden="1" customHeight="1">
      <c r="A150" s="3" t="s">
        <v>1003</v>
      </c>
      <c r="B150" s="3" t="s">
        <v>1070</v>
      </c>
      <c r="D150" s="26" t="s">
        <v>1004</v>
      </c>
      <c r="E150" s="27"/>
      <c r="F150" s="27"/>
      <c r="G150" s="27"/>
      <c r="H150" s="27"/>
      <c r="I150" s="27"/>
      <c r="J150" s="27"/>
      <c r="K150" s="27"/>
      <c r="L150" s="27"/>
      <c r="M150" s="27"/>
      <c r="N150" s="27"/>
      <c r="O150" s="27"/>
      <c r="P150" s="27"/>
      <c r="Q150" s="41">
        <f t="shared" si="8"/>
        <v>0</v>
      </c>
      <c r="R150" s="39">
        <f>Q150/Summary!$Q$16</f>
        <v>0</v>
      </c>
      <c r="S150" s="39"/>
      <c r="T150" s="35"/>
      <c r="U150" s="40">
        <f t="shared" si="7"/>
        <v>0</v>
      </c>
    </row>
    <row r="151" spans="1:21" s="3" customFormat="1" ht="24.95" hidden="1" customHeight="1">
      <c r="A151" s="3" t="s">
        <v>1005</v>
      </c>
      <c r="B151" s="3" t="s">
        <v>1070</v>
      </c>
      <c r="D151" s="26" t="s">
        <v>1006</v>
      </c>
      <c r="E151" s="27"/>
      <c r="F151" s="27"/>
      <c r="G151" s="27"/>
      <c r="H151" s="27"/>
      <c r="I151" s="27"/>
      <c r="J151" s="27"/>
      <c r="K151" s="27"/>
      <c r="L151" s="27"/>
      <c r="M151" s="27"/>
      <c r="N151" s="27"/>
      <c r="O151" s="27"/>
      <c r="P151" s="27"/>
      <c r="Q151" s="41">
        <f t="shared" si="8"/>
        <v>0</v>
      </c>
      <c r="R151" s="39">
        <f>Q151/Summary!$Q$16</f>
        <v>0</v>
      </c>
      <c r="S151" s="39"/>
      <c r="T151" s="35"/>
      <c r="U151" s="40">
        <f t="shared" ref="U151:U158" si="9">-IF(Q151-T151=0,0,(Q151-T151)/T151)</f>
        <v>0</v>
      </c>
    </row>
    <row r="152" spans="1:21" s="3" customFormat="1" ht="24.95" hidden="1" customHeight="1">
      <c r="A152" s="3" t="s">
        <v>1007</v>
      </c>
      <c r="B152" s="3" t="s">
        <v>1070</v>
      </c>
      <c r="D152" s="26" t="s">
        <v>1008</v>
      </c>
      <c r="E152" s="27"/>
      <c r="F152" s="27"/>
      <c r="G152" s="27"/>
      <c r="H152" s="27"/>
      <c r="I152" s="27"/>
      <c r="J152" s="27"/>
      <c r="K152" s="27"/>
      <c r="L152" s="27"/>
      <c r="M152" s="27"/>
      <c r="N152" s="27"/>
      <c r="O152" s="27"/>
      <c r="P152" s="27"/>
      <c r="Q152" s="41">
        <f t="shared" si="8"/>
        <v>0</v>
      </c>
      <c r="R152" s="39">
        <f>Q152/Summary!$Q$16</f>
        <v>0</v>
      </c>
      <c r="S152" s="39"/>
      <c r="T152" s="35"/>
      <c r="U152" s="40">
        <f t="shared" si="9"/>
        <v>0</v>
      </c>
    </row>
    <row r="153" spans="1:21" s="3" customFormat="1" ht="24.95" hidden="1" customHeight="1">
      <c r="A153" s="3" t="s">
        <v>1009</v>
      </c>
      <c r="B153" s="3" t="s">
        <v>1070</v>
      </c>
      <c r="D153" s="26" t="s">
        <v>1010</v>
      </c>
      <c r="E153" s="27"/>
      <c r="F153" s="27"/>
      <c r="G153" s="27"/>
      <c r="H153" s="27"/>
      <c r="I153" s="27"/>
      <c r="J153" s="27"/>
      <c r="K153" s="27"/>
      <c r="L153" s="27"/>
      <c r="M153" s="27"/>
      <c r="N153" s="27"/>
      <c r="O153" s="27"/>
      <c r="P153" s="27"/>
      <c r="Q153" s="41">
        <f t="shared" si="8"/>
        <v>0</v>
      </c>
      <c r="R153" s="39">
        <f>Q153/Summary!$Q$16</f>
        <v>0</v>
      </c>
      <c r="S153" s="39"/>
      <c r="T153" s="35"/>
      <c r="U153" s="40">
        <f t="shared" si="9"/>
        <v>0</v>
      </c>
    </row>
    <row r="154" spans="1:21" s="3" customFormat="1" ht="24.95" hidden="1" customHeight="1">
      <c r="A154" s="3" t="s">
        <v>1011</v>
      </c>
      <c r="B154" s="3" t="s">
        <v>1070</v>
      </c>
      <c r="D154" s="26" t="s">
        <v>1012</v>
      </c>
      <c r="E154" s="27"/>
      <c r="F154" s="27"/>
      <c r="G154" s="27"/>
      <c r="H154" s="27"/>
      <c r="I154" s="27"/>
      <c r="J154" s="27"/>
      <c r="K154" s="27"/>
      <c r="L154" s="27"/>
      <c r="M154" s="27"/>
      <c r="N154" s="27"/>
      <c r="O154" s="27"/>
      <c r="P154" s="27"/>
      <c r="Q154" s="41">
        <f t="shared" si="8"/>
        <v>0</v>
      </c>
      <c r="R154" s="39">
        <f>Q154/Summary!$Q$16</f>
        <v>0</v>
      </c>
      <c r="S154" s="39"/>
      <c r="T154" s="35"/>
      <c r="U154" s="40">
        <f t="shared" si="9"/>
        <v>0</v>
      </c>
    </row>
    <row r="155" spans="1:21" s="3" customFormat="1" ht="24.95" hidden="1" customHeight="1">
      <c r="A155" s="3" t="s">
        <v>1013</v>
      </c>
      <c r="B155" s="3" t="s">
        <v>1070</v>
      </c>
      <c r="D155" s="26" t="s">
        <v>1014</v>
      </c>
      <c r="E155" s="27"/>
      <c r="F155" s="27"/>
      <c r="G155" s="27"/>
      <c r="H155" s="27"/>
      <c r="I155" s="27"/>
      <c r="J155" s="27"/>
      <c r="K155" s="27"/>
      <c r="L155" s="27"/>
      <c r="M155" s="27"/>
      <c r="N155" s="27"/>
      <c r="O155" s="27"/>
      <c r="P155" s="27"/>
      <c r="Q155" s="41">
        <f t="shared" si="8"/>
        <v>0</v>
      </c>
      <c r="R155" s="39">
        <f>Q155/Summary!$Q$16</f>
        <v>0</v>
      </c>
      <c r="S155" s="39"/>
      <c r="T155" s="35"/>
      <c r="U155" s="40">
        <f t="shared" si="9"/>
        <v>0</v>
      </c>
    </row>
    <row r="156" spans="1:21" s="3" customFormat="1" ht="24.95" customHeight="1">
      <c r="A156" s="3" t="s">
        <v>611</v>
      </c>
      <c r="B156" s="3" t="s">
        <v>1070</v>
      </c>
      <c r="D156" s="26" t="s">
        <v>612</v>
      </c>
      <c r="E156" s="27">
        <v>500</v>
      </c>
      <c r="F156" s="27">
        <v>500</v>
      </c>
      <c r="G156" s="27">
        <v>500</v>
      </c>
      <c r="H156" s="27">
        <v>500</v>
      </c>
      <c r="I156" s="27">
        <v>500</v>
      </c>
      <c r="J156" s="27">
        <v>500</v>
      </c>
      <c r="K156" s="27">
        <v>500</v>
      </c>
      <c r="L156" s="27">
        <v>500</v>
      </c>
      <c r="M156" s="27">
        <v>500</v>
      </c>
      <c r="N156" s="27">
        <v>500</v>
      </c>
      <c r="O156" s="27">
        <v>500</v>
      </c>
      <c r="P156" s="27">
        <v>500</v>
      </c>
      <c r="Q156" s="41">
        <f t="shared" si="8"/>
        <v>6000</v>
      </c>
      <c r="R156" s="39">
        <f>Q156/Summary!$Q$16</f>
        <v>1.8040885626113205E-4</v>
      </c>
      <c r="S156" s="39"/>
      <c r="T156" s="35"/>
      <c r="U156" s="40" t="e">
        <f t="shared" si="9"/>
        <v>#DIV/0!</v>
      </c>
    </row>
    <row r="157" spans="1:21" s="19" customFormat="1" ht="24.95" customHeight="1">
      <c r="D157" s="21" t="s">
        <v>613</v>
      </c>
      <c r="E157" s="45">
        <f>SUM(E15:E156)</f>
        <v>51000</v>
      </c>
      <c r="F157" s="45">
        <f t="shared" ref="F157:Q157" si="10">SUM(F15:F156)</f>
        <v>51000</v>
      </c>
      <c r="G157" s="45">
        <f t="shared" si="10"/>
        <v>51000</v>
      </c>
      <c r="H157" s="45">
        <f t="shared" si="10"/>
        <v>51000</v>
      </c>
      <c r="I157" s="45">
        <f t="shared" si="10"/>
        <v>51000</v>
      </c>
      <c r="J157" s="45">
        <f t="shared" si="10"/>
        <v>51000</v>
      </c>
      <c r="K157" s="45">
        <f t="shared" si="10"/>
        <v>51000</v>
      </c>
      <c r="L157" s="45">
        <f t="shared" si="10"/>
        <v>51000</v>
      </c>
      <c r="M157" s="45">
        <f t="shared" si="10"/>
        <v>51000</v>
      </c>
      <c r="N157" s="45">
        <f t="shared" si="10"/>
        <v>51000</v>
      </c>
      <c r="O157" s="45">
        <f t="shared" si="10"/>
        <v>51000</v>
      </c>
      <c r="P157" s="45">
        <f t="shared" si="10"/>
        <v>51000</v>
      </c>
      <c r="Q157" s="45">
        <f t="shared" si="10"/>
        <v>612000</v>
      </c>
      <c r="R157" s="39">
        <f>Q157/Summary!$Q$16</f>
        <v>1.8401703338635469E-2</v>
      </c>
      <c r="S157" s="39"/>
      <c r="T157" s="35"/>
      <c r="U157" s="40" t="e">
        <f t="shared" si="9"/>
        <v>#DIV/0!</v>
      </c>
    </row>
    <row r="158" spans="1:21" s="19" customFormat="1" ht="24.95" customHeight="1">
      <c r="A158" s="19" t="s">
        <v>1071</v>
      </c>
      <c r="B158" s="3" t="s">
        <v>1070</v>
      </c>
      <c r="D158" s="21" t="s">
        <v>617</v>
      </c>
      <c r="E158" s="27">
        <f>-E12-E157</f>
        <v>-88400</v>
      </c>
      <c r="F158" s="27">
        <f t="shared" ref="F158:P158" si="11">-F12-F157</f>
        <v>-92400</v>
      </c>
      <c r="G158" s="27">
        <f t="shared" si="11"/>
        <v>-86400</v>
      </c>
      <c r="H158" s="27">
        <f t="shared" si="11"/>
        <v>-88400</v>
      </c>
      <c r="I158" s="27">
        <f t="shared" si="11"/>
        <v>-88400</v>
      </c>
      <c r="J158" s="27">
        <f t="shared" si="11"/>
        <v>-88400</v>
      </c>
      <c r="K158" s="27">
        <f t="shared" si="11"/>
        <v>-86400</v>
      </c>
      <c r="L158" s="27">
        <f t="shared" si="11"/>
        <v>-86400</v>
      </c>
      <c r="M158" s="27">
        <f t="shared" si="11"/>
        <v>-88400</v>
      </c>
      <c r="N158" s="27">
        <f t="shared" si="11"/>
        <v>-92400</v>
      </c>
      <c r="O158" s="27">
        <f t="shared" si="11"/>
        <v>-86400</v>
      </c>
      <c r="P158" s="27">
        <f t="shared" si="11"/>
        <v>-86400</v>
      </c>
      <c r="Q158" s="41">
        <f>SUM(E158:P158)</f>
        <v>-1058800</v>
      </c>
      <c r="T158" s="35"/>
      <c r="U158" s="40" t="e">
        <f t="shared" si="9"/>
        <v>#DIV/0!</v>
      </c>
    </row>
    <row r="159" spans="1:21" s="42" customFormat="1" ht="24.95" customHeight="1">
      <c r="D159" s="46" t="s">
        <v>351</v>
      </c>
      <c r="E159" s="47"/>
      <c r="F159" s="47"/>
      <c r="G159" s="47"/>
      <c r="H159" s="47"/>
      <c r="I159" s="47"/>
      <c r="J159" s="47"/>
      <c r="K159" s="47"/>
      <c r="L159" s="47"/>
      <c r="M159" s="47"/>
      <c r="N159" s="47"/>
      <c r="O159" s="47"/>
      <c r="P159" s="47"/>
      <c r="Q159" s="47">
        <f>Q158+'Rooms Summary'!Q154+'F&amp;B Summary'!Q201+OOD!Q96+'A&amp;G'!Q194+'R&amp;M'!Q193+'S&amp;M'!Q192+Laundry!Q191</f>
        <v>-2.9103830456733704E-11</v>
      </c>
      <c r="T159" s="35"/>
      <c r="U159" s="40"/>
    </row>
    <row r="160" spans="1:21" s="3" customFormat="1" ht="24.95" customHeight="1">
      <c r="D160" s="19" t="s">
        <v>618</v>
      </c>
      <c r="E160" s="48"/>
      <c r="F160" s="48"/>
      <c r="G160" s="48"/>
      <c r="H160" s="48"/>
      <c r="I160" s="48"/>
      <c r="T160" s="35"/>
      <c r="U160" s="40"/>
    </row>
    <row r="161" spans="1:21" s="3" customFormat="1" ht="24.95" customHeight="1">
      <c r="D161" s="19" t="s">
        <v>444</v>
      </c>
      <c r="E161" s="48"/>
      <c r="F161" s="48"/>
      <c r="G161" s="48"/>
      <c r="H161" s="48"/>
      <c r="I161" s="48"/>
      <c r="T161" s="35"/>
      <c r="U161" s="40"/>
    </row>
    <row r="162" spans="1:21" s="3" customFormat="1" ht="24.95" customHeight="1">
      <c r="A162" s="273" t="s">
        <v>295</v>
      </c>
      <c r="B162" s="3" t="s">
        <v>1070</v>
      </c>
      <c r="D162" s="26" t="s">
        <v>297</v>
      </c>
      <c r="E162" s="27"/>
      <c r="F162" s="27"/>
      <c r="G162" s="27"/>
      <c r="H162" s="27"/>
      <c r="I162" s="27"/>
      <c r="J162" s="27"/>
      <c r="K162" s="27"/>
      <c r="L162" s="27"/>
      <c r="M162" s="27"/>
      <c r="N162" s="27"/>
      <c r="O162" s="27"/>
      <c r="P162" s="27"/>
      <c r="Q162" s="41">
        <f>SUM(E162:P162)</f>
        <v>0</v>
      </c>
      <c r="R162" s="39">
        <f>Q162/Summary!$Q$16</f>
        <v>0</v>
      </c>
      <c r="S162" s="39"/>
      <c r="T162" s="35"/>
      <c r="U162" s="40">
        <f>-IF(Q162-T162=0,0,(Q162-T162)/T162)</f>
        <v>0</v>
      </c>
    </row>
    <row r="163" spans="1:21" s="3" customFormat="1" ht="24.95" customHeight="1">
      <c r="A163" s="50" t="s">
        <v>298</v>
      </c>
      <c r="B163" s="3" t="s">
        <v>1070</v>
      </c>
      <c r="D163" s="26" t="s">
        <v>447</v>
      </c>
      <c r="E163" s="27"/>
      <c r="F163" s="27"/>
      <c r="G163" s="27"/>
      <c r="H163" s="27"/>
      <c r="I163" s="27"/>
      <c r="J163" s="27"/>
      <c r="K163" s="27"/>
      <c r="L163" s="27"/>
      <c r="M163" s="27"/>
      <c r="N163" s="27"/>
      <c r="O163" s="27"/>
      <c r="P163" s="27"/>
      <c r="Q163" s="41">
        <f>SUM(E163:P163)</f>
        <v>0</v>
      </c>
      <c r="R163" s="39">
        <f>Q163/Summary!$Q$16</f>
        <v>0</v>
      </c>
      <c r="S163" s="39"/>
      <c r="T163" s="35"/>
      <c r="U163" s="40">
        <f>-IF(Q163-T163=0,0,(Q163-T163)/T163)</f>
        <v>0</v>
      </c>
    </row>
    <row r="164" spans="1:21" s="3" customFormat="1" ht="24.95" customHeight="1">
      <c r="B164" s="51"/>
      <c r="D164" s="21" t="s">
        <v>450</v>
      </c>
      <c r="E164" s="52">
        <f>SUM(E162:E163)</f>
        <v>0</v>
      </c>
      <c r="F164" s="52">
        <f t="shared" ref="F164:Q164" si="12">SUM(F162:F163)</f>
        <v>0</v>
      </c>
      <c r="G164" s="52">
        <f t="shared" si="12"/>
        <v>0</v>
      </c>
      <c r="H164" s="52">
        <f t="shared" si="12"/>
        <v>0</v>
      </c>
      <c r="I164" s="52">
        <f t="shared" si="12"/>
        <v>0</v>
      </c>
      <c r="J164" s="52">
        <f t="shared" si="12"/>
        <v>0</v>
      </c>
      <c r="K164" s="52">
        <f t="shared" si="12"/>
        <v>0</v>
      </c>
      <c r="L164" s="52">
        <f t="shared" si="12"/>
        <v>0</v>
      </c>
      <c r="M164" s="52">
        <f t="shared" si="12"/>
        <v>0</v>
      </c>
      <c r="N164" s="52">
        <f t="shared" si="12"/>
        <v>0</v>
      </c>
      <c r="O164" s="52">
        <f t="shared" si="12"/>
        <v>0</v>
      </c>
      <c r="P164" s="52">
        <f t="shared" si="12"/>
        <v>0</v>
      </c>
      <c r="Q164" s="52">
        <f t="shared" si="12"/>
        <v>0</v>
      </c>
      <c r="R164" s="39">
        <f>Q164/Summary!$Q$16</f>
        <v>0</v>
      </c>
      <c r="S164" s="39"/>
      <c r="T164" s="35"/>
      <c r="U164" s="40">
        <f>-IF(Q164-T164=0,0,(Q164-T164)/T164)</f>
        <v>0</v>
      </c>
    </row>
    <row r="165" spans="1:21" s="3" customFormat="1" ht="24.95" customHeight="1">
      <c r="B165" s="51"/>
      <c r="E165" s="53"/>
      <c r="F165" s="53"/>
      <c r="G165" s="53"/>
      <c r="H165" s="53"/>
      <c r="I165" s="53"/>
      <c r="J165" s="53"/>
      <c r="K165" s="53"/>
      <c r="L165" s="53"/>
      <c r="M165" s="53"/>
      <c r="N165" s="53"/>
      <c r="O165" s="53"/>
      <c r="P165" s="53"/>
      <c r="Q165" s="53"/>
      <c r="T165" s="35"/>
      <c r="U165" s="40"/>
    </row>
    <row r="166" spans="1:21" s="3" customFormat="1" ht="24.95" customHeight="1">
      <c r="A166" s="271" t="s">
        <v>619</v>
      </c>
      <c r="B166" s="3" t="s">
        <v>1070</v>
      </c>
      <c r="D166" s="26" t="s">
        <v>307</v>
      </c>
      <c r="E166" s="27"/>
      <c r="F166" s="27"/>
      <c r="G166" s="27"/>
      <c r="H166" s="27"/>
      <c r="I166" s="27"/>
      <c r="J166" s="27"/>
      <c r="K166" s="27"/>
      <c r="L166" s="27"/>
      <c r="M166" s="27"/>
      <c r="N166" s="27"/>
      <c r="O166" s="27"/>
      <c r="P166" s="27"/>
      <c r="Q166" s="41">
        <f>SUM(E166:P166)</f>
        <v>0</v>
      </c>
      <c r="R166" s="39">
        <f>Q166/Summary!$Q$16</f>
        <v>0</v>
      </c>
      <c r="S166" s="39"/>
      <c r="T166" s="35"/>
      <c r="U166" s="40">
        <f>-IF(Q166-T166=0,0,(Q166-T166)/T166)</f>
        <v>0</v>
      </c>
    </row>
    <row r="167" spans="1:21" s="3" customFormat="1" ht="24.95" customHeight="1">
      <c r="A167" s="54" t="s">
        <v>308</v>
      </c>
      <c r="B167" s="3" t="s">
        <v>1070</v>
      </c>
      <c r="D167" s="26" t="s">
        <v>309</v>
      </c>
      <c r="E167" s="27">
        <f>ROUND(27200/12*1.5,2)</f>
        <v>3400</v>
      </c>
      <c r="F167" s="27">
        <f t="shared" ref="F167:P167" si="13">ROUND(27200/12*1.5,2)</f>
        <v>3400</v>
      </c>
      <c r="G167" s="27">
        <f t="shared" si="13"/>
        <v>3400</v>
      </c>
      <c r="H167" s="27">
        <f t="shared" si="13"/>
        <v>3400</v>
      </c>
      <c r="I167" s="27">
        <f t="shared" si="13"/>
        <v>3400</v>
      </c>
      <c r="J167" s="27">
        <f t="shared" si="13"/>
        <v>3400</v>
      </c>
      <c r="K167" s="27">
        <f t="shared" si="13"/>
        <v>3400</v>
      </c>
      <c r="L167" s="27">
        <f t="shared" si="13"/>
        <v>3400</v>
      </c>
      <c r="M167" s="27">
        <f t="shared" si="13"/>
        <v>3400</v>
      </c>
      <c r="N167" s="27">
        <f t="shared" si="13"/>
        <v>3400</v>
      </c>
      <c r="O167" s="27">
        <f t="shared" si="13"/>
        <v>3400</v>
      </c>
      <c r="P167" s="27">
        <f t="shared" si="13"/>
        <v>3400</v>
      </c>
      <c r="Q167" s="41">
        <f t="shared" ref="Q167:Q171" si="14">SUM(E167:P167)</f>
        <v>40800</v>
      </c>
      <c r="R167" s="39">
        <f>Q167/Summary!$Q$16</f>
        <v>1.2267802225756979E-3</v>
      </c>
      <c r="S167" s="39"/>
      <c r="T167" s="35"/>
      <c r="U167" s="40" t="e">
        <f>-IF(Q167-T167=0,0,(Q167-T167)/T167)</f>
        <v>#DIV/0!</v>
      </c>
    </row>
    <row r="168" spans="1:21" s="3" customFormat="1" ht="24.95" customHeight="1">
      <c r="A168" s="271" t="s">
        <v>620</v>
      </c>
      <c r="B168" s="3" t="s">
        <v>1070</v>
      </c>
      <c r="D168" s="26" t="s">
        <v>311</v>
      </c>
      <c r="E168" s="27"/>
      <c r="F168" s="27"/>
      <c r="G168" s="27"/>
      <c r="H168" s="27"/>
      <c r="I168" s="27"/>
      <c r="J168" s="27"/>
      <c r="K168" s="27"/>
      <c r="L168" s="27"/>
      <c r="M168" s="27"/>
      <c r="N168" s="27"/>
      <c r="O168" s="27"/>
      <c r="P168" s="27"/>
      <c r="Q168" s="41">
        <f t="shared" si="14"/>
        <v>0</v>
      </c>
      <c r="R168" s="39">
        <f>Q168/Summary!$Q$16</f>
        <v>0</v>
      </c>
      <c r="S168" s="39"/>
      <c r="T168" s="35"/>
      <c r="U168" s="40"/>
    </row>
    <row r="169" spans="1:21" s="3" customFormat="1" ht="24.95" customHeight="1">
      <c r="A169" s="271" t="s">
        <v>621</v>
      </c>
      <c r="B169" s="3" t="s">
        <v>1070</v>
      </c>
      <c r="D169" s="26" t="s">
        <v>313</v>
      </c>
      <c r="E169" s="27"/>
      <c r="F169" s="27"/>
      <c r="G169" s="27"/>
      <c r="H169" s="27"/>
      <c r="I169" s="27"/>
      <c r="J169" s="27"/>
      <c r="K169" s="27"/>
      <c r="L169" s="27"/>
      <c r="M169" s="27"/>
      <c r="N169" s="27"/>
      <c r="O169" s="27"/>
      <c r="P169" s="27"/>
      <c r="Q169" s="41">
        <f t="shared" si="14"/>
        <v>0</v>
      </c>
      <c r="R169" s="39">
        <f>Q169/Summary!$Q$16</f>
        <v>0</v>
      </c>
      <c r="S169" s="39"/>
      <c r="T169" s="35"/>
      <c r="U169" s="40">
        <f>-IF(Q169-T169=0,0,(Q169-T169)/T169)</f>
        <v>0</v>
      </c>
    </row>
    <row r="170" spans="1:21" s="3" customFormat="1" ht="24.95" customHeight="1">
      <c r="A170" s="271" t="s">
        <v>622</v>
      </c>
      <c r="B170" s="3" t="s">
        <v>1070</v>
      </c>
      <c r="D170" s="26" t="s">
        <v>315</v>
      </c>
      <c r="E170" s="27"/>
      <c r="F170" s="27"/>
      <c r="G170" s="27"/>
      <c r="H170" s="27"/>
      <c r="I170" s="27"/>
      <c r="J170" s="27"/>
      <c r="K170" s="27"/>
      <c r="L170" s="27"/>
      <c r="M170" s="27"/>
      <c r="N170" s="27"/>
      <c r="O170" s="27"/>
      <c r="P170" s="27"/>
      <c r="Q170" s="41">
        <f t="shared" ref="Q170" si="15">SUM(E170:P170)</f>
        <v>0</v>
      </c>
      <c r="R170" s="39">
        <f>Q170/Summary!$Q$16</f>
        <v>0</v>
      </c>
      <c r="S170" s="39"/>
      <c r="T170" s="35"/>
      <c r="U170" s="40">
        <f>-IF(Q170-T170=0,0,(Q170-T170)/T170)</f>
        <v>0</v>
      </c>
    </row>
    <row r="171" spans="1:21" s="3" customFormat="1" ht="24.95" customHeight="1">
      <c r="A171" s="271" t="s">
        <v>622</v>
      </c>
      <c r="B171" s="3" t="s">
        <v>1070</v>
      </c>
      <c r="D171" s="26" t="s">
        <v>1212</v>
      </c>
      <c r="E171" s="27">
        <v>34000</v>
      </c>
      <c r="F171" s="27">
        <v>38000</v>
      </c>
      <c r="G171" s="27">
        <v>32000</v>
      </c>
      <c r="H171" s="27">
        <v>34000</v>
      </c>
      <c r="I171" s="27">
        <v>34000</v>
      </c>
      <c r="J171" s="27">
        <v>34000</v>
      </c>
      <c r="K171" s="27">
        <v>32000</v>
      </c>
      <c r="L171" s="27">
        <v>32000</v>
      </c>
      <c r="M171" s="27">
        <v>34000</v>
      </c>
      <c r="N171" s="27">
        <v>38000</v>
      </c>
      <c r="O171" s="27">
        <v>32000</v>
      </c>
      <c r="P171" s="27">
        <v>32000</v>
      </c>
      <c r="Q171" s="41">
        <f t="shared" si="14"/>
        <v>406000</v>
      </c>
      <c r="R171" s="39">
        <f>Q171/Summary!$Q$16</f>
        <v>1.2207665940336601E-2</v>
      </c>
      <c r="S171" s="39"/>
      <c r="T171" s="35"/>
      <c r="U171" s="40" t="e">
        <f>-IF(Q171-T171=0,0,(Q171-T171)/T171)</f>
        <v>#DIV/0!</v>
      </c>
    </row>
    <row r="172" spans="1:21" s="19" customFormat="1" ht="24.95" customHeight="1">
      <c r="A172" s="54"/>
      <c r="B172" s="51"/>
      <c r="D172" s="19" t="s">
        <v>316</v>
      </c>
      <c r="E172" s="52">
        <f>SUM(E166:E171)</f>
        <v>37400</v>
      </c>
      <c r="F172" s="52">
        <f t="shared" ref="F172:P172" si="16">SUM(F166:F171)</f>
        <v>41400</v>
      </c>
      <c r="G172" s="52">
        <f t="shared" si="16"/>
        <v>35400</v>
      </c>
      <c r="H172" s="52">
        <f t="shared" si="16"/>
        <v>37400</v>
      </c>
      <c r="I172" s="52">
        <f t="shared" si="16"/>
        <v>37400</v>
      </c>
      <c r="J172" s="52">
        <f t="shared" si="16"/>
        <v>37400</v>
      </c>
      <c r="K172" s="52">
        <f t="shared" si="16"/>
        <v>35400</v>
      </c>
      <c r="L172" s="52">
        <f t="shared" si="16"/>
        <v>35400</v>
      </c>
      <c r="M172" s="52">
        <f t="shared" si="16"/>
        <v>37400</v>
      </c>
      <c r="N172" s="52">
        <f t="shared" si="16"/>
        <v>41400</v>
      </c>
      <c r="O172" s="52">
        <f t="shared" si="16"/>
        <v>35400</v>
      </c>
      <c r="P172" s="52">
        <f t="shared" si="16"/>
        <v>35400</v>
      </c>
      <c r="Q172" s="52">
        <f t="shared" ref="Q172" si="17">SUM(Q166:Q171)</f>
        <v>446800</v>
      </c>
      <c r="R172" s="39">
        <f>Q172/Summary!$Q$16</f>
        <v>1.3434446162912299E-2</v>
      </c>
      <c r="S172" s="39"/>
      <c r="T172" s="35"/>
      <c r="U172" s="40" t="e">
        <f>-IF(Q172-T172=0,0,(Q172-T172)/T172)</f>
        <v>#DIV/0!</v>
      </c>
    </row>
    <row r="173" spans="1:21" s="3" customFormat="1" ht="24.95" customHeight="1">
      <c r="A173" s="50"/>
      <c r="D173" s="19"/>
      <c r="E173" s="53"/>
      <c r="F173" s="53"/>
      <c r="G173" s="53"/>
      <c r="H173" s="53"/>
      <c r="I173" s="53"/>
      <c r="J173" s="53"/>
      <c r="K173" s="53"/>
      <c r="L173" s="53"/>
      <c r="M173" s="53"/>
      <c r="N173" s="53"/>
      <c r="O173" s="53"/>
      <c r="P173" s="53"/>
      <c r="Q173" s="53"/>
      <c r="T173" s="35"/>
      <c r="U173" s="40"/>
    </row>
    <row r="174" spans="1:21" s="3" customFormat="1" ht="24.95" customHeight="1">
      <c r="A174" s="271" t="s">
        <v>625</v>
      </c>
      <c r="B174" s="3" t="s">
        <v>1070</v>
      </c>
      <c r="D174" s="26" t="s">
        <v>318</v>
      </c>
      <c r="E174" s="27"/>
      <c r="F174" s="27"/>
      <c r="G174" s="27"/>
      <c r="H174" s="27"/>
      <c r="I174" s="27"/>
      <c r="J174" s="27"/>
      <c r="K174" s="27"/>
      <c r="L174" s="27"/>
      <c r="M174" s="27"/>
      <c r="N174" s="27"/>
      <c r="O174" s="27"/>
      <c r="P174" s="27"/>
      <c r="Q174" s="41">
        <f>SUM(E174:P174)</f>
        <v>0</v>
      </c>
      <c r="R174" s="39">
        <f>Q174/Summary!$Q$16</f>
        <v>0</v>
      </c>
      <c r="S174" s="39"/>
      <c r="T174" s="35"/>
      <c r="U174" s="40">
        <f t="shared" ref="U174:U182" si="18">-IF(Q174-T174=0,0,(Q174-T174)/T174)</f>
        <v>0</v>
      </c>
    </row>
    <row r="175" spans="1:21" s="3" customFormat="1" ht="24.95" customHeight="1">
      <c r="A175" s="271" t="s">
        <v>626</v>
      </c>
      <c r="B175" s="3" t="s">
        <v>1070</v>
      </c>
      <c r="D175" s="26" t="s">
        <v>320</v>
      </c>
      <c r="E175" s="27"/>
      <c r="F175" s="27"/>
      <c r="G175" s="27"/>
      <c r="H175" s="27"/>
      <c r="I175" s="27"/>
      <c r="J175" s="27"/>
      <c r="K175" s="27"/>
      <c r="L175" s="27"/>
      <c r="M175" s="27"/>
      <c r="N175" s="27"/>
      <c r="O175" s="27"/>
      <c r="P175" s="27"/>
      <c r="Q175" s="41">
        <f t="shared" ref="Q175:Q181" si="19">SUM(E175:P175)</f>
        <v>0</v>
      </c>
      <c r="R175" s="39">
        <f>Q175/Summary!$Q$16</f>
        <v>0</v>
      </c>
      <c r="S175" s="39"/>
      <c r="T175" s="35"/>
      <c r="U175" s="40">
        <f t="shared" si="18"/>
        <v>0</v>
      </c>
    </row>
    <row r="176" spans="1:21" s="3" customFormat="1" ht="24.95" customHeight="1">
      <c r="A176" s="271" t="s">
        <v>627</v>
      </c>
      <c r="B176" s="3" t="s">
        <v>1070</v>
      </c>
      <c r="D176" s="26" t="s">
        <v>322</v>
      </c>
      <c r="E176" s="27"/>
      <c r="F176" s="27"/>
      <c r="G176" s="27"/>
      <c r="H176" s="27"/>
      <c r="I176" s="27"/>
      <c r="J176" s="27"/>
      <c r="K176" s="27"/>
      <c r="L176" s="27"/>
      <c r="M176" s="27"/>
      <c r="N176" s="27"/>
      <c r="O176" s="27"/>
      <c r="P176" s="27"/>
      <c r="Q176" s="41">
        <f t="shared" si="19"/>
        <v>0</v>
      </c>
      <c r="R176" s="39">
        <f>Q176/Summary!$Q$16</f>
        <v>0</v>
      </c>
      <c r="S176" s="39"/>
      <c r="T176" s="35"/>
      <c r="U176" s="40">
        <f t="shared" si="18"/>
        <v>0</v>
      </c>
    </row>
    <row r="177" spans="1:21" s="3" customFormat="1" ht="24.95" customHeight="1">
      <c r="A177" s="271" t="s">
        <v>628</v>
      </c>
      <c r="B177" s="3" t="s">
        <v>1070</v>
      </c>
      <c r="D177" s="26" t="s">
        <v>324</v>
      </c>
      <c r="E177" s="27"/>
      <c r="F177" s="27"/>
      <c r="G177" s="27"/>
      <c r="H177" s="27"/>
      <c r="I177" s="27"/>
      <c r="J177" s="27"/>
      <c r="K177" s="27"/>
      <c r="L177" s="27"/>
      <c r="M177" s="27"/>
      <c r="N177" s="27"/>
      <c r="O177" s="27"/>
      <c r="P177" s="27"/>
      <c r="Q177" s="41">
        <f t="shared" si="19"/>
        <v>0</v>
      </c>
      <c r="R177" s="39">
        <f>Q177/Summary!$Q$16</f>
        <v>0</v>
      </c>
      <c r="S177" s="39"/>
      <c r="T177" s="35"/>
      <c r="U177" s="40">
        <f t="shared" si="18"/>
        <v>0</v>
      </c>
    </row>
    <row r="178" spans="1:21" s="3" customFormat="1" ht="24.95" customHeight="1">
      <c r="A178" s="271" t="s">
        <v>629</v>
      </c>
      <c r="B178" s="3" t="s">
        <v>1070</v>
      </c>
      <c r="D178" s="26" t="s">
        <v>326</v>
      </c>
      <c r="E178" s="27"/>
      <c r="F178" s="27"/>
      <c r="G178" s="27"/>
      <c r="H178" s="27"/>
      <c r="I178" s="27"/>
      <c r="J178" s="27"/>
      <c r="K178" s="27"/>
      <c r="L178" s="27"/>
      <c r="M178" s="27"/>
      <c r="N178" s="27"/>
      <c r="O178" s="27"/>
      <c r="P178" s="27"/>
      <c r="Q178" s="41">
        <f t="shared" si="19"/>
        <v>0</v>
      </c>
      <c r="R178" s="39">
        <f>Q178/Summary!$Q$16</f>
        <v>0</v>
      </c>
      <c r="S178" s="39"/>
      <c r="T178" s="35"/>
      <c r="U178" s="40">
        <f t="shared" si="18"/>
        <v>0</v>
      </c>
    </row>
    <row r="179" spans="1:21" s="3" customFormat="1" ht="24.95" customHeight="1">
      <c r="A179" s="271" t="s">
        <v>630</v>
      </c>
      <c r="B179" s="3" t="s">
        <v>1070</v>
      </c>
      <c r="D179" s="26" t="s">
        <v>328</v>
      </c>
      <c r="E179" s="27"/>
      <c r="F179" s="27"/>
      <c r="G179" s="27"/>
      <c r="H179" s="27"/>
      <c r="I179" s="27"/>
      <c r="J179" s="27"/>
      <c r="K179" s="27"/>
      <c r="L179" s="27"/>
      <c r="M179" s="27"/>
      <c r="N179" s="27"/>
      <c r="O179" s="27"/>
      <c r="P179" s="27"/>
      <c r="Q179" s="41">
        <f t="shared" si="19"/>
        <v>0</v>
      </c>
      <c r="R179" s="39">
        <f>Q179/Summary!$Q$16</f>
        <v>0</v>
      </c>
      <c r="S179" s="39"/>
      <c r="T179" s="35"/>
      <c r="U179" s="40">
        <f t="shared" si="18"/>
        <v>0</v>
      </c>
    </row>
    <row r="180" spans="1:21" s="3" customFormat="1" ht="24.95" customHeight="1">
      <c r="A180" s="271" t="s">
        <v>631</v>
      </c>
      <c r="B180" s="3" t="s">
        <v>1070</v>
      </c>
      <c r="D180" s="26" t="s">
        <v>330</v>
      </c>
      <c r="E180" s="27"/>
      <c r="F180" s="27"/>
      <c r="G180" s="27"/>
      <c r="H180" s="27"/>
      <c r="I180" s="27"/>
      <c r="J180" s="27"/>
      <c r="K180" s="27"/>
      <c r="L180" s="27"/>
      <c r="M180" s="27"/>
      <c r="N180" s="27"/>
      <c r="O180" s="27"/>
      <c r="P180" s="27"/>
      <c r="Q180" s="41">
        <f t="shared" si="19"/>
        <v>0</v>
      </c>
      <c r="R180" s="39">
        <f>Q180/Summary!$Q$16</f>
        <v>0</v>
      </c>
      <c r="S180" s="39"/>
      <c r="T180" s="35"/>
      <c r="U180" s="40">
        <f t="shared" si="18"/>
        <v>0</v>
      </c>
    </row>
    <row r="181" spans="1:21" s="3" customFormat="1" ht="24.95" customHeight="1">
      <c r="A181" s="271" t="s">
        <v>632</v>
      </c>
      <c r="B181" s="3" t="s">
        <v>1070</v>
      </c>
      <c r="D181" s="26" t="s">
        <v>332</v>
      </c>
      <c r="E181" s="27"/>
      <c r="F181" s="27"/>
      <c r="G181" s="27"/>
      <c r="H181" s="27"/>
      <c r="I181" s="27"/>
      <c r="J181" s="27"/>
      <c r="K181" s="27"/>
      <c r="L181" s="27"/>
      <c r="M181" s="27"/>
      <c r="N181" s="27"/>
      <c r="O181" s="27"/>
      <c r="P181" s="27"/>
      <c r="Q181" s="41">
        <f t="shared" si="19"/>
        <v>0</v>
      </c>
      <c r="R181" s="39">
        <f>Q181/Summary!$Q$16</f>
        <v>0</v>
      </c>
      <c r="S181" s="39"/>
      <c r="T181" s="35"/>
      <c r="U181" s="40">
        <f t="shared" si="18"/>
        <v>0</v>
      </c>
    </row>
    <row r="182" spans="1:21" s="19" customFormat="1" ht="24.95" customHeight="1">
      <c r="A182" s="54"/>
      <c r="B182" s="51"/>
      <c r="D182" s="19" t="s">
        <v>333</v>
      </c>
      <c r="E182" s="45">
        <f>SUM(E174:E181)</f>
        <v>0</v>
      </c>
      <c r="F182" s="45">
        <f t="shared" ref="F182:Q182" si="20">SUM(F174:F181)</f>
        <v>0</v>
      </c>
      <c r="G182" s="45">
        <f t="shared" si="20"/>
        <v>0</v>
      </c>
      <c r="H182" s="45">
        <f t="shared" si="20"/>
        <v>0</v>
      </c>
      <c r="I182" s="45">
        <f t="shared" si="20"/>
        <v>0</v>
      </c>
      <c r="J182" s="45">
        <f t="shared" si="20"/>
        <v>0</v>
      </c>
      <c r="K182" s="45">
        <f t="shared" si="20"/>
        <v>0</v>
      </c>
      <c r="L182" s="45">
        <f t="shared" si="20"/>
        <v>0</v>
      </c>
      <c r="M182" s="45">
        <f t="shared" si="20"/>
        <v>0</v>
      </c>
      <c r="N182" s="45">
        <f t="shared" si="20"/>
        <v>0</v>
      </c>
      <c r="O182" s="45">
        <f t="shared" si="20"/>
        <v>0</v>
      </c>
      <c r="P182" s="45">
        <f t="shared" si="20"/>
        <v>0</v>
      </c>
      <c r="Q182" s="45">
        <f t="shared" si="20"/>
        <v>0</v>
      </c>
      <c r="R182" s="39">
        <f>Q182/Summary!$Q$16</f>
        <v>0</v>
      </c>
      <c r="S182" s="39"/>
      <c r="T182" s="35"/>
      <c r="U182" s="40">
        <f t="shared" si="18"/>
        <v>0</v>
      </c>
    </row>
    <row r="183" spans="1:21" s="19" customFormat="1" ht="24.95" customHeight="1">
      <c r="A183" s="54"/>
      <c r="B183" s="51"/>
      <c r="D183" s="21"/>
      <c r="E183" s="55"/>
      <c r="F183" s="55"/>
      <c r="G183" s="55"/>
      <c r="H183" s="55"/>
      <c r="I183" s="55"/>
      <c r="J183" s="55"/>
      <c r="K183" s="55"/>
      <c r="L183" s="55"/>
      <c r="M183" s="55"/>
      <c r="N183" s="55"/>
      <c r="O183" s="55"/>
      <c r="P183" s="55"/>
      <c r="Q183" s="55"/>
      <c r="T183" s="35"/>
      <c r="U183" s="40"/>
    </row>
    <row r="184" spans="1:21" s="3" customFormat="1" ht="24.95" hidden="1" customHeight="1">
      <c r="A184" s="271" t="s">
        <v>633</v>
      </c>
      <c r="B184" s="3" t="s">
        <v>1070</v>
      </c>
      <c r="D184" s="26" t="s">
        <v>335</v>
      </c>
      <c r="E184" s="27">
        <v>0</v>
      </c>
      <c r="F184" s="27">
        <v>0</v>
      </c>
      <c r="G184" s="27">
        <v>0</v>
      </c>
      <c r="H184" s="27">
        <v>0</v>
      </c>
      <c r="I184" s="27">
        <v>0</v>
      </c>
      <c r="J184" s="27">
        <v>0</v>
      </c>
      <c r="K184" s="27">
        <v>0</v>
      </c>
      <c r="L184" s="27">
        <v>0</v>
      </c>
      <c r="M184" s="27">
        <v>0</v>
      </c>
      <c r="N184" s="27">
        <v>0</v>
      </c>
      <c r="O184" s="27">
        <v>0</v>
      </c>
      <c r="P184" s="27">
        <v>0</v>
      </c>
      <c r="Q184" s="41">
        <f>SUM(E184:P184)</f>
        <v>0</v>
      </c>
      <c r="T184" s="35"/>
      <c r="U184" s="40">
        <f t="shared" ref="U184:U192" si="21">-IF(Q184-T184=0,0,(Q184-T184)/T184)</f>
        <v>0</v>
      </c>
    </row>
    <row r="185" spans="1:21" s="3" customFormat="1" ht="24.95" hidden="1" customHeight="1">
      <c r="A185" s="271" t="s">
        <v>634</v>
      </c>
      <c r="B185" s="3" t="s">
        <v>1070</v>
      </c>
      <c r="D185" s="3" t="s">
        <v>337</v>
      </c>
      <c r="E185" s="27">
        <v>0</v>
      </c>
      <c r="F185" s="27">
        <v>0</v>
      </c>
      <c r="G185" s="27">
        <v>0</v>
      </c>
      <c r="H185" s="27">
        <v>0</v>
      </c>
      <c r="I185" s="27">
        <v>0</v>
      </c>
      <c r="J185" s="27">
        <v>0</v>
      </c>
      <c r="K185" s="27">
        <v>0</v>
      </c>
      <c r="L185" s="27">
        <v>0</v>
      </c>
      <c r="M185" s="27">
        <v>0</v>
      </c>
      <c r="N185" s="27">
        <v>0</v>
      </c>
      <c r="O185" s="27">
        <v>0</v>
      </c>
      <c r="P185" s="27">
        <v>0</v>
      </c>
      <c r="Q185" s="41">
        <f t="shared" ref="Q185:Q190" si="22">SUM(E185:P185)</f>
        <v>0</v>
      </c>
      <c r="T185" s="35"/>
      <c r="U185" s="40">
        <f t="shared" si="21"/>
        <v>0</v>
      </c>
    </row>
    <row r="186" spans="1:21" s="3" customFormat="1" ht="24.95" hidden="1" customHeight="1">
      <c r="A186" s="271" t="s">
        <v>635</v>
      </c>
      <c r="B186" s="3" t="s">
        <v>1070</v>
      </c>
      <c r="D186" s="26" t="s">
        <v>339</v>
      </c>
      <c r="E186" s="27">
        <v>0</v>
      </c>
      <c r="F186" s="27">
        <v>0</v>
      </c>
      <c r="G186" s="27">
        <v>0</v>
      </c>
      <c r="H186" s="27">
        <v>0</v>
      </c>
      <c r="I186" s="27">
        <v>0</v>
      </c>
      <c r="J186" s="27">
        <v>0</v>
      </c>
      <c r="K186" s="27">
        <v>0</v>
      </c>
      <c r="L186" s="27">
        <v>0</v>
      </c>
      <c r="M186" s="27">
        <v>0</v>
      </c>
      <c r="N186" s="27">
        <v>0</v>
      </c>
      <c r="O186" s="27">
        <v>0</v>
      </c>
      <c r="P186" s="27">
        <v>0</v>
      </c>
      <c r="Q186" s="41">
        <f t="shared" si="22"/>
        <v>0</v>
      </c>
      <c r="T186" s="35"/>
      <c r="U186" s="40">
        <f t="shared" si="21"/>
        <v>0</v>
      </c>
    </row>
    <row r="187" spans="1:21" s="3" customFormat="1" ht="24.95" hidden="1" customHeight="1">
      <c r="A187" s="271" t="s">
        <v>636</v>
      </c>
      <c r="B187" s="3" t="s">
        <v>1070</v>
      </c>
      <c r="D187" s="26" t="s">
        <v>341</v>
      </c>
      <c r="E187" s="27">
        <v>0</v>
      </c>
      <c r="F187" s="27">
        <v>0</v>
      </c>
      <c r="G187" s="27">
        <v>0</v>
      </c>
      <c r="H187" s="27">
        <v>0</v>
      </c>
      <c r="I187" s="27">
        <v>0</v>
      </c>
      <c r="J187" s="27">
        <v>0</v>
      </c>
      <c r="K187" s="27">
        <v>0</v>
      </c>
      <c r="L187" s="27">
        <v>0</v>
      </c>
      <c r="M187" s="27">
        <v>0</v>
      </c>
      <c r="N187" s="27">
        <v>0</v>
      </c>
      <c r="O187" s="27">
        <v>0</v>
      </c>
      <c r="P187" s="27">
        <v>0</v>
      </c>
      <c r="Q187" s="41">
        <f t="shared" si="22"/>
        <v>0</v>
      </c>
      <c r="T187" s="35"/>
      <c r="U187" s="40">
        <f t="shared" si="21"/>
        <v>0</v>
      </c>
    </row>
    <row r="188" spans="1:21" s="3" customFormat="1" ht="24.95" customHeight="1">
      <c r="A188" s="271" t="s">
        <v>637</v>
      </c>
      <c r="B188" s="3" t="s">
        <v>1070</v>
      </c>
      <c r="D188" s="26" t="s">
        <v>343</v>
      </c>
      <c r="E188" s="27">
        <f>Summary!E$1501</f>
        <v>0</v>
      </c>
      <c r="F188" s="27">
        <f>Summary!F$1501</f>
        <v>0</v>
      </c>
      <c r="G188" s="27">
        <f>Summary!G$1501</f>
        <v>0</v>
      </c>
      <c r="H188" s="27">
        <f>Summary!H$1501</f>
        <v>0</v>
      </c>
      <c r="I188" s="27">
        <f>Summary!I$1501</f>
        <v>0</v>
      </c>
      <c r="J188" s="27">
        <f>Summary!J$1501</f>
        <v>0</v>
      </c>
      <c r="K188" s="27">
        <f>Summary!K$1501</f>
        <v>0</v>
      </c>
      <c r="L188" s="27">
        <f>Summary!L$1501</f>
        <v>0</v>
      </c>
      <c r="M188" s="27">
        <f>Summary!M$1501</f>
        <v>0</v>
      </c>
      <c r="N188" s="27">
        <f>Summary!N$1501</f>
        <v>0</v>
      </c>
      <c r="O188" s="27">
        <f>Summary!O$1501</f>
        <v>0</v>
      </c>
      <c r="P188" s="27">
        <f>Summary!P$1501</f>
        <v>0</v>
      </c>
      <c r="Q188" s="41">
        <f t="shared" si="22"/>
        <v>0</v>
      </c>
      <c r="R188" s="39">
        <f>Q188/Summary!$Q$16</f>
        <v>0</v>
      </c>
      <c r="S188" s="39"/>
      <c r="T188" s="35"/>
      <c r="U188" s="40">
        <f t="shared" si="21"/>
        <v>0</v>
      </c>
    </row>
    <row r="189" spans="1:21" s="3" customFormat="1" ht="24.95" hidden="1" customHeight="1">
      <c r="A189" s="271" t="s">
        <v>344</v>
      </c>
      <c r="B189" s="3" t="s">
        <v>1070</v>
      </c>
      <c r="D189" s="26" t="s">
        <v>345</v>
      </c>
      <c r="E189" s="27">
        <f>Summary!E$1502</f>
        <v>0</v>
      </c>
      <c r="F189" s="27">
        <f>Summary!F$1502</f>
        <v>0</v>
      </c>
      <c r="G189" s="27">
        <f>Summary!G$1502</f>
        <v>0</v>
      </c>
      <c r="H189" s="56">
        <f>Summary!H$1502</f>
        <v>0</v>
      </c>
      <c r="I189" s="56">
        <f>Summary!I$1502</f>
        <v>0</v>
      </c>
      <c r="J189" s="27">
        <f>Summary!J$1502</f>
        <v>0</v>
      </c>
      <c r="K189" s="27">
        <f>Summary!K$1502</f>
        <v>0</v>
      </c>
      <c r="L189" s="27">
        <f>Summary!L$1502</f>
        <v>0</v>
      </c>
      <c r="M189" s="27">
        <f>Summary!M$1502</f>
        <v>0</v>
      </c>
      <c r="N189" s="27">
        <f>Summary!N$1502</f>
        <v>0</v>
      </c>
      <c r="O189" s="27">
        <f>Summary!O$1502</f>
        <v>0</v>
      </c>
      <c r="P189" s="27">
        <f>Summary!P$1502</f>
        <v>0</v>
      </c>
      <c r="Q189" s="41">
        <f t="shared" si="22"/>
        <v>0</v>
      </c>
      <c r="R189" s="39">
        <f>Q189/Summary!$Q$16</f>
        <v>0</v>
      </c>
      <c r="S189" s="39"/>
      <c r="T189" s="35"/>
      <c r="U189" s="40">
        <f t="shared" si="21"/>
        <v>0</v>
      </c>
    </row>
    <row r="190" spans="1:21" s="3" customFormat="1" ht="24.95" hidden="1" customHeight="1">
      <c r="A190" s="3" t="s">
        <v>346</v>
      </c>
      <c r="B190" s="3" t="s">
        <v>1070</v>
      </c>
      <c r="D190" s="26" t="s">
        <v>347</v>
      </c>
      <c r="E190" s="27">
        <f>Summary!E$1503</f>
        <v>0</v>
      </c>
      <c r="F190" s="27">
        <f>Summary!F$1503</f>
        <v>0</v>
      </c>
      <c r="G190" s="27">
        <f>Summary!G$1503</f>
        <v>0</v>
      </c>
      <c r="H190" s="56">
        <f>Summary!H$1503</f>
        <v>0</v>
      </c>
      <c r="I190" s="56">
        <f>Summary!I$1503</f>
        <v>0</v>
      </c>
      <c r="J190" s="27">
        <f>Summary!J$1503</f>
        <v>0</v>
      </c>
      <c r="K190" s="27">
        <f>Summary!K$1503</f>
        <v>0</v>
      </c>
      <c r="L190" s="27">
        <f>Summary!L$1503</f>
        <v>0</v>
      </c>
      <c r="M190" s="27">
        <f>Summary!M$1503</f>
        <v>0</v>
      </c>
      <c r="N190" s="27">
        <f>Summary!N$1503</f>
        <v>0</v>
      </c>
      <c r="O190" s="27">
        <f>Summary!O$1503</f>
        <v>0</v>
      </c>
      <c r="P190" s="27">
        <f>Summary!P$1503</f>
        <v>0</v>
      </c>
      <c r="Q190" s="41">
        <f t="shared" si="22"/>
        <v>0</v>
      </c>
      <c r="R190" s="39">
        <f>Q190/Summary!$Q$16</f>
        <v>0</v>
      </c>
      <c r="S190" s="39"/>
      <c r="T190" s="35"/>
      <c r="U190" s="40">
        <f t="shared" si="21"/>
        <v>0</v>
      </c>
    </row>
    <row r="191" spans="1:21" s="3" customFormat="1" ht="24.95" customHeight="1">
      <c r="A191" s="54"/>
      <c r="B191" s="51"/>
      <c r="D191" s="19" t="s">
        <v>348</v>
      </c>
      <c r="E191" s="52">
        <f>SUM(E184:E190)</f>
        <v>0</v>
      </c>
      <c r="F191" s="52">
        <f t="shared" ref="F191:Q191" si="23">SUM(F184:F190)</f>
        <v>0</v>
      </c>
      <c r="G191" s="52">
        <f t="shared" si="23"/>
        <v>0</v>
      </c>
      <c r="H191" s="52">
        <f t="shared" si="23"/>
        <v>0</v>
      </c>
      <c r="I191" s="52">
        <f t="shared" si="23"/>
        <v>0</v>
      </c>
      <c r="J191" s="52">
        <f t="shared" si="23"/>
        <v>0</v>
      </c>
      <c r="K191" s="52">
        <f t="shared" si="23"/>
        <v>0</v>
      </c>
      <c r="L191" s="52">
        <f t="shared" si="23"/>
        <v>0</v>
      </c>
      <c r="M191" s="52">
        <f t="shared" si="23"/>
        <v>0</v>
      </c>
      <c r="N191" s="52">
        <f t="shared" si="23"/>
        <v>0</v>
      </c>
      <c r="O191" s="52">
        <f t="shared" si="23"/>
        <v>0</v>
      </c>
      <c r="P191" s="52">
        <f t="shared" si="23"/>
        <v>0</v>
      </c>
      <c r="Q191" s="52">
        <f t="shared" si="23"/>
        <v>0</v>
      </c>
      <c r="R191" s="39">
        <f>Q191/Summary!$Q$16</f>
        <v>0</v>
      </c>
      <c r="S191" s="39"/>
      <c r="T191" s="35"/>
      <c r="U191" s="40">
        <f t="shared" si="21"/>
        <v>0</v>
      </c>
    </row>
    <row r="192" spans="1:21" s="3" customFormat="1" ht="24.95" customHeight="1">
      <c r="A192" s="54"/>
      <c r="B192" s="51"/>
      <c r="D192" s="19" t="s">
        <v>349</v>
      </c>
      <c r="E192" s="52">
        <f>E164+E172+E182+E191</f>
        <v>37400</v>
      </c>
      <c r="F192" s="52">
        <f t="shared" ref="F192:Q192" si="24">F164+F172+F182+F191</f>
        <v>41400</v>
      </c>
      <c r="G192" s="52">
        <f t="shared" si="24"/>
        <v>35400</v>
      </c>
      <c r="H192" s="52">
        <f t="shared" si="24"/>
        <v>37400</v>
      </c>
      <c r="I192" s="52">
        <f t="shared" si="24"/>
        <v>37400</v>
      </c>
      <c r="J192" s="52">
        <f t="shared" si="24"/>
        <v>37400</v>
      </c>
      <c r="K192" s="52">
        <f t="shared" si="24"/>
        <v>35400</v>
      </c>
      <c r="L192" s="52">
        <f t="shared" si="24"/>
        <v>35400</v>
      </c>
      <c r="M192" s="52">
        <f t="shared" si="24"/>
        <v>37400</v>
      </c>
      <c r="N192" s="52">
        <f t="shared" si="24"/>
        <v>41400</v>
      </c>
      <c r="O192" s="52">
        <f t="shared" si="24"/>
        <v>35400</v>
      </c>
      <c r="P192" s="52">
        <f t="shared" si="24"/>
        <v>35400</v>
      </c>
      <c r="Q192" s="52">
        <f t="shared" si="24"/>
        <v>446800</v>
      </c>
      <c r="R192" s="39">
        <f>Q192/Summary!$Q$16</f>
        <v>1.3434446162912299E-2</v>
      </c>
      <c r="S192" s="39"/>
      <c r="T192" s="35"/>
      <c r="U192" s="40" t="e">
        <f t="shared" si="21"/>
        <v>#DIV/0!</v>
      </c>
    </row>
    <row r="193" spans="1:21" s="3" customFormat="1" ht="24.95" customHeight="1">
      <c r="A193" s="54"/>
      <c r="B193" s="51"/>
      <c r="D193" s="21"/>
      <c r="E193" s="53"/>
      <c r="F193" s="53"/>
      <c r="G193" s="53"/>
      <c r="H193" s="57"/>
      <c r="I193" s="57"/>
      <c r="T193" s="35"/>
      <c r="U193" s="40"/>
    </row>
    <row r="194" spans="1:21" s="19" customFormat="1" ht="24.95" customHeight="1">
      <c r="A194" s="3" t="s">
        <v>105</v>
      </c>
      <c r="B194" s="3" t="s">
        <v>1070</v>
      </c>
      <c r="D194" s="19" t="s">
        <v>352</v>
      </c>
      <c r="E194" s="27">
        <v>5</v>
      </c>
      <c r="F194" s="27">
        <v>5</v>
      </c>
      <c r="G194" s="27">
        <v>5</v>
      </c>
      <c r="H194" s="27">
        <v>5</v>
      </c>
      <c r="I194" s="27">
        <v>5</v>
      </c>
      <c r="J194" s="27">
        <v>5</v>
      </c>
      <c r="K194" s="27">
        <v>5</v>
      </c>
      <c r="L194" s="27">
        <v>5</v>
      </c>
      <c r="M194" s="27">
        <v>5</v>
      </c>
      <c r="N194" s="27">
        <v>5</v>
      </c>
      <c r="O194" s="27">
        <v>5</v>
      </c>
      <c r="P194" s="27">
        <v>5</v>
      </c>
      <c r="Q194" s="399">
        <f>SUM(E194:P194)/12</f>
        <v>5</v>
      </c>
      <c r="T194" s="35"/>
      <c r="U194" s="40" t="e">
        <f>-IF(Q194-T194=0,0,(Q194-T194)/T194)</f>
        <v>#DIV/0!</v>
      </c>
    </row>
    <row r="195" spans="1:21" ht="24.95" customHeight="1">
      <c r="B195" s="58"/>
      <c r="T195" s="35"/>
      <c r="U195" s="40"/>
    </row>
    <row r="196" spans="1:21" ht="24.95" customHeight="1">
      <c r="A196" s="274" t="s">
        <v>1041</v>
      </c>
      <c r="B196" s="58"/>
      <c r="D196" s="59" t="s">
        <v>1047</v>
      </c>
      <c r="E196" s="60">
        <f>Summary!E16</f>
        <v>2259846</v>
      </c>
      <c r="F196" s="60">
        <f>Summary!F16</f>
        <v>1816344.5</v>
      </c>
      <c r="G196" s="60">
        <f>Summary!G16</f>
        <v>2340960.5</v>
      </c>
      <c r="H196" s="60">
        <f>Summary!H16</f>
        <v>2771030.2</v>
      </c>
      <c r="I196" s="60">
        <f>Summary!I16</f>
        <v>3096361.3</v>
      </c>
      <c r="J196" s="60">
        <f>Summary!J16</f>
        <v>2618822.2000000002</v>
      </c>
      <c r="K196" s="60">
        <f>Summary!K16</f>
        <v>2973852.3</v>
      </c>
      <c r="L196" s="60">
        <f>Summary!L16</f>
        <v>3047092.3</v>
      </c>
      <c r="M196" s="60">
        <f>Summary!M16</f>
        <v>3106222.2</v>
      </c>
      <c r="N196" s="60">
        <f>Summary!N16</f>
        <v>3468114.8</v>
      </c>
      <c r="O196" s="60">
        <f>Summary!O16</f>
        <v>2947582.2</v>
      </c>
      <c r="P196" s="60">
        <f>Summary!P16</f>
        <v>2811562.3</v>
      </c>
      <c r="Q196" s="60">
        <f>Summary!Q16</f>
        <v>33257790.800000001</v>
      </c>
      <c r="T196" s="35"/>
      <c r="U196" s="40" t="e">
        <f>IF(Q196-T196=0,0,(Q196-T196)/T196)</f>
        <v>#DIV/0!</v>
      </c>
    </row>
    <row r="198" spans="1:21" ht="26.25" customHeight="1">
      <c r="C198" s="3"/>
      <c r="D198" s="377" t="s">
        <v>1207</v>
      </c>
    </row>
    <row r="199" spans="1:21" ht="26.25" customHeight="1">
      <c r="C199" s="3" t="s">
        <v>1052</v>
      </c>
      <c r="D199" s="3"/>
      <c r="E199" s="60">
        <f>-E158</f>
        <v>88400</v>
      </c>
      <c r="F199" s="60">
        <f t="shared" ref="F199:P199" si="25">-F158</f>
        <v>92400</v>
      </c>
      <c r="G199" s="60">
        <f t="shared" si="25"/>
        <v>86400</v>
      </c>
      <c r="H199" s="60">
        <f>-H158</f>
        <v>88400</v>
      </c>
      <c r="I199" s="60">
        <f t="shared" si="25"/>
        <v>88400</v>
      </c>
      <c r="J199" s="60">
        <f t="shared" si="25"/>
        <v>88400</v>
      </c>
      <c r="K199" s="60">
        <f t="shared" si="25"/>
        <v>86400</v>
      </c>
      <c r="L199" s="60">
        <f t="shared" si="25"/>
        <v>86400</v>
      </c>
      <c r="M199" s="60">
        <f t="shared" si="25"/>
        <v>88400</v>
      </c>
      <c r="N199" s="60">
        <f t="shared" si="25"/>
        <v>92400</v>
      </c>
      <c r="O199" s="60">
        <f t="shared" si="25"/>
        <v>86400</v>
      </c>
      <c r="P199" s="60">
        <f t="shared" si="25"/>
        <v>86400</v>
      </c>
      <c r="Q199" s="60">
        <f>SUM(E199:P199)</f>
        <v>1058800</v>
      </c>
    </row>
    <row r="200" spans="1:21" ht="26.25" customHeight="1">
      <c r="C200" s="3" t="s">
        <v>1054</v>
      </c>
      <c r="D200" s="342">
        <v>0.13550724637681161</v>
      </c>
      <c r="E200" s="381">
        <f>ROUND(E$199*$D$200,2)</f>
        <v>11978.84</v>
      </c>
      <c r="F200" s="381">
        <f>ROUND(F$199*$D$200,2)</f>
        <v>12520.87</v>
      </c>
      <c r="G200" s="381">
        <f>ROUND(G$199*$D$200,2)</f>
        <v>11707.83</v>
      </c>
      <c r="H200" s="381">
        <f>ROUND(H$199*$D$200,2)</f>
        <v>11978.84</v>
      </c>
      <c r="I200" s="381">
        <f>ROUND(I$199*$D$200,2)</f>
        <v>11978.84</v>
      </c>
      <c r="J200" s="381">
        <f t="shared" ref="J200:P200" si="26">ROUND(J$199*$D$200,2)</f>
        <v>11978.84</v>
      </c>
      <c r="K200" s="381">
        <f t="shared" si="26"/>
        <v>11707.83</v>
      </c>
      <c r="L200" s="381">
        <f t="shared" si="26"/>
        <v>11707.83</v>
      </c>
      <c r="M200" s="381">
        <f t="shared" si="26"/>
        <v>11978.84</v>
      </c>
      <c r="N200" s="381">
        <f t="shared" si="26"/>
        <v>12520.87</v>
      </c>
      <c r="O200" s="381">
        <f t="shared" si="26"/>
        <v>11707.83</v>
      </c>
      <c r="P200" s="381">
        <f t="shared" si="26"/>
        <v>11707.83</v>
      </c>
      <c r="Q200" s="60">
        <f>SUM(E200:P200)</f>
        <v>143475.08999999997</v>
      </c>
    </row>
    <row r="201" spans="1:21" ht="26.25" customHeight="1">
      <c r="C201" s="3" t="s">
        <v>1055</v>
      </c>
      <c r="D201" s="342">
        <v>3.1521739130434781E-2</v>
      </c>
      <c r="E201" s="381">
        <f t="shared" ref="E201:P201" si="27">ROUND(E$199*$D$201,2)</f>
        <v>2786.52</v>
      </c>
      <c r="F201" s="381">
        <f t="shared" si="27"/>
        <v>2912.61</v>
      </c>
      <c r="G201" s="381">
        <f t="shared" si="27"/>
        <v>2723.48</v>
      </c>
      <c r="H201" s="381">
        <f t="shared" si="27"/>
        <v>2786.52</v>
      </c>
      <c r="I201" s="381">
        <f t="shared" si="27"/>
        <v>2786.52</v>
      </c>
      <c r="J201" s="381">
        <f t="shared" si="27"/>
        <v>2786.52</v>
      </c>
      <c r="K201" s="381">
        <f t="shared" si="27"/>
        <v>2723.48</v>
      </c>
      <c r="L201" s="381">
        <f t="shared" si="27"/>
        <v>2723.48</v>
      </c>
      <c r="M201" s="381">
        <f t="shared" si="27"/>
        <v>2786.52</v>
      </c>
      <c r="N201" s="381">
        <f t="shared" si="27"/>
        <v>2912.61</v>
      </c>
      <c r="O201" s="381">
        <f t="shared" si="27"/>
        <v>2723.48</v>
      </c>
      <c r="P201" s="381">
        <f t="shared" si="27"/>
        <v>2723.48</v>
      </c>
      <c r="Q201" s="60">
        <f t="shared" ref="Q201:Q214" si="28">SUM(E201:P201)</f>
        <v>33375.22</v>
      </c>
    </row>
    <row r="202" spans="1:21" ht="26.25" customHeight="1">
      <c r="C202" s="3" t="s">
        <v>1056</v>
      </c>
      <c r="D202" s="342">
        <v>6.8840579710144928E-2</v>
      </c>
      <c r="E202" s="381">
        <f>ROUND(E$199*$D$202,2)</f>
        <v>6085.51</v>
      </c>
      <c r="F202" s="381">
        <f>ROUND(F$199*$D$202,2)</f>
        <v>6360.87</v>
      </c>
      <c r="G202" s="381">
        <f t="shared" ref="G202:P202" si="29">ROUND(G$199*$D$202,2)</f>
        <v>5947.83</v>
      </c>
      <c r="H202" s="381">
        <f t="shared" si="29"/>
        <v>6085.51</v>
      </c>
      <c r="I202" s="381">
        <f t="shared" si="29"/>
        <v>6085.51</v>
      </c>
      <c r="J202" s="381">
        <f t="shared" si="29"/>
        <v>6085.51</v>
      </c>
      <c r="K202" s="381">
        <f t="shared" si="29"/>
        <v>5947.83</v>
      </c>
      <c r="L202" s="381">
        <f t="shared" si="29"/>
        <v>5947.83</v>
      </c>
      <c r="M202" s="381">
        <f t="shared" si="29"/>
        <v>6085.51</v>
      </c>
      <c r="N202" s="381">
        <f t="shared" si="29"/>
        <v>6360.87</v>
      </c>
      <c r="O202" s="381">
        <f t="shared" si="29"/>
        <v>5947.83</v>
      </c>
      <c r="P202" s="381">
        <f t="shared" si="29"/>
        <v>5947.83</v>
      </c>
      <c r="Q202" s="60">
        <f>SUM(E202:P202)</f>
        <v>72888.440000000017</v>
      </c>
    </row>
    <row r="203" spans="1:21" ht="26.25" customHeight="1">
      <c r="C203" s="3" t="s">
        <v>1057</v>
      </c>
      <c r="D203" s="342">
        <v>0.13115942028985508</v>
      </c>
      <c r="E203" s="381">
        <f>ROUND($E199*$D203,2)</f>
        <v>11594.49</v>
      </c>
      <c r="F203" s="381">
        <f>ROUND(F$199*$D$203,2)</f>
        <v>12119.13</v>
      </c>
      <c r="G203" s="381">
        <f>ROUND($G199*$D203,2)</f>
        <v>11332.17</v>
      </c>
      <c r="H203" s="381">
        <f>ROUND($H199*$D203,2)</f>
        <v>11594.49</v>
      </c>
      <c r="I203" s="381">
        <f>ROUND($I199*$D203,2)</f>
        <v>11594.49</v>
      </c>
      <c r="J203" s="381">
        <f>ROUND($J199*$D203,2)</f>
        <v>11594.49</v>
      </c>
      <c r="K203" s="381">
        <f>ROUND($K199*$D203,2)</f>
        <v>11332.17</v>
      </c>
      <c r="L203" s="381">
        <f>ROUND($L199*$D203,2)</f>
        <v>11332.17</v>
      </c>
      <c r="M203" s="381">
        <f>ROUND($M199*$D203,2)</f>
        <v>11594.49</v>
      </c>
      <c r="N203" s="381">
        <f>ROUND($N199*$D203,2)</f>
        <v>12119.13</v>
      </c>
      <c r="O203" s="381">
        <f>ROUND($O199*$D203,2)</f>
        <v>11332.17</v>
      </c>
      <c r="P203" s="381">
        <f>ROUND($P199*$D203,2)</f>
        <v>11332.17</v>
      </c>
      <c r="Q203" s="60">
        <f t="shared" si="28"/>
        <v>138871.56</v>
      </c>
    </row>
    <row r="204" spans="1:21" ht="26.25" customHeight="1">
      <c r="C204" s="3" t="s">
        <v>1058</v>
      </c>
      <c r="D204" s="342">
        <v>2.4275362318840581E-2</v>
      </c>
      <c r="E204" s="381">
        <f>ROUND(E$199*$D$204,2)</f>
        <v>2145.94</v>
      </c>
      <c r="F204" s="381">
        <f>ROUND(F$199*$D$204,2)</f>
        <v>2243.04</v>
      </c>
      <c r="G204" s="381">
        <f t="shared" ref="G204:P204" si="30">ROUND(G$199*$D$204,2)</f>
        <v>2097.39</v>
      </c>
      <c r="H204" s="381">
        <f>ROUND(H$199*$D$204,2)</f>
        <v>2145.94</v>
      </c>
      <c r="I204" s="381">
        <f t="shared" si="30"/>
        <v>2145.94</v>
      </c>
      <c r="J204" s="381">
        <f t="shared" si="30"/>
        <v>2145.94</v>
      </c>
      <c r="K204" s="381">
        <f t="shared" si="30"/>
        <v>2097.39</v>
      </c>
      <c r="L204" s="381">
        <f t="shared" si="30"/>
        <v>2097.39</v>
      </c>
      <c r="M204" s="381">
        <f t="shared" si="30"/>
        <v>2145.94</v>
      </c>
      <c r="N204" s="381">
        <f t="shared" si="30"/>
        <v>2243.04</v>
      </c>
      <c r="O204" s="381">
        <f t="shared" si="30"/>
        <v>2097.39</v>
      </c>
      <c r="P204" s="381">
        <f t="shared" si="30"/>
        <v>2097.39</v>
      </c>
      <c r="Q204" s="60">
        <f>SUM(E204:P204)</f>
        <v>25702.73</v>
      </c>
    </row>
    <row r="205" spans="1:21" ht="26.25" customHeight="1">
      <c r="C205" s="3" t="s">
        <v>1059</v>
      </c>
      <c r="D205" s="342">
        <v>6.8840579710144928E-2</v>
      </c>
      <c r="E205" s="381">
        <f>ROUND(E$199*$D$205,2)</f>
        <v>6085.51</v>
      </c>
      <c r="F205" s="381">
        <f>ROUND(F$199*$D$205,2)</f>
        <v>6360.87</v>
      </c>
      <c r="G205" s="381">
        <f t="shared" ref="G205:P205" si="31">ROUND(G$199*$D$205,2)</f>
        <v>5947.83</v>
      </c>
      <c r="H205" s="381">
        <f>ROUND(H$199*$D$205,2)</f>
        <v>6085.51</v>
      </c>
      <c r="I205" s="381">
        <f t="shared" si="31"/>
        <v>6085.51</v>
      </c>
      <c r="J205" s="381">
        <f t="shared" si="31"/>
        <v>6085.51</v>
      </c>
      <c r="K205" s="381">
        <f t="shared" si="31"/>
        <v>5947.83</v>
      </c>
      <c r="L205" s="381">
        <f t="shared" si="31"/>
        <v>5947.83</v>
      </c>
      <c r="M205" s="381">
        <f t="shared" si="31"/>
        <v>6085.51</v>
      </c>
      <c r="N205" s="381">
        <f t="shared" si="31"/>
        <v>6360.87</v>
      </c>
      <c r="O205" s="381">
        <f t="shared" si="31"/>
        <v>5947.83</v>
      </c>
      <c r="P205" s="381">
        <f t="shared" si="31"/>
        <v>5947.83</v>
      </c>
      <c r="Q205" s="60">
        <f t="shared" si="28"/>
        <v>72888.440000000017</v>
      </c>
    </row>
    <row r="206" spans="1:21" ht="26.25" customHeight="1">
      <c r="C206" s="3" t="s">
        <v>1060</v>
      </c>
      <c r="D206" s="342">
        <v>2.6449275362318839E-2</v>
      </c>
      <c r="E206" s="381">
        <f>ROUND(E$199*$D$206,2)</f>
        <v>2338.12</v>
      </c>
      <c r="F206" s="381">
        <f t="shared" ref="F206:P206" si="32">ROUND(F$199*$D$206,2)</f>
        <v>2443.91</v>
      </c>
      <c r="G206" s="381">
        <f t="shared" si="32"/>
        <v>2285.2199999999998</v>
      </c>
      <c r="H206" s="381">
        <f>ROUND(H$199*$D$206,2)</f>
        <v>2338.12</v>
      </c>
      <c r="I206" s="381">
        <f t="shared" si="32"/>
        <v>2338.12</v>
      </c>
      <c r="J206" s="381">
        <f t="shared" si="32"/>
        <v>2338.12</v>
      </c>
      <c r="K206" s="381">
        <f t="shared" si="32"/>
        <v>2285.2199999999998</v>
      </c>
      <c r="L206" s="381">
        <f t="shared" si="32"/>
        <v>2285.2199999999998</v>
      </c>
      <c r="M206" s="381">
        <f t="shared" si="32"/>
        <v>2338.12</v>
      </c>
      <c r="N206" s="381">
        <f t="shared" si="32"/>
        <v>2443.91</v>
      </c>
      <c r="O206" s="381">
        <f t="shared" si="32"/>
        <v>2285.2199999999998</v>
      </c>
      <c r="P206" s="381">
        <f t="shared" si="32"/>
        <v>2285.2199999999998</v>
      </c>
      <c r="Q206" s="60">
        <f t="shared" si="28"/>
        <v>28004.519999999997</v>
      </c>
    </row>
    <row r="207" spans="1:21" ht="26.25" customHeight="1">
      <c r="C207" s="3" t="s">
        <v>1061</v>
      </c>
      <c r="D207" s="342">
        <v>2.0652173913043477E-2</v>
      </c>
      <c r="E207" s="381">
        <f>ROUND(E$199*$D$207,2)</f>
        <v>1825.65</v>
      </c>
      <c r="F207" s="381">
        <f t="shared" ref="F207:P207" si="33">ROUND(F$199*$D$207,2)</f>
        <v>1908.26</v>
      </c>
      <c r="G207" s="381">
        <f t="shared" si="33"/>
        <v>1784.35</v>
      </c>
      <c r="H207" s="381">
        <f>ROUND(H$199*$D$207,2)</f>
        <v>1825.65</v>
      </c>
      <c r="I207" s="381">
        <f t="shared" si="33"/>
        <v>1825.65</v>
      </c>
      <c r="J207" s="381">
        <f t="shared" si="33"/>
        <v>1825.65</v>
      </c>
      <c r="K207" s="381">
        <f t="shared" si="33"/>
        <v>1784.35</v>
      </c>
      <c r="L207" s="381">
        <f t="shared" si="33"/>
        <v>1784.35</v>
      </c>
      <c r="M207" s="381">
        <f t="shared" si="33"/>
        <v>1825.65</v>
      </c>
      <c r="N207" s="381">
        <f t="shared" si="33"/>
        <v>1908.26</v>
      </c>
      <c r="O207" s="381">
        <f t="shared" si="33"/>
        <v>1784.35</v>
      </c>
      <c r="P207" s="381">
        <f t="shared" si="33"/>
        <v>1784.35</v>
      </c>
      <c r="Q207" s="60">
        <f t="shared" si="28"/>
        <v>21866.519999999997</v>
      </c>
    </row>
    <row r="208" spans="1:21" ht="26.25" customHeight="1">
      <c r="C208" s="3" t="s">
        <v>1062</v>
      </c>
      <c r="D208" s="342">
        <v>8.9492753623188412E-2</v>
      </c>
      <c r="E208" s="381">
        <f>ROUND(E$199*$D$208,2)</f>
        <v>7911.16</v>
      </c>
      <c r="F208" s="381">
        <f t="shared" ref="F208:P208" si="34">ROUND(F$199*$D$208,2)</f>
        <v>8269.1299999999992</v>
      </c>
      <c r="G208" s="381">
        <f t="shared" si="34"/>
        <v>7732.17</v>
      </c>
      <c r="H208" s="381">
        <f>ROUND(H$199*$D$208,2)</f>
        <v>7911.16</v>
      </c>
      <c r="I208" s="381">
        <f t="shared" si="34"/>
        <v>7911.16</v>
      </c>
      <c r="J208" s="381">
        <f t="shared" si="34"/>
        <v>7911.16</v>
      </c>
      <c r="K208" s="381">
        <f t="shared" si="34"/>
        <v>7732.17</v>
      </c>
      <c r="L208" s="381">
        <f t="shared" si="34"/>
        <v>7732.17</v>
      </c>
      <c r="M208" s="381">
        <f t="shared" si="34"/>
        <v>7911.16</v>
      </c>
      <c r="N208" s="381">
        <f t="shared" si="34"/>
        <v>8269.1299999999992</v>
      </c>
      <c r="O208" s="381">
        <f t="shared" si="34"/>
        <v>7732.17</v>
      </c>
      <c r="P208" s="381">
        <f t="shared" si="34"/>
        <v>7732.17</v>
      </c>
      <c r="Q208" s="60">
        <f t="shared" si="28"/>
        <v>94754.91</v>
      </c>
    </row>
    <row r="209" spans="3:20" ht="26.25" customHeight="1">
      <c r="C209" s="3" t="s">
        <v>1063</v>
      </c>
      <c r="D209" s="342">
        <v>1.0507246376811594E-2</v>
      </c>
      <c r="E209" s="381">
        <f>ROUND(E$199*$D$209,2)</f>
        <v>928.84</v>
      </c>
      <c r="F209" s="381">
        <f t="shared" ref="F209:P209" si="35">ROUND(F$199*$D$209,2)</f>
        <v>970.87</v>
      </c>
      <c r="G209" s="381">
        <f t="shared" si="35"/>
        <v>907.83</v>
      </c>
      <c r="H209" s="381">
        <f>ROUND(H$199*$D$209,2)</f>
        <v>928.84</v>
      </c>
      <c r="I209" s="381">
        <f t="shared" si="35"/>
        <v>928.84</v>
      </c>
      <c r="J209" s="381">
        <f t="shared" si="35"/>
        <v>928.84</v>
      </c>
      <c r="K209" s="381">
        <f t="shared" si="35"/>
        <v>907.83</v>
      </c>
      <c r="L209" s="381">
        <f t="shared" si="35"/>
        <v>907.83</v>
      </c>
      <c r="M209" s="381">
        <f t="shared" si="35"/>
        <v>928.84</v>
      </c>
      <c r="N209" s="381">
        <f t="shared" si="35"/>
        <v>970.87</v>
      </c>
      <c r="O209" s="381">
        <f t="shared" si="35"/>
        <v>907.83</v>
      </c>
      <c r="P209" s="381">
        <f t="shared" si="35"/>
        <v>907.83</v>
      </c>
      <c r="Q209" s="60">
        <f t="shared" si="28"/>
        <v>11125.09</v>
      </c>
    </row>
    <row r="210" spans="3:20" ht="26.25" customHeight="1">
      <c r="C210" s="3" t="s">
        <v>1064</v>
      </c>
      <c r="D210" s="342">
        <v>8.804347826086957E-2</v>
      </c>
      <c r="E210" s="381">
        <f>ROUND(E$199*$D$210,2)</f>
        <v>7783.04</v>
      </c>
      <c r="F210" s="381">
        <f t="shared" ref="F210:P210" si="36">ROUND(F$199*$D$210,2)</f>
        <v>8135.22</v>
      </c>
      <c r="G210" s="381">
        <f t="shared" si="36"/>
        <v>7606.96</v>
      </c>
      <c r="H210" s="381">
        <f t="shared" si="36"/>
        <v>7783.04</v>
      </c>
      <c r="I210" s="381">
        <f t="shared" si="36"/>
        <v>7783.04</v>
      </c>
      <c r="J210" s="381">
        <f t="shared" si="36"/>
        <v>7783.04</v>
      </c>
      <c r="K210" s="381">
        <f t="shared" si="36"/>
        <v>7606.96</v>
      </c>
      <c r="L210" s="381">
        <f t="shared" si="36"/>
        <v>7606.96</v>
      </c>
      <c r="M210" s="381">
        <f t="shared" si="36"/>
        <v>7783.04</v>
      </c>
      <c r="N210" s="381">
        <f t="shared" si="36"/>
        <v>8135.22</v>
      </c>
      <c r="O210" s="381">
        <f t="shared" si="36"/>
        <v>7606.96</v>
      </c>
      <c r="P210" s="381">
        <f t="shared" si="36"/>
        <v>7606.96</v>
      </c>
      <c r="Q210" s="60">
        <f t="shared" si="28"/>
        <v>93220.440000000017</v>
      </c>
    </row>
    <row r="211" spans="3:20" ht="26.25" customHeight="1">
      <c r="C211" s="3" t="s">
        <v>1065</v>
      </c>
      <c r="D211" s="342">
        <v>9.492753623188406E-2</v>
      </c>
      <c r="E211" s="381">
        <f>ROUND(E$199*$D$211,2)</f>
        <v>8391.59</v>
      </c>
      <c r="F211" s="381">
        <f t="shared" ref="F211:P211" si="37">ROUND(F$199*$D$211,2)</f>
        <v>8771.2999999999993</v>
      </c>
      <c r="G211" s="381">
        <f t="shared" si="37"/>
        <v>8201.74</v>
      </c>
      <c r="H211" s="381">
        <f>ROUND(H$199*$D$211,2)</f>
        <v>8391.59</v>
      </c>
      <c r="I211" s="381">
        <f t="shared" si="37"/>
        <v>8391.59</v>
      </c>
      <c r="J211" s="381">
        <f t="shared" si="37"/>
        <v>8391.59</v>
      </c>
      <c r="K211" s="381">
        <f t="shared" si="37"/>
        <v>8201.74</v>
      </c>
      <c r="L211" s="381">
        <f t="shared" si="37"/>
        <v>8201.74</v>
      </c>
      <c r="M211" s="381">
        <f t="shared" si="37"/>
        <v>8391.59</v>
      </c>
      <c r="N211" s="381">
        <f t="shared" si="37"/>
        <v>8771.2999999999993</v>
      </c>
      <c r="O211" s="381">
        <f t="shared" si="37"/>
        <v>8201.74</v>
      </c>
      <c r="P211" s="381">
        <f t="shared" si="37"/>
        <v>8201.74</v>
      </c>
      <c r="Q211" s="60">
        <f t="shared" si="28"/>
        <v>100509.25</v>
      </c>
    </row>
    <row r="212" spans="3:20" ht="26.25" customHeight="1">
      <c r="C212" s="3" t="s">
        <v>1066</v>
      </c>
      <c r="D212" s="342">
        <v>0.12282608695652174</v>
      </c>
      <c r="E212" s="381">
        <f>ROUND(E$199*$D$212,2)</f>
        <v>10857.83</v>
      </c>
      <c r="F212" s="381">
        <f>ROUND(F$199*$D$212,2)+0.01</f>
        <v>11349.14</v>
      </c>
      <c r="G212" s="381">
        <f>ROUND(G$199*$D$212,2)-0.01</f>
        <v>10612.16</v>
      </c>
      <c r="H212" s="381">
        <f>ROUND(H$199*$D$212,2)</f>
        <v>10857.83</v>
      </c>
      <c r="I212" s="381">
        <f>ROUND(I$199*$D$212,2)</f>
        <v>10857.83</v>
      </c>
      <c r="J212" s="381">
        <f>ROUND(J$199*$D$212,2)</f>
        <v>10857.83</v>
      </c>
      <c r="K212" s="381">
        <f>ROUND(K$199*$D$212,2)-0.01</f>
        <v>10612.16</v>
      </c>
      <c r="L212" s="381">
        <f>ROUND(L$199*$D$212,2)-0.01</f>
        <v>10612.16</v>
      </c>
      <c r="M212" s="381">
        <f>ROUND(M$199*$D$212,2)</f>
        <v>10857.83</v>
      </c>
      <c r="N212" s="381">
        <f>ROUND(N$199*$D$212,2)+0.01</f>
        <v>11349.14</v>
      </c>
      <c r="O212" s="381">
        <f>ROUND(O$199*$D$212,2)-0.01</f>
        <v>10612.16</v>
      </c>
      <c r="P212" s="381">
        <f>ROUND(P$199*$D$212,2)-0.01</f>
        <v>10612.16</v>
      </c>
      <c r="Q212" s="60">
        <f t="shared" si="28"/>
        <v>130048.23000000003</v>
      </c>
    </row>
    <row r="213" spans="3:20" ht="26.25" customHeight="1">
      <c r="C213" s="3" t="s">
        <v>1067</v>
      </c>
      <c r="D213" s="380">
        <v>8.6956521739130432E-2</v>
      </c>
      <c r="E213" s="381">
        <f>ROUND(E$199*$D$213,2)</f>
        <v>7686.96</v>
      </c>
      <c r="F213" s="381">
        <f t="shared" ref="F213:P213" si="38">ROUND(F$199*$D$213,2)</f>
        <v>8034.78</v>
      </c>
      <c r="G213" s="381">
        <f t="shared" si="38"/>
        <v>7513.04</v>
      </c>
      <c r="H213" s="381">
        <f>ROUND(H$199*$D$213,2)</f>
        <v>7686.96</v>
      </c>
      <c r="I213" s="381">
        <f t="shared" si="38"/>
        <v>7686.96</v>
      </c>
      <c r="J213" s="381">
        <f t="shared" si="38"/>
        <v>7686.96</v>
      </c>
      <c r="K213" s="381">
        <f t="shared" si="38"/>
        <v>7513.04</v>
      </c>
      <c r="L213" s="381">
        <f t="shared" si="38"/>
        <v>7513.04</v>
      </c>
      <c r="M213" s="381">
        <f t="shared" si="38"/>
        <v>7686.96</v>
      </c>
      <c r="N213" s="381">
        <f t="shared" si="38"/>
        <v>8034.78</v>
      </c>
      <c r="O213" s="381">
        <f t="shared" si="38"/>
        <v>7513.04</v>
      </c>
      <c r="P213" s="381">
        <f t="shared" si="38"/>
        <v>7513.04</v>
      </c>
      <c r="Q213" s="60">
        <f t="shared" si="28"/>
        <v>92069.559999999983</v>
      </c>
    </row>
    <row r="214" spans="3:20" ht="26.25" customHeight="1">
      <c r="E214" s="381">
        <f>SUM(E200:E213)</f>
        <v>88400.000000000015</v>
      </c>
      <c r="F214" s="381">
        <f t="shared" ref="F214:P214" si="39">SUM(F200:F213)</f>
        <v>92400</v>
      </c>
      <c r="G214" s="381">
        <f t="shared" si="39"/>
        <v>86400</v>
      </c>
      <c r="H214" s="381">
        <f t="shared" si="39"/>
        <v>88400.000000000015</v>
      </c>
      <c r="I214" s="381">
        <f t="shared" si="39"/>
        <v>88400.000000000015</v>
      </c>
      <c r="J214" s="381">
        <f t="shared" si="39"/>
        <v>88400.000000000015</v>
      </c>
      <c r="K214" s="381">
        <f t="shared" si="39"/>
        <v>86400</v>
      </c>
      <c r="L214" s="381">
        <f t="shared" si="39"/>
        <v>86400</v>
      </c>
      <c r="M214" s="381">
        <f t="shared" si="39"/>
        <v>88400.000000000015</v>
      </c>
      <c r="N214" s="381">
        <f t="shared" si="39"/>
        <v>92400</v>
      </c>
      <c r="O214" s="381">
        <f t="shared" si="39"/>
        <v>86400</v>
      </c>
      <c r="P214" s="381">
        <f t="shared" si="39"/>
        <v>86400</v>
      </c>
      <c r="Q214" s="60">
        <f t="shared" si="28"/>
        <v>1058800</v>
      </c>
    </row>
    <row r="215" spans="3:20" s="407" customFormat="1" ht="26.25" customHeight="1">
      <c r="D215" s="412"/>
      <c r="E215" s="381">
        <f>E199-E214</f>
        <v>0</v>
      </c>
      <c r="F215" s="381">
        <f t="shared" ref="F215:Q215" si="40">F199-F214</f>
        <v>0</v>
      </c>
      <c r="G215" s="381">
        <f t="shared" si="40"/>
        <v>0</v>
      </c>
      <c r="H215" s="381">
        <f t="shared" si="40"/>
        <v>0</v>
      </c>
      <c r="I215" s="381">
        <f t="shared" si="40"/>
        <v>0</v>
      </c>
      <c r="J215" s="381">
        <f t="shared" si="40"/>
        <v>0</v>
      </c>
      <c r="K215" s="381">
        <f t="shared" si="40"/>
        <v>0</v>
      </c>
      <c r="L215" s="381">
        <f t="shared" si="40"/>
        <v>0</v>
      </c>
      <c r="M215" s="381">
        <f t="shared" si="40"/>
        <v>0</v>
      </c>
      <c r="N215" s="381">
        <f t="shared" si="40"/>
        <v>0</v>
      </c>
      <c r="O215" s="381">
        <f t="shared" si="40"/>
        <v>0</v>
      </c>
      <c r="P215" s="381">
        <f t="shared" si="40"/>
        <v>0</v>
      </c>
      <c r="Q215" s="381">
        <f t="shared" si="40"/>
        <v>0</v>
      </c>
      <c r="T215" s="408"/>
    </row>
  </sheetData>
  <phoneticPr fontId="57" type="noConversion"/>
  <dataValidations count="24">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6=141593.74_x000d__x000a_" sqref="E64:P64">
      <formula1>0</formula1>
      <formula2>300</formula2>
    </dataValidation>
    <dataValidation type="textLength" errorStyle="information" allowBlank="1" showInputMessage="1" showErrorMessage="1" error="XLBVal:6=170458.81_x000d__x000a_" sqref="E12:P12">
      <formula1>0</formula1>
      <formula2>300</formula2>
    </dataValidation>
    <dataValidation type="textLength" errorStyle="information" allowBlank="1" showInputMessage="1" showErrorMessage="1" error="XLBVal:6=6966993_x000d__x000a_" sqref="Q12">
      <formula1>0</formula1>
      <formula2>300</formula2>
    </dataValidation>
    <dataValidation type="textLength" errorStyle="information" allowBlank="1" showInputMessage="1" showErrorMessage="1" error="XLBVal:6=4_x000d__x000a_" sqref="E194:P194">
      <formula1>0</formula1>
      <formula2>300</formula2>
    </dataValidation>
    <dataValidation type="textLength" errorStyle="information" allowBlank="1" showInputMessage="1" showErrorMessage="1" error="XLBVal:6=25920_x000d__x000a_" sqref="E23:P23">
      <formula1>0</formula1>
      <formula2>300</formula2>
    </dataValidation>
    <dataValidation type="textLength" errorStyle="information" allowBlank="1" showInputMessage="1" showErrorMessage="1" error="XLBVal:6=107.73_x000d__x000a_" sqref="E41:P41">
      <formula1>0</formula1>
      <formula2>300</formula2>
    </dataValidation>
    <dataValidation type="textLength" errorStyle="information" allowBlank="1" showInputMessage="1" showErrorMessage="1" error="XLBVal:6=4613.22_x000d__x000a_" sqref="E35:P35">
      <formula1>0</formula1>
      <formula2>300</formula2>
    </dataValidation>
    <dataValidation type="textLength" errorStyle="information" allowBlank="1" showInputMessage="1" showErrorMessage="1" error="XLBVal:6=6689_x000d__x000a_" sqref="E156:P156">
      <formula1>0</formula1>
      <formula2>300</formula2>
    </dataValidation>
    <dataValidation type="textLength" errorStyle="information" allowBlank="1" showInputMessage="1" showErrorMessage="1" error="XLBVal:6=0_x000d__x000a_" sqref="E157:Q157">
      <formula1>0</formula1>
      <formula2>300</formula2>
    </dataValidation>
    <dataValidation type="textLength" errorStyle="information" allowBlank="1" showInputMessage="1" showErrorMessage="1" error="XLBVal:6=-210957.2_x000d__x000a_" sqref="E158:P158">
      <formula1>0</formula1>
      <formula2>300</formula2>
    </dataValidation>
    <dataValidation type="textLength" errorStyle="information" allowBlank="1" showInputMessage="1" showErrorMessage="1" error="XLBVal:2=0_x000d__x000a_" sqref="Q158 E15:E22 F13:F22 Q15:Q156 Q184:Q190 E36:P40 E180:P181 E65:P155 G15:P22 E42:P63 E162:Q163 E184:P187 E24:P34 E166:P171">
      <formula1>0</formula1>
      <formula2>300</formula2>
    </dataValidation>
    <dataValidation type="textLength" errorStyle="information" allowBlank="1" showInputMessage="1" showErrorMessage="1" sqref="F159:Q159 F193:I193 E159:E161 E191:E193 F191:Q192 F160:I161">
      <formula1>0</formula1>
      <formula2>300</formula2>
    </dataValidation>
    <dataValidation type="textLength" errorStyle="information" allowBlank="1" showInputMessage="1" showErrorMessage="1" error="XLBVal:6=360_x000d__x000a_" sqref="Q194">
      <formula1>0</formula1>
      <formula2>300</formula2>
    </dataValidation>
    <dataValidation type="textLength" errorStyle="information" allowBlank="1" showInputMessage="1" showErrorMessage="1" error="XLBVal:6=5472444.64_x000d__x000a_" sqref="E196:Q196">
      <formula1>0</formula1>
      <formula2>300</formula2>
    </dataValidation>
    <dataValidation type="textLength" errorStyle="information" allowBlank="1" showInputMessage="1" showErrorMessage="1" error="XLBVal:6=6688509.16_x000d__x000a_" sqref="E13:E14">
      <formula1>0</formula1>
      <formula2>300</formula2>
    </dataValidation>
    <dataValidation type="textLength" errorStyle="information" allowBlank="1" showInputMessage="1" showErrorMessage="1" error="XLBVal:6=6595485.04_x000d__x000a_" sqref="G13:G14">
      <formula1>0</formula1>
      <formula2>300</formula2>
    </dataValidation>
    <dataValidation type="textLength" errorStyle="information" allowBlank="1" showInputMessage="1" showErrorMessage="1" error="XLBVal:5=-2586288.67_x000d__x000a_" sqref="H13:H14">
      <formula1>0</formula1>
      <formula2>300</formula2>
    </dataValidation>
    <dataValidation type="textLength" errorStyle="information" allowBlank="1" showInputMessage="1" showErrorMessage="1" error="XLBVal:5=15426.66_x000d__x000a_" sqref="I13:I14">
      <formula1>0</formula1>
      <formula2>300</formula2>
    </dataValidation>
    <dataValidation type="textLength" errorStyle="information" allowBlank="1" showInputMessage="1" showErrorMessage="1" error="XLBVal:6=13928_x000d__x000a_" sqref="Q166:Q171">
      <formula1>0</formula1>
      <formula2>300</formula2>
    </dataValidation>
    <dataValidation type="textLength" errorStyle="information" allowBlank="1" showInputMessage="1" showErrorMessage="1" error="XLBVal:6=550248_x000d__x000a_" sqref="Q174:Q181">
      <formula1>0</formula1>
      <formula2>300</formula2>
    </dataValidation>
    <dataValidation type="textLength" errorStyle="information" allowBlank="1" showInputMessage="1" showErrorMessage="1" error="XLBVal:6=229.28_x000d__x000a_" sqref="E188:P190">
      <formula1>0</formula1>
      <formula2>300</formula2>
    </dataValidation>
    <dataValidation type="textLength" errorStyle="information" allowBlank="1" showInputMessage="1" showErrorMessage="1" error="XLBVal:6=3693.18_x000d__x000a_" sqref="E174:P179">
      <formula1>0</formula1>
      <formula2>300</formula2>
    </dataValidation>
    <dataValidation type="textLength" errorStyle="information" allowBlank="1" showInputMessage="1" showErrorMessage="1" error="XLBVal:6=3678_x000d__x000a_" sqref="E182:Q183">
      <formula1>0</formula1>
      <formula2>300</formula2>
    </dataValidation>
  </dataValidations>
  <printOptions horizontalCentered="1"/>
  <pageMargins left="0.118110236220472" right="0.118110236220472" top="0.59055118110236204" bottom="0.39370078740157499" header="0" footer="0"/>
  <pageSetup paperSize="9" scale="30" fitToHeight="0" orientation="landscape" r:id="rId1"/>
  <headerFooter>
    <oddFooter>&amp;L&amp;"微软雅黑,Regular"&amp;F&amp;C&amp;"微软雅黑,Regular"Page &amp;P of &amp;N&amp;R&amp;"微软雅黑,Regular"&amp;D</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tabColor rgb="FF00B050"/>
  </sheetPr>
  <dimension ref="A1:U33"/>
  <sheetViews>
    <sheetView zoomScale="50" zoomScaleNormal="50" zoomScaleSheetLayoutView="55" workbookViewId="0">
      <pane xSplit="4" topLeftCell="E1" activePane="topRight" state="frozen"/>
      <selection activeCell="K6" sqref="K6"/>
      <selection pane="topRight" activeCell="T31" sqref="T31"/>
    </sheetView>
  </sheetViews>
  <sheetFormatPr defaultColWidth="8.875" defaultRowHeight="26.25" customHeight="1" outlineLevelRow="1" outlineLevelCol="1"/>
  <cols>
    <col min="1" max="3" width="15.5" style="5" hidden="1" customWidth="1" outlineLevel="1"/>
    <col min="4" max="4" width="83.5" style="6" customWidth="1" collapsed="1"/>
    <col min="5" max="9" width="25.5" style="7" customWidth="1"/>
    <col min="10" max="17" width="25.5" style="5" customWidth="1"/>
    <col min="18" max="18" width="12" style="5" customWidth="1"/>
    <col min="19" max="19" width="8.875" style="5"/>
    <col min="20" max="20" width="22.5" style="8" customWidth="1"/>
    <col min="21" max="21" width="22.5" style="5" customWidth="1"/>
    <col min="22" max="16384" width="8.875" style="5"/>
  </cols>
  <sheetData>
    <row r="1" spans="1:21" s="1" customFormat="1" ht="15" customHeight="1" outlineLevel="1">
      <c r="E1" s="9"/>
      <c r="F1" s="9"/>
      <c r="G1" s="9"/>
      <c r="H1" s="9"/>
      <c r="I1" s="9"/>
      <c r="J1" s="9"/>
      <c r="K1" s="9"/>
      <c r="L1" s="9"/>
      <c r="M1" s="9"/>
      <c r="N1" s="9"/>
      <c r="O1" s="9"/>
      <c r="P1" s="9"/>
      <c r="Q1" s="9"/>
      <c r="T1" s="32"/>
    </row>
    <row r="2" spans="1:21" s="1" customFormat="1" ht="15" customHeight="1" outlineLevel="1">
      <c r="E2" s="9"/>
      <c r="F2" s="9"/>
      <c r="G2" s="9"/>
      <c r="H2" s="9"/>
      <c r="I2" s="9"/>
      <c r="J2" s="9"/>
      <c r="K2" s="9"/>
      <c r="L2" s="9"/>
      <c r="M2" s="9"/>
      <c r="N2" s="9"/>
      <c r="O2" s="9"/>
      <c r="P2" s="9"/>
      <c r="Q2" s="9"/>
      <c r="T2" s="32"/>
    </row>
    <row r="3" spans="1:21" s="1" customFormat="1" ht="15" customHeight="1" outlineLevel="1">
      <c r="E3" s="9"/>
      <c r="F3" s="9"/>
      <c r="G3" s="9"/>
      <c r="H3" s="9"/>
      <c r="I3" s="9"/>
      <c r="J3" s="9"/>
      <c r="K3" s="9"/>
      <c r="L3" s="9"/>
      <c r="M3" s="9"/>
      <c r="N3" s="9"/>
      <c r="O3" s="9"/>
      <c r="P3" s="9"/>
      <c r="Q3" s="9"/>
      <c r="T3" s="32"/>
    </row>
    <row r="4" spans="1:21" s="2" customFormat="1" ht="24.95" customHeight="1">
      <c r="D4" s="10" t="str">
        <f>Summary!$D$4</f>
        <v>Hotel Budget Report</v>
      </c>
      <c r="E4" s="11"/>
      <c r="F4" s="11"/>
      <c r="G4" s="12"/>
      <c r="H4" s="13"/>
      <c r="I4" s="13"/>
      <c r="T4" s="33"/>
    </row>
    <row r="5" spans="1:21" s="2" customFormat="1" ht="24.95" customHeight="1">
      <c r="D5" s="10" t="str">
        <f>Summary!$D$5</f>
        <v>酒店预算报表</v>
      </c>
      <c r="E5" s="11"/>
      <c r="F5" s="11"/>
      <c r="G5" s="12"/>
      <c r="H5" s="13"/>
      <c r="I5" s="13"/>
      <c r="T5" s="33"/>
    </row>
    <row r="6" spans="1:21" s="2" customFormat="1" ht="24.95" customHeight="1">
      <c r="D6" s="14" t="s">
        <v>1072</v>
      </c>
      <c r="E6" s="13"/>
      <c r="F6" s="13"/>
      <c r="G6" s="13"/>
      <c r="H6" s="13"/>
      <c r="I6" s="13"/>
      <c r="T6" s="33"/>
    </row>
    <row r="7" spans="1:21" s="2" customFormat="1" ht="24.95" customHeight="1">
      <c r="D7" s="15" t="s">
        <v>1206</v>
      </c>
      <c r="E7" s="13"/>
      <c r="F7" s="13"/>
      <c r="G7" s="13"/>
      <c r="H7" s="13"/>
      <c r="I7" s="13"/>
      <c r="T7" s="33"/>
    </row>
    <row r="8" spans="1:21" ht="24.95" customHeight="1">
      <c r="D8" s="16"/>
    </row>
    <row r="9" spans="1:21" s="3" customFormat="1" ht="24.95" customHeight="1">
      <c r="D9" s="17"/>
      <c r="E9" s="18">
        <v>1</v>
      </c>
      <c r="F9" s="18">
        <v>2</v>
      </c>
      <c r="G9" s="18">
        <v>3</v>
      </c>
      <c r="H9" s="18">
        <v>4</v>
      </c>
      <c r="I9" s="18">
        <v>5</v>
      </c>
      <c r="J9" s="18">
        <v>6</v>
      </c>
      <c r="K9" s="18">
        <v>7</v>
      </c>
      <c r="L9" s="18">
        <v>8</v>
      </c>
      <c r="M9" s="18">
        <v>9</v>
      </c>
      <c r="N9" s="18">
        <v>10</v>
      </c>
      <c r="O9" s="18">
        <v>11</v>
      </c>
      <c r="P9" s="18">
        <v>12</v>
      </c>
      <c r="Q9" s="18">
        <v>2025</v>
      </c>
      <c r="S9" s="34"/>
      <c r="T9" s="35"/>
    </row>
    <row r="10" spans="1:21" s="414" customFormat="1" ht="39.950000000000003" customHeight="1">
      <c r="A10" s="413" t="s">
        <v>19</v>
      </c>
      <c r="B10" s="413" t="s">
        <v>20</v>
      </c>
      <c r="C10" s="413" t="s">
        <v>377</v>
      </c>
      <c r="E10" s="20" t="s">
        <v>21</v>
      </c>
      <c r="F10" s="20" t="s">
        <v>21</v>
      </c>
      <c r="G10" s="20" t="s">
        <v>21</v>
      </c>
      <c r="H10" s="20" t="s">
        <v>21</v>
      </c>
      <c r="I10" s="20" t="s">
        <v>21</v>
      </c>
      <c r="J10" s="20" t="s">
        <v>21</v>
      </c>
      <c r="K10" s="20" t="s">
        <v>21</v>
      </c>
      <c r="L10" s="20" t="s">
        <v>21</v>
      </c>
      <c r="M10" s="20" t="s">
        <v>21</v>
      </c>
      <c r="N10" s="20" t="s">
        <v>21</v>
      </c>
      <c r="O10" s="20" t="s">
        <v>21</v>
      </c>
      <c r="P10" s="20" t="s">
        <v>21</v>
      </c>
      <c r="Q10" s="20" t="s">
        <v>21</v>
      </c>
      <c r="S10" s="414" t="s">
        <v>1073</v>
      </c>
      <c r="T10" s="415"/>
      <c r="U10" s="371"/>
    </row>
    <row r="11" spans="1:21" s="3" customFormat="1" ht="24.95" customHeight="1">
      <c r="D11" s="21"/>
      <c r="E11" s="22"/>
      <c r="F11" s="22"/>
      <c r="G11" s="22"/>
      <c r="H11" s="23"/>
      <c r="I11" s="23"/>
      <c r="T11" s="35"/>
    </row>
    <row r="12" spans="1:21" s="3" customFormat="1" ht="24.95" customHeight="1">
      <c r="D12" s="21" t="s">
        <v>1074</v>
      </c>
      <c r="E12" s="24"/>
      <c r="F12" s="24"/>
      <c r="G12" s="24"/>
      <c r="H12" s="25"/>
      <c r="I12" s="25"/>
      <c r="T12" s="35"/>
    </row>
    <row r="13" spans="1:21" s="3" customFormat="1" ht="24.95" customHeight="1">
      <c r="A13" s="3" t="s">
        <v>70</v>
      </c>
      <c r="B13" s="3" t="s">
        <v>63</v>
      </c>
      <c r="D13" s="26" t="s">
        <v>1075</v>
      </c>
      <c r="E13" s="27"/>
      <c r="F13" s="27"/>
      <c r="G13" s="27"/>
      <c r="H13" s="27">
        <v>2000</v>
      </c>
      <c r="I13" s="27"/>
      <c r="J13" s="27"/>
      <c r="K13" s="27"/>
      <c r="L13" s="27">
        <v>2000</v>
      </c>
      <c r="M13" s="27"/>
      <c r="N13" s="27"/>
      <c r="O13" s="27"/>
      <c r="P13" s="27">
        <v>2000</v>
      </c>
      <c r="Q13" s="38">
        <f>SUM(E13:P13)</f>
        <v>6000</v>
      </c>
      <c r="R13" s="39">
        <f>Q13/Summary!$Q$16</f>
        <v>1.8040885626113205E-4</v>
      </c>
      <c r="S13" s="39"/>
      <c r="T13" s="35"/>
      <c r="U13" s="40"/>
    </row>
    <row r="14" spans="1:21" s="3" customFormat="1" ht="24.95" customHeight="1">
      <c r="A14" s="3" t="s">
        <v>62</v>
      </c>
      <c r="B14" s="3" t="s">
        <v>63</v>
      </c>
      <c r="D14" s="28" t="s">
        <v>1076</v>
      </c>
      <c r="E14" s="27">
        <f>ROUND(Summary!E16*2%/1.06,2)</f>
        <v>42638.6</v>
      </c>
      <c r="F14" s="27">
        <f>ROUND(Summary!F16*2%/1.06,2)</f>
        <v>34270.65</v>
      </c>
      <c r="G14" s="27">
        <f>ROUND(Summary!G16*2%/1.06,2)</f>
        <v>44169.07</v>
      </c>
      <c r="H14" s="27">
        <f>ROUND(Summary!H16*2%/1.06,2)</f>
        <v>52283.59</v>
      </c>
      <c r="I14" s="27">
        <f>ROUND(Summary!I16*2%/1.06,2)</f>
        <v>58421.91</v>
      </c>
      <c r="J14" s="27">
        <f>ROUND(Summary!J16*2%/1.06,2)</f>
        <v>49411.74</v>
      </c>
      <c r="K14" s="27">
        <f>ROUND(Summary!K16*2%/1.06,2)</f>
        <v>56110.42</v>
      </c>
      <c r="L14" s="27">
        <f>ROUND(Summary!L16*2%/1.06,2)</f>
        <v>57492.31</v>
      </c>
      <c r="M14" s="27">
        <f>ROUND(Summary!M16*2%/1.06,2)</f>
        <v>58607.97</v>
      </c>
      <c r="N14" s="27">
        <f>ROUND(Summary!N16*2%/1.06,2)</f>
        <v>65436.13</v>
      </c>
      <c r="O14" s="27">
        <f>ROUND(Summary!O16*2%/1.06,2)</f>
        <v>55614.76</v>
      </c>
      <c r="P14" s="27">
        <f>ROUND(Summary!P16*2%/1.06,2)</f>
        <v>53048.35</v>
      </c>
      <c r="Q14" s="38">
        <f t="shared" ref="Q14:Q24" si="0">SUM(E14:P14)</f>
        <v>627505.5</v>
      </c>
      <c r="R14" s="39">
        <f>Q14/Summary!$Q$16</f>
        <v>1.8867924925428301E-2</v>
      </c>
      <c r="S14" s="39"/>
      <c r="T14" s="35"/>
      <c r="U14" s="40"/>
    </row>
    <row r="15" spans="1:21" s="3" customFormat="1" ht="24.95" customHeight="1">
      <c r="A15" s="3" t="s">
        <v>65</v>
      </c>
      <c r="B15" s="3" t="s">
        <v>63</v>
      </c>
      <c r="D15" s="26" t="s">
        <v>1077</v>
      </c>
      <c r="E15" s="27"/>
      <c r="F15" s="27"/>
      <c r="G15" s="27"/>
      <c r="H15" s="27"/>
      <c r="I15" s="27"/>
      <c r="J15" s="27"/>
      <c r="K15" s="27"/>
      <c r="L15" s="27"/>
      <c r="M15" s="27"/>
      <c r="N15" s="27"/>
      <c r="O15" s="27"/>
      <c r="P15" s="27"/>
      <c r="Q15" s="38">
        <f t="shared" si="0"/>
        <v>0</v>
      </c>
      <c r="R15" s="39">
        <f>Q15/Summary!$Q$16</f>
        <v>0</v>
      </c>
      <c r="S15" s="39"/>
      <c r="T15" s="35"/>
      <c r="U15" s="40"/>
    </row>
    <row r="16" spans="1:21" s="3" customFormat="1" ht="24.95" customHeight="1">
      <c r="A16" s="3" t="s">
        <v>1078</v>
      </c>
      <c r="B16" s="3" t="s">
        <v>63</v>
      </c>
      <c r="D16" s="26" t="s">
        <v>1079</v>
      </c>
      <c r="E16" s="27"/>
      <c r="F16" s="27"/>
      <c r="G16" s="27"/>
      <c r="H16" s="27"/>
      <c r="I16" s="27"/>
      <c r="J16" s="27"/>
      <c r="K16" s="27"/>
      <c r="L16" s="27"/>
      <c r="M16" s="27"/>
      <c r="N16" s="27"/>
      <c r="O16" s="27"/>
      <c r="P16" s="27"/>
      <c r="Q16" s="38">
        <f t="shared" si="0"/>
        <v>0</v>
      </c>
      <c r="R16" s="39">
        <f>Q16/Summary!$Q$16</f>
        <v>0</v>
      </c>
      <c r="S16" s="39"/>
      <c r="T16" s="35"/>
      <c r="U16" s="40"/>
    </row>
    <row r="17" spans="1:21" s="3" customFormat="1" ht="24.95" customHeight="1">
      <c r="A17" s="3" t="s">
        <v>1080</v>
      </c>
      <c r="B17" s="3" t="s">
        <v>63</v>
      </c>
      <c r="D17" s="29" t="s">
        <v>1081</v>
      </c>
      <c r="E17" s="27">
        <v>61300</v>
      </c>
      <c r="F17" s="27">
        <v>61300</v>
      </c>
      <c r="G17" s="27">
        <v>61300</v>
      </c>
      <c r="H17" s="27">
        <v>61300</v>
      </c>
      <c r="I17" s="27">
        <v>61300</v>
      </c>
      <c r="J17" s="27">
        <v>61300</v>
      </c>
      <c r="K17" s="27">
        <v>61300</v>
      </c>
      <c r="L17" s="27">
        <v>61300</v>
      </c>
      <c r="M17" s="27">
        <v>61300</v>
      </c>
      <c r="N17" s="27">
        <v>61300</v>
      </c>
      <c r="O17" s="27">
        <v>61300</v>
      </c>
      <c r="P17" s="27">
        <v>61300</v>
      </c>
      <c r="Q17" s="38">
        <f t="shared" si="0"/>
        <v>735600</v>
      </c>
      <c r="R17" s="39">
        <f>Q17/Summary!$Q$16</f>
        <v>2.2118125777614791E-2</v>
      </c>
      <c r="S17" s="39"/>
      <c r="T17" s="35"/>
      <c r="U17" s="40"/>
    </row>
    <row r="18" spans="1:21" s="3" customFormat="1" ht="24.95" customHeight="1">
      <c r="A18" s="3" t="s">
        <v>89</v>
      </c>
      <c r="B18" s="3" t="s">
        <v>63</v>
      </c>
      <c r="D18" s="29" t="s">
        <v>1082</v>
      </c>
      <c r="E18" s="27"/>
      <c r="F18" s="27"/>
      <c r="G18" s="27"/>
      <c r="H18" s="27"/>
      <c r="I18" s="27"/>
      <c r="J18" s="27"/>
      <c r="K18" s="27"/>
      <c r="L18" s="27"/>
      <c r="M18" s="27"/>
      <c r="N18" s="27"/>
      <c r="O18" s="27"/>
      <c r="P18" s="27"/>
      <c r="Q18" s="38">
        <f t="shared" si="0"/>
        <v>0</v>
      </c>
      <c r="R18" s="39">
        <f>Q18/Summary!$Q$16</f>
        <v>0</v>
      </c>
      <c r="S18" s="39"/>
      <c r="T18" s="35"/>
      <c r="U18" s="40"/>
    </row>
    <row r="19" spans="1:21" s="3" customFormat="1" ht="24.95" customHeight="1">
      <c r="A19" s="3" t="s">
        <v>74</v>
      </c>
      <c r="B19" s="3" t="s">
        <v>63</v>
      </c>
      <c r="D19" s="26" t="s">
        <v>1083</v>
      </c>
      <c r="E19" s="27"/>
      <c r="F19" s="27"/>
      <c r="G19" s="27"/>
      <c r="H19" s="27"/>
      <c r="I19" s="27"/>
      <c r="J19" s="27"/>
      <c r="K19" s="27"/>
      <c r="L19" s="27"/>
      <c r="M19" s="27"/>
      <c r="N19" s="27"/>
      <c r="O19" s="27"/>
      <c r="P19" s="27"/>
      <c r="Q19" s="38">
        <f t="shared" si="0"/>
        <v>0</v>
      </c>
      <c r="R19" s="39">
        <f>Q19/Summary!$Q$16</f>
        <v>0</v>
      </c>
      <c r="S19" s="39"/>
      <c r="T19" s="35"/>
      <c r="U19" s="40"/>
    </row>
    <row r="20" spans="1:21" s="372" customFormat="1" ht="24.95" customHeight="1">
      <c r="A20" s="372" t="s">
        <v>91</v>
      </c>
      <c r="B20" s="372" t="s">
        <v>63</v>
      </c>
      <c r="D20" s="411" t="s">
        <v>1084</v>
      </c>
      <c r="E20" s="27">
        <f>ROUND(Summary!E16*4%,2)</f>
        <v>90393.84</v>
      </c>
      <c r="F20" s="27">
        <f>ROUND(Summary!F16*4%,2)</f>
        <v>72653.78</v>
      </c>
      <c r="G20" s="27">
        <f>ROUND(Summary!G16*4%,2)</f>
        <v>93638.42</v>
      </c>
      <c r="H20" s="27">
        <f>ROUND(Summary!H16*4%,2)</f>
        <v>110841.21</v>
      </c>
      <c r="I20" s="27">
        <f>ROUND(Summary!I16*4%,2)</f>
        <v>123854.45</v>
      </c>
      <c r="J20" s="27">
        <f>ROUND(Summary!J16*4%,2)</f>
        <v>104752.89</v>
      </c>
      <c r="K20" s="27">
        <f>ROUND(Summary!K16*4%,2)</f>
        <v>118954.09</v>
      </c>
      <c r="L20" s="27">
        <f>ROUND(Summary!L16*4%,2)</f>
        <v>121883.69</v>
      </c>
      <c r="M20" s="27">
        <f>ROUND(Summary!M16*4%,2)</f>
        <v>124248.89</v>
      </c>
      <c r="N20" s="27">
        <f>ROUND(Summary!N16*4%,2)</f>
        <v>138724.59</v>
      </c>
      <c r="O20" s="27">
        <f>ROUND(Summary!O16*4%,2)</f>
        <v>117903.29</v>
      </c>
      <c r="P20" s="27">
        <f>ROUND(Summary!P16*4%,2)</f>
        <v>112462.49</v>
      </c>
      <c r="Q20" s="38">
        <f t="shared" si="0"/>
        <v>1330311.6299999999</v>
      </c>
      <c r="R20" s="39">
        <f>Q20/Summary!$Q$16</f>
        <v>3.9999999939863709E-2</v>
      </c>
      <c r="S20" s="39"/>
      <c r="T20" s="375"/>
      <c r="U20" s="360"/>
    </row>
    <row r="21" spans="1:21" s="3" customFormat="1" ht="24.95" customHeight="1">
      <c r="A21" s="3" t="s">
        <v>1085</v>
      </c>
      <c r="B21" s="3" t="s">
        <v>63</v>
      </c>
      <c r="D21" s="26" t="s">
        <v>1086</v>
      </c>
      <c r="E21" s="27"/>
      <c r="F21" s="27"/>
      <c r="G21" s="27"/>
      <c r="H21" s="27"/>
      <c r="I21" s="27"/>
      <c r="J21" s="27"/>
      <c r="K21" s="27"/>
      <c r="L21" s="27"/>
      <c r="M21" s="27"/>
      <c r="N21" s="27"/>
      <c r="O21" s="27"/>
      <c r="P21" s="27"/>
      <c r="Q21" s="38">
        <f t="shared" si="0"/>
        <v>0</v>
      </c>
      <c r="R21" s="39">
        <f>Q21/Summary!$Q$16</f>
        <v>0</v>
      </c>
      <c r="S21" s="39"/>
      <c r="T21" s="35"/>
      <c r="U21" s="40"/>
    </row>
    <row r="22" spans="1:21" s="3" customFormat="1" ht="24.95" customHeight="1">
      <c r="A22" s="3" t="s">
        <v>1087</v>
      </c>
      <c r="B22" s="3" t="s">
        <v>63</v>
      </c>
      <c r="D22" s="26" t="s">
        <v>1088</v>
      </c>
      <c r="E22" s="27"/>
      <c r="F22" s="27"/>
      <c r="G22" s="27"/>
      <c r="H22" s="27"/>
      <c r="I22" s="27"/>
      <c r="J22" s="27"/>
      <c r="K22" s="27"/>
      <c r="L22" s="27"/>
      <c r="M22" s="27"/>
      <c r="N22" s="27"/>
      <c r="O22" s="27"/>
      <c r="P22" s="27"/>
      <c r="Q22" s="38">
        <f t="shared" si="0"/>
        <v>0</v>
      </c>
      <c r="R22" s="39">
        <f>Q22/Summary!$Q$16</f>
        <v>0</v>
      </c>
      <c r="S22" s="39"/>
      <c r="T22" s="35"/>
      <c r="U22" s="40"/>
    </row>
    <row r="23" spans="1:21" s="3" customFormat="1" ht="24.95" customHeight="1">
      <c r="A23" s="3" t="s">
        <v>1089</v>
      </c>
      <c r="B23" s="3" t="s">
        <v>63</v>
      </c>
      <c r="D23" s="26" t="s">
        <v>1090</v>
      </c>
      <c r="E23" s="27"/>
      <c r="F23" s="27"/>
      <c r="G23" s="27"/>
      <c r="H23" s="27"/>
      <c r="I23" s="27"/>
      <c r="J23" s="27"/>
      <c r="K23" s="27"/>
      <c r="L23" s="27"/>
      <c r="M23" s="27"/>
      <c r="N23" s="27"/>
      <c r="O23" s="27"/>
      <c r="P23" s="27"/>
      <c r="Q23" s="38">
        <f t="shared" si="0"/>
        <v>0</v>
      </c>
      <c r="R23" s="39">
        <f>Q23/Summary!$Q$16</f>
        <v>0</v>
      </c>
      <c r="S23" s="39"/>
      <c r="T23" s="35"/>
      <c r="U23" s="40"/>
    </row>
    <row r="24" spans="1:21" s="3" customFormat="1" ht="24.95" customHeight="1">
      <c r="A24" s="3" t="s">
        <v>81</v>
      </c>
      <c r="B24" s="3" t="s">
        <v>63</v>
      </c>
      <c r="D24" s="26" t="s">
        <v>1091</v>
      </c>
      <c r="E24" s="27">
        <f>-ROUND(Summary!E16*0.5%/1.06,2)</f>
        <v>-10659.65</v>
      </c>
      <c r="F24" s="27">
        <f>-ROUND(Summary!F16*0.5%/1.06,2)</f>
        <v>-8567.66</v>
      </c>
      <c r="G24" s="27">
        <f>-ROUND(Summary!G16*0.5%/1.06,2)</f>
        <v>-11042.27</v>
      </c>
      <c r="H24" s="27">
        <f>-ROUND(Summary!H16*0.5%/1.06,2)</f>
        <v>-13070.9</v>
      </c>
      <c r="I24" s="27">
        <f>-ROUND(Summary!I16*0.5%/1.06,2)</f>
        <v>-14605.48</v>
      </c>
      <c r="J24" s="27">
        <f>-ROUND(Summary!J16*0.5%/1.06,2)</f>
        <v>-12352.93</v>
      </c>
      <c r="K24" s="27">
        <f>-ROUND(Summary!K16*0.5%/1.06,2)</f>
        <v>-14027.61</v>
      </c>
      <c r="L24" s="27">
        <f>-ROUND(Summary!L16*0.5%/1.06,2)</f>
        <v>-14373.08</v>
      </c>
      <c r="M24" s="27">
        <f>-ROUND(Summary!M16*0.5%/1.06,2)</f>
        <v>-14651.99</v>
      </c>
      <c r="N24" s="27">
        <f>-ROUND(Summary!N16*0.5%/1.06,2)</f>
        <v>-16359.03</v>
      </c>
      <c r="O24" s="27">
        <f>-ROUND(Summary!O16*0.5%/1.06,2)</f>
        <v>-13903.69</v>
      </c>
      <c r="P24" s="27">
        <f>-ROUND(Summary!P16*0.5%/1.06,2)</f>
        <v>-13262.09</v>
      </c>
      <c r="Q24" s="38">
        <f t="shared" si="0"/>
        <v>-156876.37999999998</v>
      </c>
      <c r="R24" s="39">
        <f>Q24/Summary!$Q$16</f>
        <v>-4.7169813816977874E-3</v>
      </c>
      <c r="S24" s="39"/>
      <c r="T24" s="35"/>
      <c r="U24" s="40"/>
    </row>
    <row r="25" spans="1:21" s="3" customFormat="1" ht="24.95" customHeight="1">
      <c r="D25" s="26" t="s">
        <v>1092</v>
      </c>
      <c r="E25" s="30">
        <f>SUM(E13:E24)</f>
        <v>183672.79</v>
      </c>
      <c r="F25" s="30">
        <f t="shared" ref="F25:P25" si="1">SUM(F13:F24)</f>
        <v>159656.76999999999</v>
      </c>
      <c r="G25" s="30">
        <f t="shared" si="1"/>
        <v>188065.22</v>
      </c>
      <c r="H25" s="30">
        <f t="shared" si="1"/>
        <v>213353.9</v>
      </c>
      <c r="I25" s="30">
        <f t="shared" si="1"/>
        <v>228970.87999999998</v>
      </c>
      <c r="J25" s="30">
        <f t="shared" si="1"/>
        <v>203111.7</v>
      </c>
      <c r="K25" s="30">
        <f t="shared" si="1"/>
        <v>222336.90000000002</v>
      </c>
      <c r="L25" s="30">
        <f t="shared" si="1"/>
        <v>228302.92</v>
      </c>
      <c r="M25" s="30">
        <f t="shared" si="1"/>
        <v>229504.87</v>
      </c>
      <c r="N25" s="30">
        <f t="shared" si="1"/>
        <v>249101.68999999997</v>
      </c>
      <c r="O25" s="30">
        <f t="shared" si="1"/>
        <v>220914.36</v>
      </c>
      <c r="P25" s="30">
        <f t="shared" si="1"/>
        <v>215548.75000000003</v>
      </c>
      <c r="Q25" s="30">
        <f t="shared" ref="Q25" si="2">SUM(Q13:Q24)</f>
        <v>2542540.75</v>
      </c>
      <c r="R25" s="39">
        <f>Q25/Summary!$Q$16</f>
        <v>7.6449478117470146E-2</v>
      </c>
      <c r="S25" s="39"/>
      <c r="T25" s="35"/>
      <c r="U25" s="40"/>
    </row>
    <row r="26" spans="1:21" s="3" customFormat="1" ht="24.95" customHeight="1">
      <c r="D26" s="26"/>
      <c r="E26" s="27"/>
      <c r="F26" s="27"/>
      <c r="G26" s="27"/>
      <c r="H26" s="27"/>
      <c r="I26" s="27"/>
      <c r="J26" s="27"/>
      <c r="K26" s="27"/>
      <c r="L26" s="27"/>
      <c r="M26" s="27"/>
      <c r="N26" s="27"/>
      <c r="O26" s="27"/>
      <c r="P26" s="27"/>
      <c r="Q26" s="41"/>
      <c r="T26" s="35"/>
      <c r="U26" s="40"/>
    </row>
    <row r="27" spans="1:21" s="3" customFormat="1" ht="24.95" customHeight="1">
      <c r="A27" s="3" t="s">
        <v>77</v>
      </c>
      <c r="B27" s="3" t="s">
        <v>63</v>
      </c>
      <c r="D27" s="26" t="s">
        <v>1093</v>
      </c>
      <c r="E27" s="27">
        <v>0</v>
      </c>
      <c r="F27" s="27">
        <v>0</v>
      </c>
      <c r="G27" s="27">
        <v>0</v>
      </c>
      <c r="H27" s="27">
        <v>0</v>
      </c>
      <c r="I27" s="27">
        <v>0</v>
      </c>
      <c r="J27" s="27">
        <v>0</v>
      </c>
      <c r="K27" s="27">
        <v>0</v>
      </c>
      <c r="L27" s="27">
        <v>0</v>
      </c>
      <c r="M27" s="27">
        <v>0</v>
      </c>
      <c r="N27" s="27">
        <v>0</v>
      </c>
      <c r="O27" s="27">
        <v>0</v>
      </c>
      <c r="P27" s="27">
        <v>0</v>
      </c>
      <c r="Q27" s="41">
        <f t="shared" ref="Q27" si="3">SUM(E27:P27)</f>
        <v>0</v>
      </c>
      <c r="T27" s="35"/>
      <c r="U27" s="40"/>
    </row>
    <row r="33" spans="8:8" ht="26.25" customHeight="1">
      <c r="H33" s="31"/>
    </row>
  </sheetData>
  <phoneticPr fontId="57" type="noConversion"/>
  <dataValidations count="13">
    <dataValidation type="textLength" errorStyle="information" allowBlank="1" showInputMessage="1" showErrorMessage="1" error="XLBVal:8=Oct 2016_x000d__x000a_" sqref="D5">
      <formula1>0</formula1>
      <formula2>300</formula2>
    </dataValidation>
    <dataValidation type="textLength" errorStyle="information" allowBlank="1" showInputMessage="1" showErrorMessage="1" error="XLBVal:5=-2586288.67_x000d__x000a_" sqref="H12">
      <formula1>0</formula1>
      <formula2>300</formula2>
    </dataValidation>
    <dataValidation type="textLength" errorStyle="information" allowBlank="1" showInputMessage="1" showErrorMessage="1" error="XLBVal:6=6595485.04_x000d__x000a_" sqref="G12">
      <formula1>0</formula1>
      <formula2>300</formula2>
    </dataValidation>
    <dataValidation type="textLength" errorStyle="information" allowBlank="1" showInputMessage="1" showErrorMessage="1" error="XLBVal:6=6688509.16_x000d__x000a_" sqref="E12">
      <formula1>0</formula1>
      <formula2>300</formula2>
    </dataValidation>
    <dataValidation type="textLength" errorStyle="information" allowBlank="1" showInputMessage="1" showErrorMessage="1" error="XLBVal:2=0_x000d__x000a_" sqref="F12 E16:P16 E21:P21 E23:L23 Q13:Q24 E25:Q27 E18:P19">
      <formula1>0</formula1>
      <formula2>300</formula2>
    </dataValidation>
    <dataValidation type="textLength" errorStyle="information" allowBlank="1" showInputMessage="1" showErrorMessage="1" error="XLBVal:5=15426.66_x000d__x000a_" sqref="I12">
      <formula1>0</formula1>
      <formula2>300</formula2>
    </dataValidation>
    <dataValidation type="textLength" errorStyle="information" allowBlank="1" showInputMessage="1" showErrorMessage="1" error="XLBVal:6=50958.19_x000d__x000a_" sqref="E13:P13">
      <formula1>0</formula1>
      <formula2>300</formula2>
    </dataValidation>
    <dataValidation type="textLength" errorStyle="information" allowBlank="1" showInputMessage="1" showErrorMessage="1" error="XLBVal:6=243093.25_x000d__x000a_" sqref="E14:P14">
      <formula1>0</formula1>
      <formula2>300</formula2>
    </dataValidation>
    <dataValidation type="textLength" errorStyle="information" allowBlank="1" showInputMessage="1" showErrorMessage="1" error="XLBVal:6=112295.75_x000d__x000a_" sqref="E15:P15">
      <formula1>0</formula1>
      <formula2>300</formula2>
    </dataValidation>
    <dataValidation type="textLength" errorStyle="information" allowBlank="1" showInputMessage="1" showErrorMessage="1" error="XLBVal:6=116348.21_x000d__x000a_" sqref="E17:P17">
      <formula1>0</formula1>
      <formula2>300</formula2>
    </dataValidation>
    <dataValidation type="textLength" errorStyle="information" allowBlank="1" showInputMessage="1" showErrorMessage="1" error="XLBVal:6=232183.48_x000d__x000a_" sqref="E20:P20">
      <formula1>0</formula1>
      <formula2>300</formula2>
    </dataValidation>
    <dataValidation type="textLength" errorStyle="information" allowBlank="1" showInputMessage="1" showErrorMessage="1" error="XLBVal:6=50287.96_x000d__x000a_" sqref="E22:P22 M23:P23">
      <formula1>0</formula1>
      <formula2>300</formula2>
    </dataValidation>
    <dataValidation type="textLength" errorStyle="information" allowBlank="1" showInputMessage="1" showErrorMessage="1" error="XLBVal:6=0_x000d__x000a_" sqref="E24:P24">
      <formula1>0</formula1>
      <formula2>300</formula2>
    </dataValidation>
  </dataValidations>
  <printOptions horizontalCentered="1"/>
  <pageMargins left="0.118110236220472" right="0.118110236220472" top="0.59055118110236204" bottom="0.39370078740157499" header="0" footer="0"/>
  <pageSetup paperSize="9" scale="35" fitToHeight="0" orientation="landscape" r:id="rId1"/>
  <headerFooter>
    <oddFooter>&amp;L&amp;"微软雅黑,Regular"&amp;F&amp;C&amp;"微软雅黑,Regular"Page &amp;P of &amp;N&amp;R&amp;"微软雅黑,Regular"&amp;D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41</vt:i4>
      </vt:variant>
      <vt:variant>
        <vt:lpstr>命名范围</vt:lpstr>
      </vt:variant>
      <vt:variant>
        <vt:i4>84</vt:i4>
      </vt:variant>
    </vt:vector>
  </HeadingPairs>
  <TitlesOfParts>
    <vt:vector size="125" baseType="lpstr">
      <vt:lpstr>Version</vt:lpstr>
      <vt:lpstr>Parameter</vt:lpstr>
      <vt:lpstr>Summary</vt:lpstr>
      <vt:lpstr>Rooms Summary</vt:lpstr>
      <vt:lpstr>Front Office</vt:lpstr>
      <vt:lpstr>HSKP</vt:lpstr>
      <vt:lpstr>Reservation</vt:lpstr>
      <vt:lpstr>ROOMS Admin</vt:lpstr>
      <vt:lpstr>F&amp;B Summary</vt:lpstr>
      <vt:lpstr>Lobby Lounge</vt:lpstr>
      <vt:lpstr>Royal Court</vt:lpstr>
      <vt:lpstr>MP Cafe</vt:lpstr>
      <vt:lpstr>MP Dining</vt:lpstr>
      <vt:lpstr>ADD-Mhub lounge</vt:lpstr>
      <vt:lpstr>Banquet</vt:lpstr>
      <vt:lpstr>Main Kitchen</vt:lpstr>
      <vt:lpstr>Room Service</vt:lpstr>
      <vt:lpstr>Minibar</vt:lpstr>
      <vt:lpstr>STW</vt:lpstr>
      <vt:lpstr>F&amp;B Admin</vt:lpstr>
      <vt:lpstr>OOD</vt:lpstr>
      <vt:lpstr>Health Club</vt:lpstr>
      <vt:lpstr>Telephone</vt:lpstr>
      <vt:lpstr>Guest Laundry</vt:lpstr>
      <vt:lpstr>BC</vt:lpstr>
      <vt:lpstr>DYT Galleria</vt:lpstr>
      <vt:lpstr>Apartment</vt:lpstr>
      <vt:lpstr>Transportation</vt:lpstr>
      <vt:lpstr>Garage Parking</vt:lpstr>
      <vt:lpstr>A&amp;G</vt:lpstr>
      <vt:lpstr>EO</vt:lpstr>
      <vt:lpstr>Finance</vt:lpstr>
      <vt:lpstr>HR</vt:lpstr>
      <vt:lpstr>Security</vt:lpstr>
      <vt:lpstr>IT</vt:lpstr>
      <vt:lpstr>R&amp;M</vt:lpstr>
      <vt:lpstr>Utilities</vt:lpstr>
      <vt:lpstr>S&amp;M</vt:lpstr>
      <vt:lpstr>Laundry</vt:lpstr>
      <vt:lpstr>Staff Canteen</vt:lpstr>
      <vt:lpstr>Fixed Charge</vt:lpstr>
      <vt:lpstr>BUCODE</vt:lpstr>
      <vt:lpstr>CP</vt:lpstr>
      <vt:lpstr>HotelnameC</vt:lpstr>
      <vt:lpstr>HotelnameE</vt:lpstr>
      <vt:lpstr>LEDGER</vt:lpstr>
      <vt:lpstr>LEDGER_K</vt:lpstr>
      <vt:lpstr>'A&amp;G'!Print_Area</vt:lpstr>
      <vt:lpstr>'ADD-Mhub lounge'!Print_Area</vt:lpstr>
      <vt:lpstr>Apartment!Print_Area</vt:lpstr>
      <vt:lpstr>Banquet!Print_Area</vt:lpstr>
      <vt:lpstr>BC!Print_Area</vt:lpstr>
      <vt:lpstr>'DYT Galleria'!Print_Area</vt:lpstr>
      <vt:lpstr>EO!Print_Area</vt:lpstr>
      <vt:lpstr>'F&amp;B Admin'!Print_Area</vt:lpstr>
      <vt:lpstr>'F&amp;B Summary'!Print_Area</vt:lpstr>
      <vt:lpstr>Finance!Print_Area</vt:lpstr>
      <vt:lpstr>'Fixed Charge'!Print_Area</vt:lpstr>
      <vt:lpstr>'Front Office'!Print_Area</vt:lpstr>
      <vt:lpstr>'Garage Parking'!Print_Area</vt:lpstr>
      <vt:lpstr>'Guest Laundry'!Print_Area</vt:lpstr>
      <vt:lpstr>'Health Club'!Print_Area</vt:lpstr>
      <vt:lpstr>HR!Print_Area</vt:lpstr>
      <vt:lpstr>HSKP!Print_Area</vt:lpstr>
      <vt:lpstr>IT!Print_Area</vt:lpstr>
      <vt:lpstr>Laundry!Print_Area</vt:lpstr>
      <vt:lpstr>'Lobby Lounge'!Print_Area</vt:lpstr>
      <vt:lpstr>'Main Kitchen'!Print_Area</vt:lpstr>
      <vt:lpstr>Minibar!Print_Area</vt:lpstr>
      <vt:lpstr>'MP Cafe'!Print_Area</vt:lpstr>
      <vt:lpstr>'MP Dining'!Print_Area</vt:lpstr>
      <vt:lpstr>OOD!Print_Area</vt:lpstr>
      <vt:lpstr>'R&amp;M'!Print_Area</vt:lpstr>
      <vt:lpstr>Reservation!Print_Area</vt:lpstr>
      <vt:lpstr>'Room Service'!Print_Area</vt:lpstr>
      <vt:lpstr>'ROOMS Admin'!Print_Area</vt:lpstr>
      <vt:lpstr>'Rooms Summary'!Print_Area</vt:lpstr>
      <vt:lpstr>'Royal Court'!Print_Area</vt:lpstr>
      <vt:lpstr>'S&amp;M'!Print_Area</vt:lpstr>
      <vt:lpstr>Security!Print_Area</vt:lpstr>
      <vt:lpstr>'Staff Canteen'!Print_Area</vt:lpstr>
      <vt:lpstr>STW!Print_Area</vt:lpstr>
      <vt:lpstr>Summary!Print_Area</vt:lpstr>
      <vt:lpstr>Telephone!Print_Area</vt:lpstr>
      <vt:lpstr>Transportation!Print_Area</vt:lpstr>
      <vt:lpstr>Utilities!Print_Area</vt:lpstr>
      <vt:lpstr>'A&amp;G'!Print_Titles</vt:lpstr>
      <vt:lpstr>'ADD-Mhub lounge'!Print_Titles</vt:lpstr>
      <vt:lpstr>Apartment!Print_Titles</vt:lpstr>
      <vt:lpstr>Banquet!Print_Titles</vt:lpstr>
      <vt:lpstr>BC!Print_Titles</vt:lpstr>
      <vt:lpstr>'DYT Galleria'!Print_Titles</vt:lpstr>
      <vt:lpstr>EO!Print_Titles</vt:lpstr>
      <vt:lpstr>'F&amp;B Admin'!Print_Titles</vt:lpstr>
      <vt:lpstr>'F&amp;B Summary'!Print_Titles</vt:lpstr>
      <vt:lpstr>Finance!Print_Titles</vt:lpstr>
      <vt:lpstr>'Fixed Charge'!Print_Titles</vt:lpstr>
      <vt:lpstr>'Front Office'!Print_Titles</vt:lpstr>
      <vt:lpstr>'Garage Parking'!Print_Titles</vt:lpstr>
      <vt:lpstr>'Guest Laundry'!Print_Titles</vt:lpstr>
      <vt:lpstr>'Health Club'!Print_Titles</vt:lpstr>
      <vt:lpstr>HR!Print_Titles</vt:lpstr>
      <vt:lpstr>HSKP!Print_Titles</vt:lpstr>
      <vt:lpstr>IT!Print_Titles</vt:lpstr>
      <vt:lpstr>Laundry!Print_Titles</vt:lpstr>
      <vt:lpstr>'Lobby Lounge'!Print_Titles</vt:lpstr>
      <vt:lpstr>'Main Kitchen'!Print_Titles</vt:lpstr>
      <vt:lpstr>Minibar!Print_Titles</vt:lpstr>
      <vt:lpstr>'MP Cafe'!Print_Titles</vt:lpstr>
      <vt:lpstr>'MP Dining'!Print_Titles</vt:lpstr>
      <vt:lpstr>OOD!Print_Titles</vt:lpstr>
      <vt:lpstr>'R&amp;M'!Print_Titles</vt:lpstr>
      <vt:lpstr>Reservation!Print_Titles</vt:lpstr>
      <vt:lpstr>'Room Service'!Print_Titles</vt:lpstr>
      <vt:lpstr>'ROOMS Admin'!Print_Titles</vt:lpstr>
      <vt:lpstr>'Rooms Summary'!Print_Titles</vt:lpstr>
      <vt:lpstr>'Royal Court'!Print_Titles</vt:lpstr>
      <vt:lpstr>'S&amp;M'!Print_Titles</vt:lpstr>
      <vt:lpstr>Security!Print_Titles</vt:lpstr>
      <vt:lpstr>'Staff Canteen'!Print_Titles</vt:lpstr>
      <vt:lpstr>STW!Print_Titles</vt:lpstr>
      <vt:lpstr>Telephone!Print_Titles</vt:lpstr>
      <vt:lpstr>Transportation!Print_Titles</vt:lpstr>
      <vt:lpstr>Utilities!Print_Titles</vt:lpstr>
      <vt:lpstr>YEAR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 Yang</dc:creator>
  <cp:lastModifiedBy>Melody Peng</cp:lastModifiedBy>
  <cp:lastPrinted>2023-12-13T02:25:37Z</cp:lastPrinted>
  <dcterms:created xsi:type="dcterms:W3CDTF">2016-03-15T05:30:00Z</dcterms:created>
  <dcterms:modified xsi:type="dcterms:W3CDTF">2024-09-20T09:17:01Z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8F2C25DE6B73483C87EE3F52196D4188</vt:lpwstr>
  </property>
  <property fmtid="{D5CDD505-2E9C-101B-9397-08002B2CF9AE}" pid="3" name="KSOProductBuildVer">
    <vt:lpwstr>2052-11.1.0.10700</vt:lpwstr>
  </property>
</Properties>
</file>